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defaultThemeVersion="124226"/>
  <xr:revisionPtr revIDLastSave="0" documentId="13_ncr:1_{D8F0CD13-C169-46A8-844B-FE9761106239}" xr6:coauthVersionLast="36" xr6:coauthVersionMax="36" xr10:uidLastSave="{00000000-0000-0000-0000-000000000000}"/>
  <bookViews>
    <workbookView xWindow="0" yWindow="0" windowWidth="27330" windowHeight="5790" firstSheet="1" activeTab="5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88" i="7" l="1"/>
  <c r="K7" i="7"/>
  <c r="F366" i="6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8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I65" i="8"/>
  <c r="B62" i="8"/>
  <c r="I60" i="8"/>
  <c r="F60" i="8"/>
  <c r="E60" i="8"/>
  <c r="D60" i="8"/>
  <c r="B60" i="8"/>
  <c r="I55" i="8"/>
  <c r="I50" i="8"/>
  <c r="B46" i="8"/>
  <c r="I45" i="8"/>
  <c r="B42" i="8"/>
  <c r="I40" i="8"/>
  <c r="F40" i="8"/>
  <c r="E40" i="8"/>
  <c r="D40" i="8"/>
  <c r="B40" i="8"/>
  <c r="I30" i="8"/>
  <c r="I25" i="8"/>
  <c r="B22" i="8"/>
  <c r="F20" i="8"/>
  <c r="E20" i="8"/>
  <c r="D20" i="8"/>
  <c r="B20" i="8"/>
  <c r="K12" i="8"/>
  <c r="K5" i="8"/>
  <c r="K19" i="8" s="1"/>
  <c r="L20" i="8" s="1"/>
  <c r="B2" i="8"/>
  <c r="B409" i="6"/>
  <c r="E257" i="6"/>
  <c r="B109" i="6"/>
  <c r="A430" i="6"/>
  <c r="K12" i="7"/>
  <c r="K5" i="7"/>
  <c r="D226" i="6"/>
  <c r="M5" i="7"/>
  <c r="S19" i="18" l="1"/>
  <c r="S13" i="18"/>
  <c r="D308" i="6"/>
  <c r="B3" i="19" l="1"/>
  <c r="B7" i="19" s="1"/>
  <c r="B12" i="19" l="1"/>
  <c r="C4" i="19"/>
  <c r="D4" i="19" s="1"/>
  <c r="C5" i="19"/>
  <c r="D5" i="19" s="1"/>
  <c r="C6" i="19"/>
  <c r="D6" i="19" s="1"/>
  <c r="C3" i="19"/>
  <c r="C7" i="19" l="1"/>
  <c r="D3" i="19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W27" i="18" l="1"/>
  <c r="X27" i="18" s="1"/>
  <c r="W19" i="18"/>
  <c r="W39" i="18"/>
  <c r="X39" i="18" s="1"/>
  <c r="W31" i="18"/>
  <c r="X31" i="18" s="1"/>
  <c r="W23" i="18"/>
  <c r="X23" i="18" s="1"/>
  <c r="W15" i="18"/>
  <c r="X15" i="18" s="1"/>
  <c r="W38" i="18"/>
  <c r="X38" i="18" s="1"/>
  <c r="W30" i="18"/>
  <c r="X30" i="18" s="1"/>
  <c r="W22" i="18"/>
  <c r="X22" i="18" s="1"/>
  <c r="W14" i="18"/>
  <c r="X14" i="18" s="1"/>
  <c r="W37" i="18"/>
  <c r="X37" i="18" s="1"/>
  <c r="W29" i="18"/>
  <c r="X29" i="18" s="1"/>
  <c r="W21" i="18"/>
  <c r="X21" i="18" s="1"/>
  <c r="W36" i="18"/>
  <c r="X36" i="18" s="1"/>
  <c r="W20" i="18"/>
  <c r="W34" i="18"/>
  <c r="X34" i="18" s="1"/>
  <c r="W26" i="18"/>
  <c r="X26" i="18" s="1"/>
  <c r="W18" i="18"/>
  <c r="X18" i="18" s="1"/>
  <c r="W41" i="18"/>
  <c r="X41" i="18" s="1"/>
  <c r="W33" i="18"/>
  <c r="W25" i="18"/>
  <c r="W17" i="18"/>
  <c r="X17" i="18" s="1"/>
  <c r="W40" i="18"/>
  <c r="X40" i="18" s="1"/>
  <c r="W32" i="18"/>
  <c r="X32" i="18" s="1"/>
  <c r="W24" i="18"/>
  <c r="X24" i="18" s="1"/>
  <c r="W16" i="18"/>
  <c r="X16" i="18" s="1"/>
  <c r="W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X20" i="18" s="1"/>
  <c r="T71" i="18"/>
  <c r="T68" i="18"/>
  <c r="T69" i="18" s="1"/>
  <c r="T70" i="18" s="1"/>
  <c r="T60" i="18"/>
  <c r="T61" i="18" s="1"/>
  <c r="H59" i="18"/>
  <c r="H58" i="18"/>
  <c r="H57" i="18"/>
  <c r="H56" i="18"/>
  <c r="K35" i="18"/>
  <c r="H35" i="18"/>
  <c r="M35" i="18" s="1"/>
  <c r="N35" i="18" s="1"/>
  <c r="P34" i="18"/>
  <c r="Q34" i="18" s="1"/>
  <c r="H33" i="18"/>
  <c r="M33" i="18" s="1"/>
  <c r="P32" i="18"/>
  <c r="P30" i="18"/>
  <c r="Q30" i="18" s="1"/>
  <c r="P29" i="18"/>
  <c r="Q29" i="18" s="1"/>
  <c r="K28" i="18"/>
  <c r="H28" i="18"/>
  <c r="M28" i="18" s="1"/>
  <c r="H25" i="18"/>
  <c r="M25" i="18" s="1"/>
  <c r="N25" i="18" s="1"/>
  <c r="Q24" i="18"/>
  <c r="Q21" i="18"/>
  <c r="H19" i="18"/>
  <c r="M19" i="18" s="1"/>
  <c r="N19" i="18" s="1"/>
  <c r="Q14" i="18"/>
  <c r="H13" i="18"/>
  <c r="I13" i="18" s="1"/>
  <c r="J13" i="18" s="1"/>
  <c r="H5" i="18"/>
  <c r="M5" i="18" s="1"/>
  <c r="H4" i="18"/>
  <c r="M4" i="18" s="1"/>
  <c r="H3" i="18"/>
  <c r="I3" i="18" s="1"/>
  <c r="J3" i="18" s="1"/>
  <c r="O3" i="18" l="1"/>
  <c r="I4" i="18"/>
  <c r="J4" i="18" s="1"/>
  <c r="I25" i="18"/>
  <c r="J25" i="18" s="1"/>
  <c r="M3" i="18"/>
  <c r="N3" i="18" s="1"/>
  <c r="P20" i="18"/>
  <c r="Q20" i="18" s="1"/>
  <c r="D35" i="18"/>
  <c r="W35" i="18" s="1"/>
  <c r="D28" i="18"/>
  <c r="W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N5" i="18"/>
  <c r="O25" i="18"/>
  <c r="N33" i="18"/>
  <c r="N4" i="18"/>
  <c r="I5" i="18"/>
  <c r="E13" i="18"/>
  <c r="X13" i="18" s="1"/>
  <c r="P3" i="18"/>
  <c r="P25" i="18"/>
  <c r="Q25" i="18" s="1"/>
  <c r="E3" i="18"/>
  <c r="E25" i="18"/>
  <c r="X25" i="18" s="1"/>
  <c r="B46" i="7"/>
  <c r="E33" i="18" l="1"/>
  <c r="X33" i="18" s="1"/>
  <c r="J33" i="18"/>
  <c r="O33" i="18" s="1"/>
  <c r="X35" i="18"/>
  <c r="Q3" i="18"/>
  <c r="O28" i="18"/>
  <c r="W42" i="18"/>
  <c r="D42" i="18"/>
  <c r="J42" i="18"/>
  <c r="O42" i="18"/>
  <c r="N42" i="18"/>
  <c r="E35" i="18"/>
  <c r="E19" i="18"/>
  <c r="X19" i="18" s="1"/>
  <c r="O4" i="18"/>
  <c r="E4" i="18"/>
  <c r="E28" i="18"/>
  <c r="X28" i="18" s="1"/>
  <c r="J5" i="18"/>
  <c r="O5" i="18" s="1"/>
  <c r="P33" i="18"/>
  <c r="Q33" i="18" s="1"/>
  <c r="P35" i="18"/>
  <c r="Q35" i="18" s="1"/>
  <c r="A109" i="6"/>
  <c r="D51" i="6"/>
  <c r="X42" i="18" l="1"/>
  <c r="E42" i="18"/>
  <c r="P4" i="18"/>
  <c r="Q4" i="18" s="1"/>
  <c r="E5" i="18"/>
  <c r="P28" i="18"/>
  <c r="A429" i="6"/>
  <c r="Q28" i="18" l="1"/>
  <c r="S28" i="18" s="1"/>
  <c r="P42" i="18"/>
  <c r="P5" i="18"/>
  <c r="Q5" i="18" s="1"/>
  <c r="A256" i="6"/>
  <c r="A257" i="6"/>
  <c r="A258" i="6"/>
  <c r="A258" i="7" s="1"/>
  <c r="A259" i="6"/>
  <c r="Q42" i="18" l="1"/>
  <c r="Y42" i="18"/>
  <c r="Z42" i="18" s="1"/>
  <c r="G22" i="17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G21" i="17"/>
  <c r="G20" i="17"/>
  <c r="D47" i="6"/>
  <c r="D146" i="6"/>
  <c r="B257" i="5" l="1"/>
  <c r="B468" i="5"/>
  <c r="K11" i="6"/>
  <c r="A430" i="5" l="1"/>
  <c r="B308" i="5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8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A66" i="5"/>
  <c r="F366" i="5" l="1"/>
  <c r="A109" i="5" l="1"/>
  <c r="A108" i="5"/>
  <c r="M25" i="5" l="1"/>
  <c r="E407" i="5" l="1"/>
  <c r="A256" i="7" l="1"/>
  <c r="A246" i="6"/>
  <c r="A246" i="7" s="1"/>
  <c r="A260" i="7" s="1"/>
  <c r="A468" i="5" l="1"/>
  <c r="A466" i="5"/>
  <c r="D167" i="5" l="1"/>
  <c r="D186" i="5"/>
  <c r="D306" i="5"/>
  <c r="J56" i="5" l="1"/>
  <c r="J55" i="5"/>
  <c r="B109" i="4" l="1"/>
  <c r="K10" i="1"/>
  <c r="L24" i="15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A79" i="6" l="1"/>
  <c r="A79" i="7" s="1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9" i="5"/>
  <c r="A129" i="6" s="1"/>
  <c r="A129" i="7" s="1"/>
  <c r="A126" i="5"/>
  <c r="A126" i="6" s="1"/>
  <c r="A126" i="7" s="1"/>
  <c r="A140" i="7" s="1"/>
  <c r="A140" i="6" l="1"/>
  <c r="A140" i="5"/>
  <c r="B308" i="4" l="1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4" l="1"/>
  <c r="A166" i="4"/>
  <c r="A180" i="4" s="1"/>
  <c r="A173" i="2"/>
  <c r="A166" i="2"/>
  <c r="D74" i="1"/>
  <c r="A78" i="4" l="1"/>
  <c r="A66" i="4"/>
  <c r="B3" i="14" l="1"/>
  <c r="B25" i="15"/>
  <c r="C25" i="15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A66" i="3" l="1"/>
  <c r="A66" i="6" s="1"/>
  <c r="M24" i="15"/>
  <c r="A80" i="6" l="1"/>
  <c r="A66" i="7"/>
  <c r="A80" i="7" s="1"/>
  <c r="A82" i="15"/>
  <c r="I82" i="15" s="1"/>
  <c r="D187" i="3"/>
  <c r="D326" i="3"/>
  <c r="D367" i="3" l="1"/>
  <c r="B468" i="3" l="1"/>
  <c r="A24" i="15" l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79" i="4" l="1"/>
  <c r="A79" i="5" s="1"/>
  <c r="A80" i="5" s="1"/>
  <c r="D47" i="3" l="1"/>
  <c r="D146" i="3"/>
  <c r="K7" i="3" l="1"/>
  <c r="K5" i="3"/>
  <c r="K11" i="3"/>
  <c r="D366" i="2"/>
  <c r="F366" i="2"/>
  <c r="A426" i="2" l="1"/>
  <c r="M45" i="2" l="1"/>
  <c r="A66" i="2" l="1"/>
  <c r="D57" i="2" l="1"/>
  <c r="D58" i="2" l="1"/>
  <c r="D56" i="2" l="1"/>
  <c r="D55" i="2"/>
  <c r="D54" i="2"/>
  <c r="B467" i="2" l="1"/>
  <c r="A79" i="3" l="1"/>
  <c r="A80" i="2"/>
  <c r="A79" i="2"/>
  <c r="D53" i="2" l="1"/>
  <c r="D306" i="2"/>
  <c r="F72" i="1"/>
  <c r="F73" i="1" s="1"/>
  <c r="D75" i="1"/>
  <c r="D76" i="1" s="1"/>
  <c r="K11" i="2" l="1"/>
  <c r="A80" i="3" l="1"/>
  <c r="A80" i="4"/>
  <c r="AZ18" i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L20" i="2" l="1"/>
  <c r="N22" i="2"/>
  <c r="A40" i="4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A466" i="10" l="1"/>
  <c r="A480" i="9"/>
  <c r="A106" i="7"/>
  <c r="A120" i="6"/>
  <c r="A40" i="9"/>
  <c r="A26" i="10"/>
  <c r="A6" i="10"/>
  <c r="A20" i="9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I22" i="15"/>
  <c r="I23" i="15" l="1"/>
  <c r="I24" i="15" l="1"/>
  <c r="B5" i="14" s="1"/>
  <c r="I25" i="15" l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R32" i="1" l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K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260" i="6" l="1"/>
  <c r="A246" i="5"/>
  <c r="AX21" i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K9" i="14" l="1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B22" i="14" l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80" i="3" s="1"/>
  <c r="A173" i="3"/>
  <c r="A256" i="5" l="1"/>
  <c r="A258" i="5"/>
  <c r="A259" i="5"/>
  <c r="A257" i="5"/>
  <c r="A257" i="7" l="1"/>
  <c r="A260" i="5"/>
</calcChain>
</file>

<file path=xl/sharedStrings.xml><?xml version="1.0" encoding="utf-8"?>
<sst xmlns="http://schemas.openxmlformats.org/spreadsheetml/2006/main" count="5361" uniqueCount="621">
  <si>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</si>
  <si>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</si>
  <si>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</si>
  <si>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</si>
  <si>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</si>
  <si>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</si>
  <si>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</si>
  <si>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</si>
  <si>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</si>
  <si>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</si>
  <si>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</si>
  <si>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</si>
  <si>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</si>
  <si>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</si>
  <si>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</si>
  <si>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</si>
  <si>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</si>
  <si>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</si>
  <si>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</si>
  <si>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</si>
  <si>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</si>
  <si>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</si>
  <si>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</si>
  <si>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</si>
  <si>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</si>
  <si>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</si>
  <si>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</si>
  <si>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</si>
  <si>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</si>
  <si>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</si>
  <si>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</si>
  <si>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</si>
  <si>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</si>
  <si>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</si>
  <si>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</si>
  <si>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</si>
  <si>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</si>
  <si>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</si>
  <si>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</si>
  <si>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</si>
  <si>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</si>
  <si>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</si>
  <si>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</si>
  <si>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</si>
  <si>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</si>
  <si>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</si>
  <si>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</si>
  <si>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</si>
  <si>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</si>
  <si>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</si>
  <si>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</si>
  <si>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</si>
  <si>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</si>
  <si>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</si>
  <si>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</si>
  <si>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</si>
  <si>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</si>
  <si>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</si>
  <si>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</si>
  <si>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</si>
  <si>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</si>
  <si>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</si>
  <si>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</si>
  <si>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</si>
  <si>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</si>
  <si>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</si>
  <si>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</si>
  <si>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</si>
  <si>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</si>
  <si>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</si>
  <si>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</si>
  <si>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</si>
  <si>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</si>
  <si>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</si>
  <si>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</si>
  <si>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</si>
  <si>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</si>
  <si>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</si>
  <si>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</si>
  <si>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</si>
  <si>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</si>
  <si>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</si>
  <si>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</si>
  <si>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</si>
  <si>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</si>
  <si>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</si>
  <si>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</si>
  <si>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</si>
  <si>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</si>
  <si>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</si>
  <si>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</si>
  <si>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</si>
  <si>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</si>
  <si>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</si>
  <si>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</si>
  <si>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</si>
  <si>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</si>
  <si>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</si>
  <si>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</si>
  <si>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</si>
  <si>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</si>
  <si>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</si>
  <si>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</si>
  <si>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</si>
  <si>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</si>
  <si>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</si>
  <si>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</si>
  <si>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</si>
  <si>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</si>
  <si>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</si>
  <si>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</si>
  <si>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</si>
  <si>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</si>
  <si>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</si>
  <si>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</si>
  <si>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</si>
  <si>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</si>
  <si>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</si>
  <si>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</si>
  <si>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</si>
  <si>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</si>
  <si>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</si>
  <si>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</si>
  <si>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</si>
  <si>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</si>
  <si>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</si>
  <si>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</si>
  <si>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</si>
  <si>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</si>
  <si>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</si>
  <si>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</si>
  <si>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</si>
  <si>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</si>
  <si>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</si>
  <si>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</si>
  <si>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</si>
  <si>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</si>
  <si>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</si>
  <si>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</si>
  <si>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</si>
  <si>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</si>
  <si>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</si>
  <si>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</si>
  <si>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</si>
  <si>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</si>
  <si>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</si>
  <si>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</si>
  <si>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</si>
  <si>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</si>
  <si>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</si>
  <si>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</si>
  <si>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</si>
  <si>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</si>
  <si>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</si>
  <si>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</si>
  <si>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</si>
  <si>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</si>
  <si>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</si>
  <si>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</si>
  <si>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</si>
  <si>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</si>
  <si>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</si>
  <si>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</si>
  <si>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</si>
  <si>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</si>
  <si>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</si>
  <si>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</si>
  <si>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</si>
  <si>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</si>
  <si>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</si>
  <si>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</si>
  <si>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</si>
  <si>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</si>
  <si>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</si>
  <si>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</si>
  <si>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</si>
  <si>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</si>
  <si>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</si>
  <si>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</si>
  <si>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</si>
  <si>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</si>
  <si>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</si>
  <si>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</si>
  <si>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</si>
  <si>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</si>
  <si>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</si>
  <si>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</si>
  <si>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</si>
  <si>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</si>
  <si>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</si>
  <si>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</si>
  <si>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</si>
  <si>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</si>
  <si>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</si>
  <si>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</si>
  <si>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</si>
  <si>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</si>
  <si>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</si>
  <si>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</si>
  <si>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</si>
  <si>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</si>
  <si>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</si>
  <si>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</si>
  <si>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</si>
  <si>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</si>
  <si>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</si>
  <si>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</si>
  <si>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</si>
  <si>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</si>
  <si>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</si>
  <si>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</si>
  <si>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</si>
  <si>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</si>
  <si>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</si>
  <si>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</si>
  <si>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</si>
  <si>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</si>
  <si>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</si>
  <si>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</si>
  <si>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</si>
  <si>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</si>
  <si>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</si>
  <si>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</si>
  <si>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</si>
  <si>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</si>
  <si>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</si>
  <si>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</si>
  <si>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</si>
  <si>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</si>
  <si>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</si>
  <si>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</si>
  <si>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</si>
  <si>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</si>
  <si>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</si>
  <si>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</si>
  <si>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</si>
  <si>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</si>
  <si>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</si>
  <si>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</si>
  <si>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</si>
  <si>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</si>
  <si>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</si>
  <si>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</si>
  <si>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</si>
  <si>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</si>
  <si>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</si>
  <si>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</si>
  <si>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</si>
  <si>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</si>
  <si>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</si>
  <si>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</si>
  <si>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</si>
  <si>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</si>
  <si>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</si>
  <si>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</si>
  <si>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</si>
  <si>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</si>
  <si>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</si>
  <si>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</si>
  <si>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</si>
  <si>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</si>
  <si>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</si>
  <si>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</si>
  <si>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</si>
  <si>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</si>
  <si>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</si>
  <si>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</si>
  <si>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</si>
  <si>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</si>
  <si>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</si>
  <si>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</si>
  <si>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</si>
  <si>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</si>
  <si>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</si>
  <si>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</si>
  <si>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</si>
  <si>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</si>
  <si>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</si>
  <si>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</si>
  <si>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</si>
  <si>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</si>
  <si>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</si>
  <si>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</si>
  <si>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</si>
  <si>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</si>
  <si>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</si>
  <si>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</si>
  <si>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</si>
  <si>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</si>
  <si>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</si>
  <si>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</si>
  <si>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</si>
  <si>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</si>
  <si>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</si>
  <si>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</si>
  <si>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</si>
  <si>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</si>
  <si>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</si>
  <si>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</si>
  <si>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</si>
  <si>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</si>
  <si>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</si>
  <si>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</si>
  <si>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</si>
  <si>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</si>
  <si>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</si>
  <si>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</si>
  <si>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</si>
  <si>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</si>
  <si>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</si>
  <si>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</si>
  <si>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</si>
  <si>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</si>
  <si>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</si>
  <si>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</si>
  <si>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</si>
  <si>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</si>
  <si>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</si>
  <si>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</si>
  <si>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</si>
  <si>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</si>
  <si>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</si>
  <si>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</si>
  <si>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</si>
  <si>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</si>
  <si>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</si>
  <si>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</si>
  <si>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</si>
  <si>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</si>
  <si>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</si>
  <si>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</si>
  <si>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</si>
  <si>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</si>
  <si>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</si>
  <si>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</si>
  <si>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</si>
  <si>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</si>
  <si>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</si>
  <si>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</si>
  <si>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</si>
  <si>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</si>
  <si>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</si>
  <si>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</si>
  <si>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</si>
  <si>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</si>
  <si>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</si>
  <si>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</si>
  <si>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</si>
  <si>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</si>
  <si>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</si>
  <si>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</si>
  <si>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</si>
  <si>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</si>
  <si>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</si>
  <si>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</si>
  <si>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</si>
  <si>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</si>
  <si>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</si>
  <si>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</si>
  <si>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</si>
  <si>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</si>
  <si>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</si>
  <si>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 xml:space="preserve">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</si>
  <si>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</si>
  <si>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</si>
  <si>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</si>
  <si>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</si>
  <si>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</si>
  <si>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</si>
  <si>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</si>
  <si>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</si>
  <si>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</si>
  <si>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</si>
  <si>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</si>
  <si>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</si>
  <si>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</si>
  <si>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</si>
  <si>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</si>
  <si>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</si>
  <si>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</si>
  <si>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</si>
  <si>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</si>
  <si>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</si>
  <si>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</si>
  <si>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</si>
  <si>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</si>
  <si>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</si>
  <si>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</si>
  <si>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</si>
  <si>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</si>
  <si>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</si>
  <si>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</si>
  <si>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</si>
  <si>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</si>
  <si>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</si>
  <si>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</si>
  <si>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</si>
  <si>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</si>
  <si>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</si>
  <si>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</si>
  <si>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</si>
  <si>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</si>
  <si>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</si>
  <si>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</si>
  <si>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</si>
  <si>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</si>
  <si>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</si>
  <si>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</si>
  <si>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</si>
  <si>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</si>
  <si>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</si>
  <si>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</si>
  <si>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</si>
  <si>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</si>
  <si>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</si>
  <si>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</si>
  <si>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</si>
  <si>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</si>
  <si>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</si>
  <si>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</si>
  <si>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</si>
  <si>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</si>
  <si>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</si>
  <si>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</si>
  <si>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</si>
  <si>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</si>
  <si>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</si>
  <si>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</si>
  <si>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</si>
  <si>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</si>
  <si>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</si>
  <si>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</si>
  <si>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</si>
  <si>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</si>
  <si>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</si>
  <si>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</si>
  <si>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</si>
  <si>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</si>
  <si>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</si>
  <si>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</si>
  <si>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</si>
  <si>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</si>
  <si>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</si>
  <si>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</si>
  <si>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</si>
  <si>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</si>
  <si>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</si>
  <si>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</si>
  <si>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</si>
  <si>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</si>
  <si>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</si>
  <si>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</si>
  <si>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</si>
  <si>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</si>
  <si>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</si>
  <si>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</si>
  <si>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</si>
  <si>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</si>
  <si>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</si>
  <si>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</si>
  <si>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</si>
  <si>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</si>
  <si>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</si>
  <si>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</si>
  <si>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</si>
  <si>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</si>
  <si>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</si>
  <si>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</si>
  <si>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</si>
  <si>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</si>
  <si>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</si>
  <si>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</si>
  <si>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</si>
  <si>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</si>
  <si>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</si>
  <si>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</si>
  <si>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</si>
  <si>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</si>
  <si>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</si>
  <si>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</si>
  <si>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</si>
  <si>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</si>
  <si>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</si>
  <si>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</si>
  <si>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</si>
  <si>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</si>
  <si>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184€ Cheques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</si>
  <si>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</si>
  <si>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</si>
  <si>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</si>
  <si>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</si>
  <si>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</si>
  <si>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</si>
  <si>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</si>
  <si>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</si>
  <si>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</si>
  <si>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</si>
  <si>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</si>
  <si>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</si>
  <si>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</si>
  <si>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</si>
  <si>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</si>
  <si>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</si>
  <si>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</si>
  <si>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</si>
  <si>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</si>
  <si>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</si>
  <si>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</si>
  <si>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</si>
  <si>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</si>
  <si>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</si>
  <si>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</si>
  <si>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</si>
  <si>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</si>
  <si>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</si>
  <si>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</si>
  <si>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</si>
  <si>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</si>
  <si>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</si>
  <si>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</si>
  <si>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</si>
  <si>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</si>
  <si>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</si>
  <si>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</si>
  <si>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</si>
  <si>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</si>
  <si>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</si>
  <si>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</si>
  <si>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</si>
  <si>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</si>
  <si>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</si>
  <si>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</si>
  <si>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</si>
  <si>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</si>
  <si>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</si>
  <si>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</si>
  <si>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</si>
  <si>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</si>
  <si>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</si>
  <si>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</si>
  <si>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</si>
  <si>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</si>
  <si>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</si>
  <si>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</si>
  <si>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</si>
  <si>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</si>
  <si>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</si>
  <si>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</si>
  <si>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</si>
  <si>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</si>
  <si>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</si>
  <si>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</si>
  <si>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</si>
  <si>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</si>
  <si>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</si>
  <si>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</si>
  <si>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</si>
  <si>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</si>
  <si>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</si>
  <si>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</si>
  <si>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</si>
  <si>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</si>
  <si>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</si>
  <si>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</si>
  <si>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</si>
  <si>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</si>
  <si>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</si>
  <si>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</si>
  <si>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</si>
  <si>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</si>
  <si>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</si>
  <si>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</si>
  <si>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</si>
  <si>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</si>
  <si>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</si>
  <si>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</si>
  <si>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</si>
  <si>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</si>
  <si>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</si>
  <si>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</si>
  <si>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</si>
  <si>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</si>
  <si>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</si>
  <si>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</si>
  <si>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</si>
  <si>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</si>
  <si>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</si>
  <si>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</si>
  <si>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</si>
  <si>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</si>
  <si>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</si>
  <si>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</si>
  <si>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</si>
  <si>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</si>
  <si>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</si>
  <si>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</si>
  <si>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</si>
  <si>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</si>
  <si>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</si>
  <si>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</si>
  <si>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</si>
  <si>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</si>
  <si>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</si>
  <si>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</si>
  <si>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</si>
  <si>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</si>
  <si>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</si>
  <si>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</si>
  <si>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</si>
  <si>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</si>
  <si>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</si>
  <si>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</si>
  <si>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24/05 arrefour</t>
  </si>
  <si>
    <t>&lt;300</t>
  </si>
  <si>
    <t>&lt;250</t>
  </si>
  <si>
    <t>De papa</t>
  </si>
  <si>
    <t>31/05 El corte ingles</t>
  </si>
  <si>
    <t>Paga extra</t>
  </si>
  <si>
    <t>Ultima (hasta 9.486,92€)+Paga 120</t>
  </si>
  <si>
    <t>31/05 Planet Parfum</t>
  </si>
  <si>
    <t>de Papa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</si>
</sst>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8" fontId="0" fillId="18" borderId="0" xfId="0" applyNumberFormat="1" applyFill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19" zoomScaleNormal="100" workbookViewId="0">
      <pane xSplit="1" topLeftCell="N1" activePane="topRight" state="frozen"/>
      <selection pane="topRight" activeCell="W25" sqref="W25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53" t="s">
        <v>0</v>
      </c>
      <c r="D4" s="354"/>
      <c r="E4" s="354"/>
      <c r="F4" s="355"/>
      <c r="G4" s="353" t="s">
        <v>1</v>
      </c>
      <c r="H4" s="354"/>
      <c r="I4" s="354"/>
      <c r="J4" s="355"/>
      <c r="K4" s="353" t="s">
        <v>2</v>
      </c>
      <c r="L4" s="354"/>
      <c r="M4" s="354"/>
      <c r="N4" s="355"/>
      <c r="O4" s="353" t="s">
        <v>3</v>
      </c>
      <c r="P4" s="354"/>
      <c r="Q4" s="354"/>
      <c r="R4" s="355"/>
      <c r="S4" s="353" t="s">
        <v>71</v>
      </c>
      <c r="T4" s="354"/>
      <c r="U4" s="354"/>
      <c r="V4" s="355"/>
      <c r="W4" s="353" t="s">
        <v>70</v>
      </c>
      <c r="X4" s="354"/>
      <c r="Y4" s="354"/>
      <c r="Z4" s="355"/>
      <c r="AA4" s="353" t="s">
        <v>72</v>
      </c>
      <c r="AB4" s="354"/>
      <c r="AC4" s="354"/>
      <c r="AD4" s="355"/>
      <c r="AE4" s="353" t="s">
        <v>73</v>
      </c>
      <c r="AF4" s="354"/>
      <c r="AG4" s="354"/>
      <c r="AH4" s="355"/>
      <c r="AI4" s="353" t="s">
        <v>75</v>
      </c>
      <c r="AJ4" s="354"/>
      <c r="AK4" s="354"/>
      <c r="AL4" s="355"/>
      <c r="AM4" s="353" t="s">
        <v>77</v>
      </c>
      <c r="AN4" s="354"/>
      <c r="AO4" s="354"/>
      <c r="AP4" s="355"/>
      <c r="AQ4" s="353" t="s">
        <v>79</v>
      </c>
      <c r="AR4" s="354"/>
      <c r="AS4" s="354"/>
      <c r="AT4" s="355"/>
      <c r="AU4" s="353" t="s">
        <v>84</v>
      </c>
      <c r="AV4" s="354"/>
      <c r="AW4" s="354"/>
      <c r="AX4" s="355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56">
        <f>'01'!K19</f>
        <v>26383.54</v>
      </c>
      <c r="D5" s="357"/>
      <c r="E5" s="357"/>
      <c r="F5" s="358"/>
      <c r="G5" s="356">
        <f>'02'!K19</f>
        <v>25229.379999999997</v>
      </c>
      <c r="H5" s="357"/>
      <c r="I5" s="357"/>
      <c r="J5" s="358"/>
      <c r="K5" s="363">
        <f>'03'!K19</f>
        <v>25574.760000000002</v>
      </c>
      <c r="L5" s="357"/>
      <c r="M5" s="357"/>
      <c r="N5" s="358"/>
      <c r="O5" s="363">
        <f>'04'!K19</f>
        <v>26443.759999999998</v>
      </c>
      <c r="P5" s="357"/>
      <c r="Q5" s="357"/>
      <c r="R5" s="358"/>
      <c r="S5" s="363">
        <f>'05'!K19</f>
        <v>27163.090000000004</v>
      </c>
      <c r="T5" s="357"/>
      <c r="U5" s="357"/>
      <c r="V5" s="358"/>
      <c r="W5" s="363">
        <f>'06'!K19</f>
        <v>29014.079999999998</v>
      </c>
      <c r="X5" s="357"/>
      <c r="Y5" s="357"/>
      <c r="Z5" s="358"/>
      <c r="AA5" s="363">
        <f>'07'!K19</f>
        <v>29615.1</v>
      </c>
      <c r="AB5" s="357"/>
      <c r="AC5" s="357"/>
      <c r="AD5" s="358"/>
      <c r="AE5" s="363">
        <f>'08'!K19</f>
        <v>15101.890000000001</v>
      </c>
      <c r="AF5" s="357"/>
      <c r="AG5" s="357"/>
      <c r="AH5" s="358"/>
      <c r="AI5" s="363">
        <f>'09'!K19</f>
        <v>15101.890000000001</v>
      </c>
      <c r="AJ5" s="357"/>
      <c r="AK5" s="357"/>
      <c r="AL5" s="358"/>
      <c r="AM5" s="363">
        <f>'10'!K19</f>
        <v>15101.890000000001</v>
      </c>
      <c r="AN5" s="357"/>
      <c r="AO5" s="357"/>
      <c r="AP5" s="358"/>
      <c r="AQ5" s="363">
        <f>'11'!K19</f>
        <v>15101.890000000001</v>
      </c>
      <c r="AR5" s="357"/>
      <c r="AS5" s="357"/>
      <c r="AT5" s="358"/>
      <c r="AU5" s="363">
        <f>'12'!K19</f>
        <v>15101.890000000001</v>
      </c>
      <c r="AV5" s="357"/>
      <c r="AW5" s="357"/>
      <c r="AX5" s="358"/>
      <c r="AZ5" s="6"/>
      <c r="BA5" s="7"/>
      <c r="BB5" s="1"/>
      <c r="BC5" s="1"/>
    </row>
    <row r="6" spans="1:55" ht="17.25" thickTop="1" thickBot="1">
      <c r="A6" s="205"/>
      <c r="B6" s="8"/>
      <c r="C6" s="362"/>
      <c r="D6" s="362"/>
      <c r="E6" s="362"/>
      <c r="F6" s="362"/>
      <c r="G6" s="362"/>
      <c r="H6" s="362"/>
      <c r="I6" s="362"/>
      <c r="J6" s="362"/>
      <c r="K6" s="362"/>
      <c r="L6" s="362"/>
      <c r="M6" s="362"/>
      <c r="N6" s="362"/>
      <c r="O6" s="362"/>
      <c r="P6" s="362"/>
      <c r="Q6" s="362"/>
      <c r="R6" s="362"/>
      <c r="S6" s="362"/>
      <c r="T6" s="362"/>
      <c r="U6" s="362"/>
      <c r="V6" s="362"/>
      <c r="W6" s="362"/>
      <c r="X6" s="362"/>
      <c r="Y6" s="362"/>
      <c r="Z6" s="362"/>
      <c r="AA6" s="362"/>
      <c r="AB6" s="362"/>
      <c r="AC6" s="362"/>
      <c r="AD6" s="362"/>
      <c r="AE6" s="362"/>
      <c r="AF6" s="362"/>
      <c r="AG6" s="362"/>
      <c r="AH6" s="362"/>
      <c r="AI6" s="362"/>
      <c r="AJ6" s="362"/>
      <c r="AK6" s="362"/>
      <c r="AL6" s="362"/>
      <c r="AM6" s="362"/>
      <c r="AN6" s="362"/>
      <c r="AO6" s="362"/>
      <c r="AP6" s="362"/>
      <c r="AQ6" s="362"/>
      <c r="AR6" s="362"/>
      <c r="AS6" s="362"/>
      <c r="AT6" s="362"/>
      <c r="AU6" s="362"/>
      <c r="AV6" s="362"/>
      <c r="AW6" s="362"/>
      <c r="AX6" s="362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59" t="s">
        <v>230</v>
      </c>
      <c r="D7" s="360"/>
      <c r="E7" s="360"/>
      <c r="F7" s="361"/>
      <c r="G7" s="359" t="s">
        <v>230</v>
      </c>
      <c r="H7" s="360"/>
      <c r="I7" s="360"/>
      <c r="J7" s="361"/>
      <c r="K7" s="359" t="s">
        <v>230</v>
      </c>
      <c r="L7" s="360"/>
      <c r="M7" s="360"/>
      <c r="N7" s="361"/>
      <c r="O7" s="359" t="s">
        <v>230</v>
      </c>
      <c r="P7" s="360"/>
      <c r="Q7" s="360"/>
      <c r="R7" s="361"/>
      <c r="S7" s="359" t="s">
        <v>230</v>
      </c>
      <c r="T7" s="360"/>
      <c r="U7" s="360"/>
      <c r="V7" s="361"/>
      <c r="W7" s="359" t="s">
        <v>230</v>
      </c>
      <c r="X7" s="360"/>
      <c r="Y7" s="360"/>
      <c r="Z7" s="361"/>
      <c r="AA7" s="359" t="s">
        <v>230</v>
      </c>
      <c r="AB7" s="360"/>
      <c r="AC7" s="360"/>
      <c r="AD7" s="361"/>
      <c r="AE7" s="359" t="s">
        <v>230</v>
      </c>
      <c r="AF7" s="360"/>
      <c r="AG7" s="360"/>
      <c r="AH7" s="361"/>
      <c r="AI7" s="359" t="s">
        <v>230</v>
      </c>
      <c r="AJ7" s="360"/>
      <c r="AK7" s="360"/>
      <c r="AL7" s="361"/>
      <c r="AM7" s="359" t="s">
        <v>230</v>
      </c>
      <c r="AN7" s="360"/>
      <c r="AO7" s="360"/>
      <c r="AP7" s="361"/>
      <c r="AQ7" s="359" t="s">
        <v>230</v>
      </c>
      <c r="AR7" s="360"/>
      <c r="AS7" s="360"/>
      <c r="AT7" s="361"/>
      <c r="AU7" s="359" t="s">
        <v>230</v>
      </c>
      <c r="AV7" s="360"/>
      <c r="AW7" s="360"/>
      <c r="AX7" s="361"/>
      <c r="AZ7" s="9" t="s">
        <v>232</v>
      </c>
      <c r="BA7" s="13" t="s">
        <v>188</v>
      </c>
      <c r="BB7" s="1"/>
      <c r="BC7" s="1"/>
    </row>
    <row r="8" spans="1:55" ht="15.75">
      <c r="A8" s="206" t="s">
        <v>212</v>
      </c>
      <c r="B8" s="192">
        <v>33389.54</v>
      </c>
      <c r="C8" s="341">
        <f>SUM('01'!L25:'01'!L29)</f>
        <v>2593.46</v>
      </c>
      <c r="D8" s="342"/>
      <c r="E8" s="342"/>
      <c r="F8" s="343"/>
      <c r="G8" s="341">
        <f>SUM('02'!L25:'02'!L29)</f>
        <v>2592.42</v>
      </c>
      <c r="H8" s="342"/>
      <c r="I8" s="342"/>
      <c r="J8" s="343"/>
      <c r="K8" s="341">
        <f>SUM('03'!L25:'03'!L29)</f>
        <v>2526.87</v>
      </c>
      <c r="L8" s="342"/>
      <c r="M8" s="342"/>
      <c r="N8" s="343"/>
      <c r="O8" s="341">
        <f>SUM('04'!L25:'04'!L29)</f>
        <v>2570.56</v>
      </c>
      <c r="P8" s="342"/>
      <c r="Q8" s="342"/>
      <c r="R8" s="343"/>
      <c r="S8" s="341">
        <f>SUM('05'!L25:'05'!L29)</f>
        <v>4448.8500000000004</v>
      </c>
      <c r="T8" s="342"/>
      <c r="U8" s="342"/>
      <c r="V8" s="343"/>
      <c r="W8" s="341">
        <f>SUM('06'!L25:'06'!L29)</f>
        <v>0</v>
      </c>
      <c r="X8" s="342"/>
      <c r="Y8" s="342"/>
      <c r="Z8" s="343"/>
      <c r="AA8" s="341">
        <f>SUM('07'!L25:'07'!L29)</f>
        <v>0</v>
      </c>
      <c r="AB8" s="342"/>
      <c r="AC8" s="342"/>
      <c r="AD8" s="343"/>
      <c r="AE8" s="341">
        <f>SUM('08'!L25:'08'!L29)</f>
        <v>0</v>
      </c>
      <c r="AF8" s="342"/>
      <c r="AG8" s="342"/>
      <c r="AH8" s="343"/>
      <c r="AI8" s="341">
        <f>SUM('09'!L25:'09'!L29)</f>
        <v>0</v>
      </c>
      <c r="AJ8" s="342"/>
      <c r="AK8" s="342"/>
      <c r="AL8" s="343"/>
      <c r="AM8" s="341">
        <f>SUM('10'!L25:'10'!L29)</f>
        <v>0</v>
      </c>
      <c r="AN8" s="342"/>
      <c r="AO8" s="342"/>
      <c r="AP8" s="343"/>
      <c r="AQ8" s="341">
        <f>SUM('11'!L25:'11'!L29)</f>
        <v>0</v>
      </c>
      <c r="AR8" s="342"/>
      <c r="AS8" s="342"/>
      <c r="AT8" s="343"/>
      <c r="AU8" s="341">
        <f>SUM('12'!L25:'12'!L29)</f>
        <v>0</v>
      </c>
      <c r="AV8" s="342"/>
      <c r="AW8" s="342"/>
      <c r="AX8" s="343"/>
      <c r="AZ8" s="209">
        <f>SUM(C8:AU8)</f>
        <v>14732.16</v>
      </c>
      <c r="BA8" s="112">
        <f t="shared" ref="BA8:BA16" ca="1" si="0">AZ8/BC$17</f>
        <v>2946.4319999999998</v>
      </c>
      <c r="BB8" s="1"/>
      <c r="BC8" s="1"/>
    </row>
    <row r="9" spans="1:55" ht="15.75">
      <c r="A9" s="189" t="s">
        <v>213</v>
      </c>
      <c r="B9" s="193">
        <v>5835.74</v>
      </c>
      <c r="C9" s="344">
        <f>SUM('01'!L30:'01'!L34)</f>
        <v>655.59</v>
      </c>
      <c r="D9" s="345"/>
      <c r="E9" s="345"/>
      <c r="F9" s="346"/>
      <c r="G9" s="344">
        <f>SUM('02'!L30:'02'!L34)</f>
        <v>760.26</v>
      </c>
      <c r="H9" s="345"/>
      <c r="I9" s="345"/>
      <c r="J9" s="346"/>
      <c r="K9" s="344">
        <f>SUM('03'!L30:'03'!L34)</f>
        <v>516.44000000000005</v>
      </c>
      <c r="L9" s="345"/>
      <c r="M9" s="345"/>
      <c r="N9" s="346"/>
      <c r="O9" s="344">
        <f>SUM('04'!L30:'04'!L34)</f>
        <v>507.54</v>
      </c>
      <c r="P9" s="345"/>
      <c r="Q9" s="345"/>
      <c r="R9" s="346"/>
      <c r="S9" s="344">
        <f>SUM('05'!L30:'05'!L34)</f>
        <v>578.16999999999996</v>
      </c>
      <c r="T9" s="345"/>
      <c r="U9" s="345"/>
      <c r="V9" s="346"/>
      <c r="W9" s="344">
        <f>SUM('06'!L30:'06'!L34)</f>
        <v>0</v>
      </c>
      <c r="X9" s="345"/>
      <c r="Y9" s="345"/>
      <c r="Z9" s="346"/>
      <c r="AA9" s="344">
        <f>SUM('07'!L30:'07'!L34)</f>
        <v>0</v>
      </c>
      <c r="AB9" s="345"/>
      <c r="AC9" s="345"/>
      <c r="AD9" s="346"/>
      <c r="AE9" s="344">
        <f>SUM('08'!L30:'08'!L34)</f>
        <v>0</v>
      </c>
      <c r="AF9" s="345"/>
      <c r="AG9" s="345"/>
      <c r="AH9" s="346"/>
      <c r="AI9" s="344">
        <f>SUM('09'!L30:'09'!L34)</f>
        <v>0</v>
      </c>
      <c r="AJ9" s="345"/>
      <c r="AK9" s="345"/>
      <c r="AL9" s="346"/>
      <c r="AM9" s="344">
        <f>SUM('10'!L30:'10'!L34)</f>
        <v>0</v>
      </c>
      <c r="AN9" s="345"/>
      <c r="AO9" s="345"/>
      <c r="AP9" s="346"/>
      <c r="AQ9" s="344">
        <f>SUM('11'!L30:'11'!L34)</f>
        <v>0</v>
      </c>
      <c r="AR9" s="345"/>
      <c r="AS9" s="345"/>
      <c r="AT9" s="346"/>
      <c r="AU9" s="344">
        <f>SUM('12'!L30:'12'!L34)</f>
        <v>0</v>
      </c>
      <c r="AV9" s="345"/>
      <c r="AW9" s="345"/>
      <c r="AX9" s="346"/>
      <c r="AZ9" s="210">
        <f t="shared" ref="AZ9:AZ16" si="1">SUM(C9:AW9)</f>
        <v>3018</v>
      </c>
      <c r="BA9" s="112">
        <f t="shared" ca="1" si="0"/>
        <v>603.6</v>
      </c>
      <c r="BB9" s="1"/>
      <c r="BC9" s="1"/>
    </row>
    <row r="10" spans="1:55" ht="15.75">
      <c r="A10" s="190" t="s">
        <v>218</v>
      </c>
      <c r="B10" s="194">
        <v>2731.18</v>
      </c>
      <c r="C10" s="344">
        <f>SUM('01'!L35:'01'!L39)</f>
        <v>120.85</v>
      </c>
      <c r="D10" s="345"/>
      <c r="E10" s="345"/>
      <c r="F10" s="346"/>
      <c r="G10" s="344">
        <f>SUM('02'!L35:'02'!L39)</f>
        <v>107.38</v>
      </c>
      <c r="H10" s="345"/>
      <c r="I10" s="345"/>
      <c r="J10" s="346"/>
      <c r="K10" s="344">
        <f>SUM('03'!L35:'03'!L39)</f>
        <v>91.73</v>
      </c>
      <c r="L10" s="345"/>
      <c r="M10" s="345"/>
      <c r="N10" s="346"/>
      <c r="O10" s="344">
        <f>SUM('04'!L35:'04'!L39)</f>
        <v>204.23</v>
      </c>
      <c r="P10" s="345"/>
      <c r="Q10" s="345"/>
      <c r="R10" s="346"/>
      <c r="S10" s="344">
        <f>SUM('05'!L35:'05'!L39)</f>
        <v>119.85</v>
      </c>
      <c r="T10" s="345"/>
      <c r="U10" s="345"/>
      <c r="V10" s="346"/>
      <c r="W10" s="347">
        <f>SUM('06'!L35:'06'!L39)</f>
        <v>0</v>
      </c>
      <c r="X10" s="348"/>
      <c r="Y10" s="348"/>
      <c r="Z10" s="349"/>
      <c r="AA10" s="347">
        <f>SUM('07'!L35:'07'!L39)</f>
        <v>0</v>
      </c>
      <c r="AB10" s="348"/>
      <c r="AC10" s="348"/>
      <c r="AD10" s="349"/>
      <c r="AE10" s="347">
        <f>SUM('08'!L35:'08'!L39)</f>
        <v>0</v>
      </c>
      <c r="AF10" s="348"/>
      <c r="AG10" s="348"/>
      <c r="AH10" s="349"/>
      <c r="AI10" s="347">
        <f>SUM('09'!L35:'09'!L39)</f>
        <v>0</v>
      </c>
      <c r="AJ10" s="348"/>
      <c r="AK10" s="348"/>
      <c r="AL10" s="349"/>
      <c r="AM10" s="347">
        <f>SUM('10'!L35:'10'!L39)</f>
        <v>0</v>
      </c>
      <c r="AN10" s="348"/>
      <c r="AO10" s="348"/>
      <c r="AP10" s="349"/>
      <c r="AQ10" s="347">
        <f>SUM('11'!L35:'11'!L39)</f>
        <v>0</v>
      </c>
      <c r="AR10" s="348"/>
      <c r="AS10" s="348"/>
      <c r="AT10" s="349"/>
      <c r="AU10" s="347">
        <f>SUM('12'!L35:'12'!L39)</f>
        <v>0</v>
      </c>
      <c r="AV10" s="348"/>
      <c r="AW10" s="348"/>
      <c r="AX10" s="349"/>
      <c r="AZ10" s="211">
        <f t="shared" si="1"/>
        <v>644.04</v>
      </c>
      <c r="BA10" s="112">
        <f t="shared" ca="1" si="0"/>
        <v>128.80799999999999</v>
      </c>
      <c r="BB10" s="1"/>
      <c r="BC10" s="1"/>
    </row>
    <row r="11" spans="1:55" ht="15.75">
      <c r="A11" s="189" t="s">
        <v>214</v>
      </c>
      <c r="B11" s="193">
        <v>2906.88</v>
      </c>
      <c r="C11" s="344">
        <f>SUM('01'!L40:'01'!L44)</f>
        <v>3.87</v>
      </c>
      <c r="D11" s="345"/>
      <c r="E11" s="345"/>
      <c r="F11" s="346"/>
      <c r="G11" s="344">
        <f>SUM('02'!L40:'02'!L44)</f>
        <v>0</v>
      </c>
      <c r="H11" s="345"/>
      <c r="I11" s="345"/>
      <c r="J11" s="346"/>
      <c r="K11" s="344">
        <f>SUM('03'!L40:'03'!L44)</f>
        <v>0</v>
      </c>
      <c r="L11" s="345"/>
      <c r="M11" s="345"/>
      <c r="N11" s="346"/>
      <c r="O11" s="344">
        <f>SUM('04'!L40:'04'!L44)</f>
        <v>356.59</v>
      </c>
      <c r="P11" s="345"/>
      <c r="Q11" s="345"/>
      <c r="R11" s="346"/>
      <c r="S11" s="344">
        <f>SUM('05'!L40:'05'!L44)</f>
        <v>45.86</v>
      </c>
      <c r="T11" s="345"/>
      <c r="U11" s="345"/>
      <c r="V11" s="346"/>
      <c r="W11" s="344">
        <f>SUM('06'!L40:'06'!L44)</f>
        <v>0</v>
      </c>
      <c r="X11" s="345"/>
      <c r="Y11" s="345"/>
      <c r="Z11" s="346"/>
      <c r="AA11" s="344">
        <f>SUM('07'!L40:'07'!L44)</f>
        <v>0</v>
      </c>
      <c r="AB11" s="345"/>
      <c r="AC11" s="345"/>
      <c r="AD11" s="346"/>
      <c r="AE11" s="344">
        <f>SUM('08'!L40:'08'!L44)</f>
        <v>0</v>
      </c>
      <c r="AF11" s="345"/>
      <c r="AG11" s="345"/>
      <c r="AH11" s="346"/>
      <c r="AI11" s="344">
        <f>SUM('09'!L40:'09'!L44)</f>
        <v>0</v>
      </c>
      <c r="AJ11" s="345"/>
      <c r="AK11" s="345"/>
      <c r="AL11" s="346"/>
      <c r="AM11" s="344">
        <f>SUM('10'!L40:'10'!L44)</f>
        <v>0</v>
      </c>
      <c r="AN11" s="345"/>
      <c r="AO11" s="345"/>
      <c r="AP11" s="346"/>
      <c r="AQ11" s="344">
        <f>SUM('11'!L40:'11'!L44)</f>
        <v>0</v>
      </c>
      <c r="AR11" s="345"/>
      <c r="AS11" s="345"/>
      <c r="AT11" s="346"/>
      <c r="AU11" s="344">
        <f>SUM('12'!L40:'12'!L44)</f>
        <v>0</v>
      </c>
      <c r="AV11" s="345"/>
      <c r="AW11" s="345"/>
      <c r="AX11" s="346"/>
      <c r="AZ11" s="210">
        <f t="shared" si="1"/>
        <v>406.32</v>
      </c>
      <c r="BA11" s="112">
        <f t="shared" ca="1" si="0"/>
        <v>81.263999999999996</v>
      </c>
      <c r="BB11" s="1"/>
      <c r="BC11" s="1"/>
    </row>
    <row r="12" spans="1:55" ht="15.75">
      <c r="A12" s="190" t="s">
        <v>23</v>
      </c>
      <c r="B12" s="194">
        <v>3325.31</v>
      </c>
      <c r="C12" s="344">
        <f>SUM('01'!L45:'01'!L49)</f>
        <v>137</v>
      </c>
      <c r="D12" s="345"/>
      <c r="E12" s="345"/>
      <c r="F12" s="346"/>
      <c r="G12" s="344">
        <f>SUM('02'!L45:'02'!L49)</f>
        <v>600.04</v>
      </c>
      <c r="H12" s="345"/>
      <c r="I12" s="345"/>
      <c r="J12" s="346"/>
      <c r="K12" s="344">
        <f>SUM('03'!L45:'03'!L49)</f>
        <v>380</v>
      </c>
      <c r="L12" s="345"/>
      <c r="M12" s="345"/>
      <c r="N12" s="346"/>
      <c r="O12" s="344">
        <f>SUM('04'!L45:'04'!L49)</f>
        <v>0</v>
      </c>
      <c r="P12" s="345"/>
      <c r="Q12" s="345"/>
      <c r="R12" s="346"/>
      <c r="S12" s="344">
        <f>SUM('05'!L45:'05'!L49)</f>
        <v>0</v>
      </c>
      <c r="T12" s="345"/>
      <c r="U12" s="345"/>
      <c r="V12" s="346"/>
      <c r="W12" s="347">
        <f>SUM('06'!L45:'06'!L49)</f>
        <v>0</v>
      </c>
      <c r="X12" s="348"/>
      <c r="Y12" s="348"/>
      <c r="Z12" s="349"/>
      <c r="AA12" s="347">
        <f>SUM('07'!L45:'07'!L49)</f>
        <v>0</v>
      </c>
      <c r="AB12" s="348"/>
      <c r="AC12" s="348"/>
      <c r="AD12" s="349"/>
      <c r="AE12" s="347">
        <f>SUM('08'!L45:'08'!L49)</f>
        <v>0</v>
      </c>
      <c r="AF12" s="348"/>
      <c r="AG12" s="348"/>
      <c r="AH12" s="349"/>
      <c r="AI12" s="347">
        <f>SUM('09'!L45:'09'!L49)</f>
        <v>0</v>
      </c>
      <c r="AJ12" s="348"/>
      <c r="AK12" s="348"/>
      <c r="AL12" s="349"/>
      <c r="AM12" s="347">
        <f>SUM('10'!L45:'10'!L49)</f>
        <v>0</v>
      </c>
      <c r="AN12" s="348"/>
      <c r="AO12" s="348"/>
      <c r="AP12" s="349"/>
      <c r="AQ12" s="347">
        <f>SUM('11'!L45:'11'!L49)</f>
        <v>0</v>
      </c>
      <c r="AR12" s="348"/>
      <c r="AS12" s="348"/>
      <c r="AT12" s="349"/>
      <c r="AU12" s="347">
        <f>SUM('12'!L45:'12'!L49)</f>
        <v>0</v>
      </c>
      <c r="AV12" s="348"/>
      <c r="AW12" s="348"/>
      <c r="AX12" s="349"/>
      <c r="AZ12" s="211">
        <f t="shared" si="1"/>
        <v>1117.04</v>
      </c>
      <c r="BA12" s="112">
        <f t="shared" ca="1" si="0"/>
        <v>223.40799999999999</v>
      </c>
      <c r="BB12" s="1"/>
      <c r="BC12" s="1"/>
    </row>
    <row r="13" spans="1:55" ht="15.75">
      <c r="A13" s="189" t="s">
        <v>215</v>
      </c>
      <c r="B13" s="195">
        <v>3443.8099999999995</v>
      </c>
      <c r="C13" s="344">
        <f>SUM('01'!L50:'01'!L54)</f>
        <v>95.8</v>
      </c>
      <c r="D13" s="345"/>
      <c r="E13" s="345"/>
      <c r="F13" s="346"/>
      <c r="G13" s="344">
        <f>SUM('02'!L50:'02'!L54)</f>
        <v>95.8</v>
      </c>
      <c r="H13" s="345"/>
      <c r="I13" s="345"/>
      <c r="J13" s="346"/>
      <c r="K13" s="344">
        <f>SUM('03'!L50:'03'!L54)</f>
        <v>4517.74</v>
      </c>
      <c r="L13" s="345"/>
      <c r="M13" s="345"/>
      <c r="N13" s="346"/>
      <c r="O13" s="344">
        <f>SUM('04'!L50:'04'!L54)</f>
        <v>95.8</v>
      </c>
      <c r="P13" s="345"/>
      <c r="Q13" s="345"/>
      <c r="R13" s="346"/>
      <c r="S13" s="344">
        <f>SUM('05'!L50:'05'!L54)</f>
        <v>95.8</v>
      </c>
      <c r="T13" s="345"/>
      <c r="U13" s="345"/>
      <c r="V13" s="346"/>
      <c r="W13" s="344">
        <f>SUM('06'!L50:'06'!L54)</f>
        <v>0</v>
      </c>
      <c r="X13" s="345"/>
      <c r="Y13" s="345"/>
      <c r="Z13" s="346"/>
      <c r="AA13" s="344">
        <f>SUM('07'!L50:'07'!L54)</f>
        <v>0</v>
      </c>
      <c r="AB13" s="345"/>
      <c r="AC13" s="345"/>
      <c r="AD13" s="346"/>
      <c r="AE13" s="344">
        <f>SUM('08'!L50:'08'!L54)</f>
        <v>0</v>
      </c>
      <c r="AF13" s="345"/>
      <c r="AG13" s="345"/>
      <c r="AH13" s="346"/>
      <c r="AI13" s="344">
        <f>SUM('09'!L50:'09'!L54)</f>
        <v>0</v>
      </c>
      <c r="AJ13" s="345"/>
      <c r="AK13" s="345"/>
      <c r="AL13" s="346"/>
      <c r="AM13" s="344">
        <f>SUM('10'!L50:'10'!L54)</f>
        <v>0</v>
      </c>
      <c r="AN13" s="345"/>
      <c r="AO13" s="345"/>
      <c r="AP13" s="346"/>
      <c r="AQ13" s="344">
        <f>SUM('11'!L50:'11'!L54)</f>
        <v>0</v>
      </c>
      <c r="AR13" s="345"/>
      <c r="AS13" s="345"/>
      <c r="AT13" s="346"/>
      <c r="AU13" s="344">
        <f>SUM('12'!L50:'12'!L54)</f>
        <v>0</v>
      </c>
      <c r="AV13" s="345"/>
      <c r="AW13" s="345"/>
      <c r="AX13" s="346"/>
      <c r="AZ13" s="212">
        <f t="shared" si="1"/>
        <v>4900.9400000000005</v>
      </c>
      <c r="BA13" s="112">
        <f t="shared" ca="1" si="0"/>
        <v>980.1880000000001</v>
      </c>
      <c r="BB13" s="1"/>
      <c r="BC13" s="1"/>
    </row>
    <row r="14" spans="1:55" ht="15.75">
      <c r="A14" s="190" t="s">
        <v>216</v>
      </c>
      <c r="B14" s="194">
        <v>364.62</v>
      </c>
      <c r="C14" s="344">
        <f>SUM('01'!L55:'01'!L59)</f>
        <v>0</v>
      </c>
      <c r="D14" s="345"/>
      <c r="E14" s="345"/>
      <c r="F14" s="346"/>
      <c r="G14" s="344">
        <f>SUM('02'!L55:'02'!L59)</f>
        <v>0</v>
      </c>
      <c r="H14" s="345"/>
      <c r="I14" s="345"/>
      <c r="J14" s="346"/>
      <c r="K14" s="344">
        <f>SUM('03'!L55:'03'!L59)</f>
        <v>9.44</v>
      </c>
      <c r="L14" s="345"/>
      <c r="M14" s="345"/>
      <c r="N14" s="346"/>
      <c r="O14" s="344">
        <f>SUM('04'!L55:'04'!L59)</f>
        <v>37.980000000000004</v>
      </c>
      <c r="P14" s="345"/>
      <c r="Q14" s="345"/>
      <c r="R14" s="346"/>
      <c r="S14" s="344">
        <f>SUM('05'!L55:'05'!L59)</f>
        <v>17.350000000000001</v>
      </c>
      <c r="T14" s="345"/>
      <c r="U14" s="345"/>
      <c r="V14" s="346"/>
      <c r="W14" s="347">
        <f>SUM('06'!L55:'06'!L59)</f>
        <v>0</v>
      </c>
      <c r="X14" s="348"/>
      <c r="Y14" s="348"/>
      <c r="Z14" s="349"/>
      <c r="AA14" s="347">
        <f>SUM('07'!L55:'07'!L59)</f>
        <v>0</v>
      </c>
      <c r="AB14" s="348"/>
      <c r="AC14" s="348"/>
      <c r="AD14" s="349"/>
      <c r="AE14" s="347">
        <f>SUM('08'!L55:'08'!L59)</f>
        <v>0</v>
      </c>
      <c r="AF14" s="348"/>
      <c r="AG14" s="348"/>
      <c r="AH14" s="349"/>
      <c r="AI14" s="347">
        <f>SUM('09'!L55:'09'!L59)</f>
        <v>0</v>
      </c>
      <c r="AJ14" s="348"/>
      <c r="AK14" s="348"/>
      <c r="AL14" s="349"/>
      <c r="AM14" s="347">
        <f>SUM('10'!L55:'10'!L59)</f>
        <v>0</v>
      </c>
      <c r="AN14" s="348"/>
      <c r="AO14" s="348"/>
      <c r="AP14" s="349"/>
      <c r="AQ14" s="347">
        <f>SUM('11'!L55:'11'!L59)</f>
        <v>0</v>
      </c>
      <c r="AR14" s="348"/>
      <c r="AS14" s="348"/>
      <c r="AT14" s="349"/>
      <c r="AU14" s="347">
        <f>SUM('12'!L55:'12'!L59)</f>
        <v>0</v>
      </c>
      <c r="AV14" s="348"/>
      <c r="AW14" s="348"/>
      <c r="AX14" s="349"/>
      <c r="AZ14" s="211">
        <f t="shared" si="1"/>
        <v>64.77000000000001</v>
      </c>
      <c r="BA14" s="112">
        <f t="shared" ca="1" si="0"/>
        <v>12.954000000000002</v>
      </c>
      <c r="BB14" s="3"/>
      <c r="BC14" s="3"/>
    </row>
    <row r="15" spans="1:55" ht="15.75">
      <c r="A15" s="189" t="s">
        <v>217</v>
      </c>
      <c r="B15" s="193">
        <v>7756.04</v>
      </c>
      <c r="C15" s="344">
        <f>SUM('01'!L60:'01'!L64)</f>
        <v>0</v>
      </c>
      <c r="D15" s="345"/>
      <c r="E15" s="345"/>
      <c r="F15" s="346"/>
      <c r="G15" s="344">
        <f>SUM('02'!L60:'02'!L64)</f>
        <v>665.77</v>
      </c>
      <c r="H15" s="345"/>
      <c r="I15" s="345"/>
      <c r="J15" s="346"/>
      <c r="K15" s="344">
        <f>SUM('03'!L60:'03'!L64)</f>
        <v>682.39</v>
      </c>
      <c r="L15" s="345"/>
      <c r="M15" s="345"/>
      <c r="N15" s="346"/>
      <c r="O15" s="344">
        <f>SUM('04'!L60:'04'!L64)</f>
        <v>550</v>
      </c>
      <c r="P15" s="345"/>
      <c r="Q15" s="345"/>
      <c r="R15" s="346"/>
      <c r="S15" s="344">
        <f>SUM('05'!L60:'05'!L64)</f>
        <v>652.44000000000005</v>
      </c>
      <c r="T15" s="345"/>
      <c r="U15" s="345"/>
      <c r="V15" s="346"/>
      <c r="W15" s="344">
        <f>SUM('06'!L60:'06'!L64)</f>
        <v>0</v>
      </c>
      <c r="X15" s="345"/>
      <c r="Y15" s="345"/>
      <c r="Z15" s="346"/>
      <c r="AA15" s="344">
        <f>SUM('07'!L60:'07'!L64)</f>
        <v>0</v>
      </c>
      <c r="AB15" s="345"/>
      <c r="AC15" s="345"/>
      <c r="AD15" s="346"/>
      <c r="AE15" s="344">
        <f>SUM('08'!L60:'08'!L64)</f>
        <v>0</v>
      </c>
      <c r="AF15" s="345"/>
      <c r="AG15" s="345"/>
      <c r="AH15" s="346"/>
      <c r="AI15" s="344">
        <f>SUM('09'!L60:'09'!L64)</f>
        <v>0</v>
      </c>
      <c r="AJ15" s="345"/>
      <c r="AK15" s="345"/>
      <c r="AL15" s="346"/>
      <c r="AM15" s="344">
        <f>SUM('10'!L60:'10'!L64)</f>
        <v>0</v>
      </c>
      <c r="AN15" s="345"/>
      <c r="AO15" s="345"/>
      <c r="AP15" s="346"/>
      <c r="AQ15" s="344">
        <f>SUM('11'!L60:'11'!L64)</f>
        <v>0</v>
      </c>
      <c r="AR15" s="345"/>
      <c r="AS15" s="345"/>
      <c r="AT15" s="346"/>
      <c r="AU15" s="344">
        <f>SUM('12'!L60:'12'!L64)</f>
        <v>0</v>
      </c>
      <c r="AV15" s="345"/>
      <c r="AW15" s="345"/>
      <c r="AX15" s="346"/>
      <c r="AZ15" s="210">
        <f t="shared" si="1"/>
        <v>2550.6</v>
      </c>
      <c r="BA15" s="112">
        <f t="shared" ca="1" si="0"/>
        <v>510.12</v>
      </c>
      <c r="BB15" s="1"/>
      <c r="BC15" s="1"/>
    </row>
    <row r="16" spans="1:55" ht="16.5" thickBot="1">
      <c r="A16" s="191" t="s">
        <v>42</v>
      </c>
      <c r="B16" s="196">
        <v>2018.96</v>
      </c>
      <c r="C16" s="344">
        <f>SUM('01'!L65:'01'!L69)</f>
        <v>85</v>
      </c>
      <c r="D16" s="345"/>
      <c r="E16" s="345"/>
      <c r="F16" s="346"/>
      <c r="G16" s="344">
        <f>SUM('02'!L65:'02'!L69)</f>
        <v>0</v>
      </c>
      <c r="H16" s="345"/>
      <c r="I16" s="345"/>
      <c r="J16" s="346"/>
      <c r="K16" s="344">
        <f>SUM('03'!L65:'03'!L69)</f>
        <v>0</v>
      </c>
      <c r="L16" s="345"/>
      <c r="M16" s="345"/>
      <c r="N16" s="346"/>
      <c r="O16" s="344">
        <f>SUM('04'!L65:'04'!L69)</f>
        <v>0</v>
      </c>
      <c r="P16" s="345"/>
      <c r="Q16" s="345"/>
      <c r="R16" s="346"/>
      <c r="S16" s="344">
        <f>SUM('05'!L65:'05'!L69)</f>
        <v>0</v>
      </c>
      <c r="T16" s="345"/>
      <c r="U16" s="345"/>
      <c r="V16" s="346"/>
      <c r="W16" s="350">
        <f>SUM('06'!L65:'06'!L69)</f>
        <v>0</v>
      </c>
      <c r="X16" s="351"/>
      <c r="Y16" s="351"/>
      <c r="Z16" s="352"/>
      <c r="AA16" s="350">
        <f>SUM('07'!L65:'07'!L69)</f>
        <v>0</v>
      </c>
      <c r="AB16" s="351"/>
      <c r="AC16" s="351"/>
      <c r="AD16" s="352"/>
      <c r="AE16" s="350">
        <f>SUM('08'!L65:'08'!L69)</f>
        <v>0</v>
      </c>
      <c r="AF16" s="351"/>
      <c r="AG16" s="351"/>
      <c r="AH16" s="352"/>
      <c r="AI16" s="350">
        <f>SUM('09'!L65:'09'!L69)</f>
        <v>0</v>
      </c>
      <c r="AJ16" s="351"/>
      <c r="AK16" s="351"/>
      <c r="AL16" s="352"/>
      <c r="AM16" s="350">
        <f>SUM('10'!L65:'10'!L69)</f>
        <v>0</v>
      </c>
      <c r="AN16" s="351"/>
      <c r="AO16" s="351"/>
      <c r="AP16" s="352"/>
      <c r="AQ16" s="350">
        <f>SUM('11'!L65:'11'!L69)</f>
        <v>0</v>
      </c>
      <c r="AR16" s="351"/>
      <c r="AS16" s="351"/>
      <c r="AT16" s="352"/>
      <c r="AU16" s="350">
        <f>SUM('12'!L65:'12'!L69)</f>
        <v>0</v>
      </c>
      <c r="AV16" s="351"/>
      <c r="AW16" s="351"/>
      <c r="AX16" s="352"/>
      <c r="AZ16" s="213">
        <f t="shared" si="1"/>
        <v>85</v>
      </c>
      <c r="BA16" s="112">
        <f t="shared" ca="1" si="0"/>
        <v>17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64">
        <f>SUM(C8:C16)</f>
        <v>3691.57</v>
      </c>
      <c r="D17" s="365"/>
      <c r="E17" s="365"/>
      <c r="F17" s="366"/>
      <c r="G17" s="364">
        <f>SUM(G8:G16)</f>
        <v>4821.67</v>
      </c>
      <c r="H17" s="365"/>
      <c r="I17" s="365"/>
      <c r="J17" s="366"/>
      <c r="K17" s="364">
        <f>SUM(K8:K16)</f>
        <v>8724.6099999999988</v>
      </c>
      <c r="L17" s="365"/>
      <c r="M17" s="365"/>
      <c r="N17" s="366"/>
      <c r="O17" s="364">
        <f>SUM(O8:O16)</f>
        <v>4322.7000000000007</v>
      </c>
      <c r="P17" s="365"/>
      <c r="Q17" s="365"/>
      <c r="R17" s="366"/>
      <c r="S17" s="364">
        <f>SUM(S8:S16)</f>
        <v>5958.3200000000015</v>
      </c>
      <c r="T17" s="365"/>
      <c r="U17" s="365"/>
      <c r="V17" s="366"/>
      <c r="W17" s="364">
        <f>SUM(W8:W16)</f>
        <v>0</v>
      </c>
      <c r="X17" s="365"/>
      <c r="Y17" s="365"/>
      <c r="Z17" s="366"/>
      <c r="AA17" s="364">
        <f>SUM(AA8:AA16)</f>
        <v>0</v>
      </c>
      <c r="AB17" s="365"/>
      <c r="AC17" s="365"/>
      <c r="AD17" s="366"/>
      <c r="AE17" s="364">
        <f>SUM(AE8:AE16)</f>
        <v>0</v>
      </c>
      <c r="AF17" s="365"/>
      <c r="AG17" s="365"/>
      <c r="AH17" s="366"/>
      <c r="AI17" s="364">
        <f>SUM(AI8:AI16)</f>
        <v>0</v>
      </c>
      <c r="AJ17" s="365"/>
      <c r="AK17" s="365"/>
      <c r="AL17" s="366"/>
      <c r="AM17" s="364">
        <f>SUM(AM8:AM16)</f>
        <v>0</v>
      </c>
      <c r="AN17" s="365"/>
      <c r="AO17" s="365"/>
      <c r="AP17" s="366"/>
      <c r="AQ17" s="364">
        <f>SUM(AQ8:AQ16)</f>
        <v>0</v>
      </c>
      <c r="AR17" s="365"/>
      <c r="AS17" s="365"/>
      <c r="AT17" s="366"/>
      <c r="AU17" s="364">
        <f>SUM(AU8:AU16)</f>
        <v>0</v>
      </c>
      <c r="AV17" s="365"/>
      <c r="AW17" s="365"/>
      <c r="AX17" s="366"/>
      <c r="AZ17" s="227">
        <f>SUM(AZ8:AZ16)</f>
        <v>27518.87</v>
      </c>
      <c r="BA17" s="112">
        <f ca="1">AZ17/BC$17</f>
        <v>5503.7739999999994</v>
      </c>
      <c r="BB17" s="1" t="s">
        <v>83</v>
      </c>
      <c r="BC17" s="1">
        <f ca="1">MONTH(TODAY())</f>
        <v>5</v>
      </c>
      <c r="BD17" s="39"/>
    </row>
    <row r="18" spans="1:62" ht="32.25" customHeight="1" thickTop="1" thickBot="1">
      <c r="A18" s="10"/>
      <c r="B18" s="10"/>
      <c r="C18" s="367"/>
      <c r="D18" s="367"/>
      <c r="E18" s="367"/>
      <c r="F18" s="367"/>
      <c r="G18" s="367"/>
      <c r="H18" s="367"/>
      <c r="I18" s="367"/>
      <c r="J18" s="367"/>
      <c r="K18" s="367"/>
      <c r="L18" s="367"/>
      <c r="M18" s="367"/>
      <c r="N18" s="367"/>
      <c r="O18" s="367"/>
      <c r="P18" s="367"/>
      <c r="Q18" s="367"/>
      <c r="R18" s="367"/>
      <c r="S18" s="367"/>
      <c r="T18" s="367"/>
      <c r="U18" s="367"/>
      <c r="V18" s="367"/>
      <c r="W18" s="367"/>
      <c r="X18" s="367"/>
      <c r="Y18" s="367"/>
      <c r="Z18" s="367"/>
      <c r="AA18" s="367"/>
      <c r="AB18" s="367"/>
      <c r="AC18" s="367"/>
      <c r="AD18" s="367"/>
      <c r="AE18" s="367"/>
      <c r="AF18" s="367"/>
      <c r="AG18" s="367"/>
      <c r="AH18" s="367"/>
      <c r="AI18" s="367"/>
      <c r="AJ18" s="367"/>
      <c r="AK18" s="367"/>
      <c r="AL18" s="367"/>
      <c r="AM18" s="367"/>
      <c r="AN18" s="367"/>
      <c r="AO18" s="367"/>
      <c r="AP18" s="367"/>
      <c r="AQ18" s="367"/>
      <c r="AR18" s="367"/>
      <c r="AS18" s="367"/>
      <c r="AT18" s="367"/>
      <c r="AU18" s="367" t="s">
        <v>173</v>
      </c>
      <c r="AV18" s="367"/>
      <c r="AW18" s="367"/>
      <c r="AX18" s="367"/>
      <c r="AZ18" s="131">
        <f>(2500*13)+(600*12)+(550*12)+(95*12)</f>
        <v>47440</v>
      </c>
      <c r="BA18" s="131">
        <f ca="1">12*BA17</f>
        <v>66045.288</v>
      </c>
      <c r="BB18" s="1"/>
      <c r="BC18" s="1"/>
    </row>
    <row r="19" spans="1:62" ht="17.25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544</v>
      </c>
      <c r="Y20" s="144">
        <f>SUM('06'!D20:F20)</f>
        <v>0</v>
      </c>
      <c r="Z20" s="145">
        <f t="shared" ref="Z20:Z45" si="7">V20+X20-Y20</f>
        <v>766.67999999999984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1310.6799999999998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1854.6799999999998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2398.6799999999998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2942.68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3486.68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4030.68</v>
      </c>
      <c r="AZ20" s="123">
        <f t="shared" ref="AZ20:AZ27" si="14">E20+I20+M20+Q20+U20+Y20+AC20+AG20+AK20+AO20+AS20+AW20</f>
        <v>3129.28</v>
      </c>
      <c r="BA20" s="21">
        <f t="shared" ref="BA20:BA45" si="15">AZ20/AZ$46</f>
        <v>0.12573282337545344</v>
      </c>
      <c r="BB20" s="22">
        <f>_xlfn.RANK.EQ(BA20,$BA$20:$BA$45,)</f>
        <v>3</v>
      </c>
      <c r="BC20" s="22">
        <f t="shared" ref="BC20:BC45" ca="1" si="16">AZ20/BC$17</f>
        <v>625.85599999999999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2903.18</v>
      </c>
      <c r="BF20" s="21">
        <f t="shared" ref="BF20:BF45" ca="1" si="18">BE20/BE$46</f>
        <v>0.10549779115203492</v>
      </c>
      <c r="BG20" s="22">
        <f ca="1">_xlfn.RANK.EQ(BF20,$BF$20:$BF$45,)</f>
        <v>4</v>
      </c>
      <c r="BH20" s="22">
        <f t="shared" ref="BH20:BH45" ca="1" si="19">BE20/BC$17</f>
        <v>580.63599999999997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-226.09999999999985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0</v>
      </c>
      <c r="Z21" s="151">
        <f t="shared" si="7"/>
        <v>1440.0299999999995</v>
      </c>
      <c r="AA21" s="148" t="s">
        <v>72</v>
      </c>
      <c r="AB21" s="149">
        <f>'07'!B40</f>
        <v>1148</v>
      </c>
      <c r="AC21" s="150">
        <f>SUM('07'!D40:F40)</f>
        <v>0</v>
      </c>
      <c r="AD21" s="151">
        <f t="shared" si="8"/>
        <v>2588.0299999999997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3716.0299999999997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4844.03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5972.03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7100.03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8228.0299999999988</v>
      </c>
      <c r="AZ21" s="152">
        <f t="shared" si="14"/>
        <v>6125.83</v>
      </c>
      <c r="BA21" s="21">
        <f t="shared" si="15"/>
        <v>0.24613262521028922</v>
      </c>
      <c r="BB21" s="22">
        <f t="shared" ref="BB21:BB45" si="20">_xlfn.RANK.EQ(BA21,$BA$20:$BA$45,)</f>
        <v>1</v>
      </c>
      <c r="BC21" s="22">
        <f t="shared" ca="1" si="16"/>
        <v>1225.1659999999999</v>
      </c>
      <c r="BE21" s="224">
        <f t="shared" ca="1" si="17"/>
        <v>5765</v>
      </c>
      <c r="BF21" s="21">
        <f t="shared" ca="1" si="18"/>
        <v>0.20949261361385837</v>
      </c>
      <c r="BG21" s="22">
        <f t="shared" ref="BG21:BG45" ca="1" si="21">_xlfn.RANK.EQ(BF21,$BF$20:$BF$45,)</f>
        <v>1</v>
      </c>
      <c r="BH21" s="22">
        <f t="shared" ca="1" si="19"/>
        <v>1153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-360.83000000000015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0</v>
      </c>
      <c r="Z22" s="156">
        <f t="shared" si="7"/>
        <v>782.9000000000002</v>
      </c>
      <c r="AA22" s="143" t="s">
        <v>72</v>
      </c>
      <c r="AB22" s="155">
        <f>'07'!B60</f>
        <v>300</v>
      </c>
      <c r="AC22" s="155">
        <f>SUM('07'!D60:F60)</f>
        <v>0</v>
      </c>
      <c r="AD22" s="156">
        <f t="shared" si="8"/>
        <v>1082.9000000000001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1572.9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2062.9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2552.9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3042.9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3532.9</v>
      </c>
      <c r="AZ22" s="157">
        <f t="shared" si="14"/>
        <v>1617.17</v>
      </c>
      <c r="BA22" s="21">
        <f t="shared" si="15"/>
        <v>6.4977039439769541E-2</v>
      </c>
      <c r="BB22" s="22">
        <f t="shared" si="20"/>
        <v>6</v>
      </c>
      <c r="BC22" s="22">
        <f t="shared" ca="1" si="16"/>
        <v>323.43400000000003</v>
      </c>
      <c r="BE22" s="225">
        <f t="shared" ca="1" si="17"/>
        <v>1854</v>
      </c>
      <c r="BF22" s="21">
        <f t="shared" ca="1" si="18"/>
        <v>6.7371952409383068E-2</v>
      </c>
      <c r="BG22" s="22">
        <f t="shared" ca="1" si="21"/>
        <v>6</v>
      </c>
      <c r="BH22" s="22">
        <f t="shared" ca="1" si="19"/>
        <v>370.8</v>
      </c>
      <c r="BJ22" s="225">
        <f t="shared" ca="1" si="22"/>
        <v>236.83000000000004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170</v>
      </c>
      <c r="Y23" s="150">
        <f>SUM('06'!D80:F80)</f>
        <v>0</v>
      </c>
      <c r="Z23" s="151">
        <f t="shared" si="7"/>
        <v>269.33000000000004</v>
      </c>
      <c r="AA23" s="148" t="s">
        <v>72</v>
      </c>
      <c r="AB23" s="149">
        <f>'07'!B80</f>
        <v>170</v>
      </c>
      <c r="AC23" s="150">
        <f>SUM('07'!D80:F80)</f>
        <v>0</v>
      </c>
      <c r="AD23" s="151">
        <f t="shared" si="8"/>
        <v>439.33000000000004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589.33000000000004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739.33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889.33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1039.33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1189.33</v>
      </c>
      <c r="AZ23" s="152">
        <f t="shared" si="14"/>
        <v>862.8</v>
      </c>
      <c r="BA23" s="21">
        <f t="shared" si="15"/>
        <v>3.4666849885066603E-2</v>
      </c>
      <c r="BB23" s="22">
        <f t="shared" si="20"/>
        <v>7</v>
      </c>
      <c r="BC23" s="22">
        <f t="shared" ca="1" si="16"/>
        <v>172.56</v>
      </c>
      <c r="BE23" s="224">
        <f t="shared" ca="1" si="17"/>
        <v>920</v>
      </c>
      <c r="BF23" s="21">
        <f t="shared" ca="1" si="18"/>
        <v>3.3431605294839496E-2</v>
      </c>
      <c r="BG23" s="22">
        <f t="shared" ca="1" si="21"/>
        <v>10</v>
      </c>
      <c r="BH23" s="22">
        <f t="shared" ca="1" si="19"/>
        <v>184</v>
      </c>
      <c r="BJ23" s="224">
        <f t="shared" ca="1" si="22"/>
        <v>57.200000000000045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160</v>
      </c>
      <c r="Y24" s="155">
        <f>SUM('06'!D100:F100)</f>
        <v>0</v>
      </c>
      <c r="Z24" s="156">
        <f t="shared" si="7"/>
        <v>282.87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442.87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602.87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762.87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922.87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1082.8699999999999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1242.8699999999999</v>
      </c>
      <c r="AZ24" s="157">
        <f t="shared" si="14"/>
        <v>687.13</v>
      </c>
      <c r="BA24" s="21">
        <f t="shared" si="15"/>
        <v>2.7608521744930243E-2</v>
      </c>
      <c r="BB24" s="22">
        <f t="shared" si="20"/>
        <v>8</v>
      </c>
      <c r="BC24" s="22">
        <f t="shared" ca="1" si="16"/>
        <v>137.42599999999999</v>
      </c>
      <c r="BE24" s="225">
        <f t="shared" ca="1" si="17"/>
        <v>810</v>
      </c>
      <c r="BF24" s="21">
        <f t="shared" ca="1" si="18"/>
        <v>2.9434348140021729E-2</v>
      </c>
      <c r="BG24" s="22">
        <f t="shared" ca="1" si="21"/>
        <v>11</v>
      </c>
      <c r="BH24" s="22">
        <f t="shared" ca="1" si="19"/>
        <v>162</v>
      </c>
      <c r="BJ24" s="225">
        <f t="shared" ca="1" si="22"/>
        <v>122.86999999999998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0</v>
      </c>
      <c r="Z25" s="151">
        <f t="shared" si="7"/>
        <v>3299.9999999999977</v>
      </c>
      <c r="AA25" s="148" t="s">
        <v>72</v>
      </c>
      <c r="AB25" s="149">
        <f>'07'!B120</f>
        <v>445</v>
      </c>
      <c r="AC25" s="150">
        <f>SUM('07'!D120:F120)</f>
        <v>0</v>
      </c>
      <c r="AD25" s="151">
        <f t="shared" si="8"/>
        <v>3744.9999999999977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4149.9999999999982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4554.9999999999982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4959.9999999999982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5364.9999999999982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5769.9999999999982</v>
      </c>
      <c r="AZ25" s="152">
        <f t="shared" si="14"/>
        <v>1700.9</v>
      </c>
      <c r="BA25" s="21">
        <f t="shared" si="15"/>
        <v>6.8341266770410053E-2</v>
      </c>
      <c r="BB25" s="22">
        <f t="shared" si="20"/>
        <v>5</v>
      </c>
      <c r="BC25" s="22">
        <f t="shared" ca="1" si="16"/>
        <v>340.18</v>
      </c>
      <c r="BE25" s="224">
        <f t="shared" ca="1" si="17"/>
        <v>1393.35</v>
      </c>
      <c r="BF25" s="21">
        <f t="shared" ca="1" si="18"/>
        <v>5.0632529606048492E-2</v>
      </c>
      <c r="BG25" s="22">
        <f t="shared" ca="1" si="21"/>
        <v>7</v>
      </c>
      <c r="BH25" s="22">
        <f t="shared" ca="1" si="19"/>
        <v>278.66999999999996</v>
      </c>
      <c r="BJ25" s="224">
        <f t="shared" ca="1" si="22"/>
        <v>-307.55000000000064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0</v>
      </c>
      <c r="Z26" s="156">
        <f t="shared" si="7"/>
        <v>75.52</v>
      </c>
      <c r="AA26" s="143" t="s">
        <v>72</v>
      </c>
      <c r="AB26" s="155">
        <f>'07'!B140</f>
        <v>53</v>
      </c>
      <c r="AC26" s="155">
        <f>SUM('07'!D140:F140)</f>
        <v>0</v>
      </c>
      <c r="AD26" s="156">
        <f t="shared" si="8"/>
        <v>128.51999999999998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176.51999999999998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224.51999999999998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272.52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320.52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368.52</v>
      </c>
      <c r="AZ26" s="157">
        <f t="shared" si="14"/>
        <v>257.47000000000003</v>
      </c>
      <c r="BA26" s="21">
        <f t="shared" si="15"/>
        <v>1.0345009086587968E-2</v>
      </c>
      <c r="BB26" s="22">
        <f t="shared" si="20"/>
        <v>17</v>
      </c>
      <c r="BC26" s="22">
        <f t="shared" ca="1" si="16"/>
        <v>51.494000000000007</v>
      </c>
      <c r="BE26" s="225">
        <f t="shared" ca="1" si="17"/>
        <v>260.45</v>
      </c>
      <c r="BF26" s="21">
        <f t="shared" ca="1" si="18"/>
        <v>9.4644147815662466E-3</v>
      </c>
      <c r="BG26" s="22">
        <f t="shared" ca="1" si="21"/>
        <v>16</v>
      </c>
      <c r="BH26" s="22">
        <f t="shared" ca="1" si="19"/>
        <v>52.089999999999996</v>
      </c>
      <c r="BJ26" s="225">
        <f t="shared" ca="1" si="22"/>
        <v>2.9800000000000466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50</v>
      </c>
      <c r="Y27" s="186">
        <f>SUM('06'!D160:F160)</f>
        <v>0</v>
      </c>
      <c r="Z27" s="187">
        <f t="shared" si="7"/>
        <v>322.7000000000001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372.7000000000001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422.7000000000001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472.7000000000001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522.70000000000005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572.70000000000005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622.70000000000005</v>
      </c>
      <c r="AZ27" s="188">
        <f t="shared" si="14"/>
        <v>281.25</v>
      </c>
      <c r="BA27" s="21">
        <f t="shared" si="15"/>
        <v>1.1300476970531968E-2</v>
      </c>
      <c r="BB27" s="22">
        <f t="shared" si="20"/>
        <v>16</v>
      </c>
      <c r="BC27" s="22">
        <f t="shared" ca="1" si="16"/>
        <v>56.25</v>
      </c>
      <c r="BE27" s="224">
        <f t="shared" ca="1" si="17"/>
        <v>250</v>
      </c>
      <c r="BF27" s="21">
        <f t="shared" ca="1" si="18"/>
        <v>9.0846753518585583E-3</v>
      </c>
      <c r="BG27" s="22">
        <f t="shared" ca="1" si="21"/>
        <v>17</v>
      </c>
      <c r="BH27" s="22">
        <f t="shared" ca="1" si="19"/>
        <v>50</v>
      </c>
      <c r="BJ27" s="224">
        <f t="shared" ca="1" si="22"/>
        <v>-31.249999999999943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1696.2800000000002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1896.2800000000002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2096.2800000000002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2296.2800000000002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2496.2800000000002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2696.28</v>
      </c>
      <c r="AZ28" s="182">
        <f t="shared" ref="AZ28:AZ45" si="23">E28+I28+M28+Q28+U28+Y28+AC28+AG28+AK28+AO28+AS28+AW28</f>
        <v>1992.81</v>
      </c>
      <c r="BA28" s="21">
        <f t="shared" si="15"/>
        <v>8.0070056930296216E-2</v>
      </c>
      <c r="BB28" s="22">
        <f t="shared" si="20"/>
        <v>4</v>
      </c>
      <c r="BC28" s="22">
        <f t="shared" ca="1" si="16"/>
        <v>398.56200000000001</v>
      </c>
      <c r="BE28" s="223">
        <f t="shared" ca="1" si="17"/>
        <v>2680.04</v>
      </c>
      <c r="BF28" s="21">
        <f t="shared" ca="1" si="18"/>
        <v>9.7389173319980052E-2</v>
      </c>
      <c r="BG28" s="22">
        <f t="shared" ca="1" si="21"/>
        <v>5</v>
      </c>
      <c r="BH28" s="22">
        <f t="shared" ca="1" si="19"/>
        <v>536.00800000000004</v>
      </c>
      <c r="BJ28" s="223">
        <f t="shared" ca="1" si="22"/>
        <v>687.23000000000013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70</v>
      </c>
      <c r="Y29" s="150">
        <f>SUM('06'!D200:F200)</f>
        <v>0</v>
      </c>
      <c r="Z29" s="160">
        <f t="shared" si="7"/>
        <v>172.80000000000007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242.80000000000007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312.80000000000007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382.80000000000007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452.80000000000007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522.80000000000007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592.80000000000007</v>
      </c>
      <c r="AZ29" s="152">
        <f t="shared" si="23"/>
        <v>174.53</v>
      </c>
      <c r="BA29" s="21">
        <f t="shared" si="15"/>
        <v>7.012523540149136E-3</v>
      </c>
      <c r="BB29" s="22">
        <f t="shared" si="20"/>
        <v>18</v>
      </c>
      <c r="BC29" s="22">
        <f t="shared" ca="1" si="16"/>
        <v>34.905999999999999</v>
      </c>
      <c r="BE29" s="224">
        <f t="shared" ca="1" si="17"/>
        <v>324</v>
      </c>
      <c r="BF29" s="21">
        <f t="shared" ca="1" si="18"/>
        <v>1.1773739256008692E-2</v>
      </c>
      <c r="BG29" s="22">
        <f t="shared" ca="1" si="21"/>
        <v>15</v>
      </c>
      <c r="BH29" s="22">
        <f t="shared" ca="1" si="19"/>
        <v>64.8</v>
      </c>
      <c r="BJ29" s="224">
        <f t="shared" ca="1" si="22"/>
        <v>149.47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127.08999999999997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162.08999999999997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197.08999999999997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232.08999999999997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267.08999999999997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302.08999999999997</v>
      </c>
      <c r="AZ30" s="157">
        <f t="shared" si="23"/>
        <v>131.07999999999998</v>
      </c>
      <c r="BA30" s="21">
        <f t="shared" si="15"/>
        <v>5.2667254090571743E-3</v>
      </c>
      <c r="BB30" s="22">
        <f t="shared" si="20"/>
        <v>20</v>
      </c>
      <c r="BC30" s="22">
        <f t="shared" ca="1" si="16"/>
        <v>26.215999999999998</v>
      </c>
      <c r="BE30" s="225">
        <f t="shared" ca="1" si="17"/>
        <v>215</v>
      </c>
      <c r="BF30" s="21">
        <f t="shared" ca="1" si="18"/>
        <v>7.8128208025983609E-3</v>
      </c>
      <c r="BG30" s="22">
        <f t="shared" ca="1" si="21"/>
        <v>19</v>
      </c>
      <c r="BH30" s="22">
        <f t="shared" ca="1" si="19"/>
        <v>43</v>
      </c>
      <c r="BJ30" s="225">
        <f t="shared" ca="1" si="22"/>
        <v>83.92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80.639999999999986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100.63999999999999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120.63999999999999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140.63999999999999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160.63999999999999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180.64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200.64</v>
      </c>
      <c r="AZ31" s="152">
        <f t="shared" si="23"/>
        <v>115.4</v>
      </c>
      <c r="BA31" s="21">
        <f t="shared" si="15"/>
        <v>4.6367112618644945E-3</v>
      </c>
      <c r="BB31" s="22">
        <f t="shared" si="20"/>
        <v>21</v>
      </c>
      <c r="BC31" s="22">
        <f t="shared" ca="1" si="16"/>
        <v>23.080000000000002</v>
      </c>
      <c r="BE31" s="224">
        <f t="shared" ca="1" si="17"/>
        <v>100</v>
      </c>
      <c r="BF31" s="21">
        <f t="shared" ca="1" si="18"/>
        <v>3.6338701407434234E-3</v>
      </c>
      <c r="BG31" s="22">
        <f t="shared" ca="1" si="21"/>
        <v>21</v>
      </c>
      <c r="BH31" s="22">
        <f t="shared" ca="1" si="19"/>
        <v>20</v>
      </c>
      <c r="BJ31" s="224">
        <f t="shared" ca="1" si="22"/>
        <v>-15.400000000000013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327.23</v>
      </c>
      <c r="V32" s="161">
        <f t="shared" si="6"/>
        <v>750.61999999999989</v>
      </c>
      <c r="W32" s="143" t="s">
        <v>70</v>
      </c>
      <c r="X32" s="155">
        <f>'06'!B260</f>
        <v>100</v>
      </c>
      <c r="Y32" s="155">
        <f>SUM('06'!D260:F260)</f>
        <v>0</v>
      </c>
      <c r="Z32" s="161">
        <f t="shared" si="7"/>
        <v>850.61999999999989</v>
      </c>
      <c r="AA32" s="143" t="s">
        <v>72</v>
      </c>
      <c r="AB32" s="155">
        <f>'07'!B260</f>
        <v>100</v>
      </c>
      <c r="AC32" s="155">
        <f>SUM('07'!D260:F260)</f>
        <v>0</v>
      </c>
      <c r="AD32" s="161">
        <f t="shared" si="8"/>
        <v>950.61999999999989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1000.6199999999999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1050.6199999999999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1100.6199999999999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1150.6199999999999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1200.6199999999999</v>
      </c>
      <c r="AZ32" s="157">
        <f t="shared" si="23"/>
        <v>458.26</v>
      </c>
      <c r="BA32" s="21">
        <f t="shared" si="15"/>
        <v>1.841264560539015E-2</v>
      </c>
      <c r="BB32" s="22">
        <f t="shared" si="20"/>
        <v>12</v>
      </c>
      <c r="BC32" s="22">
        <f t="shared" ca="1" si="16"/>
        <v>91.652000000000001</v>
      </c>
      <c r="BE32" s="225">
        <f t="shared" ca="1" si="17"/>
        <v>1223.1300000000001</v>
      </c>
      <c r="BF32" s="21">
        <f t="shared" ca="1" si="18"/>
        <v>4.4446955852475038E-2</v>
      </c>
      <c r="BG32" s="22">
        <f t="shared" ca="1" si="21"/>
        <v>8</v>
      </c>
      <c r="BH32" s="22">
        <f t="shared" ca="1" si="19"/>
        <v>244.62600000000003</v>
      </c>
      <c r="BJ32" s="225">
        <f t="shared" ca="1" si="22"/>
        <v>764.86999999999989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0</v>
      </c>
      <c r="Z33" s="160">
        <f t="shared" si="7"/>
        <v>537.59000000000026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587.59000000000026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637.59000000000026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687.59000000000026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737.59000000000026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787.59000000000026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837.59000000000026</v>
      </c>
      <c r="AZ33" s="152">
        <f t="shared" si="23"/>
        <v>4204.3500000000004</v>
      </c>
      <c r="BA33" s="21">
        <f t="shared" si="15"/>
        <v>0.16892857013708831</v>
      </c>
      <c r="BB33" s="22">
        <f t="shared" si="20"/>
        <v>2</v>
      </c>
      <c r="BC33" s="22">
        <f t="shared" ca="1" si="16"/>
        <v>840.87000000000012</v>
      </c>
      <c r="BE33" s="224">
        <f t="shared" ca="1" si="17"/>
        <v>4271.9400000000005</v>
      </c>
      <c r="BF33" s="21">
        <f t="shared" ca="1" si="18"/>
        <v>0.15523675209047463</v>
      </c>
      <c r="BG33" s="22">
        <f t="shared" ca="1" si="21"/>
        <v>2</v>
      </c>
      <c r="BH33" s="22">
        <f t="shared" ca="1" si="19"/>
        <v>854.38800000000015</v>
      </c>
      <c r="BJ33" s="224">
        <f t="shared" ca="1" si="22"/>
        <v>67.590000000000259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192.64999999999998</v>
      </c>
      <c r="V34" s="161">
        <f t="shared" si="6"/>
        <v>150.89999999999992</v>
      </c>
      <c r="W34" s="143" t="s">
        <v>70</v>
      </c>
      <c r="X34" s="155">
        <f>'06'!B300</f>
        <v>90</v>
      </c>
      <c r="Y34" s="155">
        <f>SUM('06'!D300:F300)</f>
        <v>0</v>
      </c>
      <c r="Z34" s="161">
        <f t="shared" si="7"/>
        <v>240.89999999999992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330.89999999999992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420.89999999999992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510.89999999999992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600.89999999999986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690.89999999999986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780.89999999999986</v>
      </c>
      <c r="AZ34" s="152">
        <f t="shared" si="23"/>
        <v>572.70000000000005</v>
      </c>
      <c r="BA34" s="21">
        <f t="shared" si="15"/>
        <v>2.3010784572528566E-2</v>
      </c>
      <c r="BB34" s="22">
        <f t="shared" si="20"/>
        <v>10</v>
      </c>
      <c r="BC34" s="22">
        <f t="shared" ca="1" si="16"/>
        <v>114.54</v>
      </c>
      <c r="BE34" s="225">
        <f t="shared" ca="1" si="17"/>
        <v>622</v>
      </c>
      <c r="BF34" s="21">
        <f t="shared" ca="1" si="18"/>
        <v>2.2602672275424094E-2</v>
      </c>
      <c r="BG34" s="22">
        <f t="shared" ca="1" si="21"/>
        <v>12</v>
      </c>
      <c r="BH34" s="22">
        <f t="shared" ca="1" si="19"/>
        <v>124.4</v>
      </c>
      <c r="BJ34" s="225">
        <f t="shared" ca="1" si="22"/>
        <v>49.300000000000011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0</v>
      </c>
      <c r="Z35" s="187">
        <f t="shared" si="7"/>
        <v>1883.0800000000004</v>
      </c>
      <c r="AA35" s="185" t="s">
        <v>72</v>
      </c>
      <c r="AB35" s="186">
        <f>'07'!B320</f>
        <v>130</v>
      </c>
      <c r="AC35" s="186">
        <f>SUM('07'!D320:F320)</f>
        <v>0</v>
      </c>
      <c r="AD35" s="187">
        <f t="shared" si="8"/>
        <v>2013.0800000000004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2128.0800000000004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2243.0800000000004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2358.0800000000004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2473.0800000000004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2588.0800000000004</v>
      </c>
      <c r="AZ35" s="188">
        <f t="shared" si="23"/>
        <v>662.5</v>
      </c>
      <c r="BA35" s="21">
        <f t="shared" si="15"/>
        <v>2.6618901308364192E-2</v>
      </c>
      <c r="BB35" s="22">
        <f t="shared" si="20"/>
        <v>9</v>
      </c>
      <c r="BC35" s="22">
        <f t="shared" ca="1" si="16"/>
        <v>132.5</v>
      </c>
      <c r="BE35" s="224">
        <f t="shared" ca="1" si="17"/>
        <v>925.98</v>
      </c>
      <c r="BF35" s="21">
        <f t="shared" ca="1" si="18"/>
        <v>3.3648910729255951E-2</v>
      </c>
      <c r="BG35" s="22">
        <f t="shared" ca="1" si="21"/>
        <v>9</v>
      </c>
      <c r="BH35" s="22">
        <f t="shared" ca="1" si="19"/>
        <v>185.196</v>
      </c>
      <c r="BJ35" s="224">
        <f t="shared" ca="1" si="22"/>
        <v>263.48</v>
      </c>
    </row>
    <row r="36" spans="1:62" ht="15.75">
      <c r="A36" s="163" t="s">
        <v>571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0</v>
      </c>
      <c r="Z36" s="156">
        <f t="shared" si="7"/>
        <v>301.92000000000007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391.92000000000007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481.92000000000007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571.92000000000007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661.92000000000007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751.92000000000007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841.92000000000007</v>
      </c>
      <c r="AZ36" s="182">
        <f t="shared" si="23"/>
        <v>449.09</v>
      </c>
      <c r="BA36" s="21">
        <f t="shared" si="15"/>
        <v>1.8044199831808716E-2</v>
      </c>
      <c r="BB36" s="22">
        <f t="shared" si="20"/>
        <v>13</v>
      </c>
      <c r="BC36" s="22">
        <f t="shared" ca="1" si="16"/>
        <v>89.817999999999998</v>
      </c>
      <c r="BE36" s="223">
        <f t="shared" ca="1" si="17"/>
        <v>560.02</v>
      </c>
      <c r="BF36" s="21">
        <f t="shared" ca="1" si="18"/>
        <v>2.0350399562191319E-2</v>
      </c>
      <c r="BG36" s="22">
        <f t="shared" ca="1" si="21"/>
        <v>13</v>
      </c>
      <c r="BH36" s="22">
        <f t="shared" ca="1" si="19"/>
        <v>112.00399999999999</v>
      </c>
      <c r="BJ36" s="223">
        <f t="shared" ca="1" si="22"/>
        <v>110.93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45</v>
      </c>
      <c r="Y37" s="165">
        <f>SUM('06'!D360:F360)</f>
        <v>0</v>
      </c>
      <c r="Z37" s="151">
        <f t="shared" si="7"/>
        <v>185.73000000000002</v>
      </c>
      <c r="AA37" s="148" t="s">
        <v>72</v>
      </c>
      <c r="AB37" s="165">
        <f>'07'!B360</f>
        <v>45</v>
      </c>
      <c r="AC37" s="165">
        <f>SUM('07'!D360:F360)</f>
        <v>0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367.65</v>
      </c>
      <c r="BA37" s="21">
        <f t="shared" si="15"/>
        <v>1.4771983495879389E-2</v>
      </c>
      <c r="BB37" s="22">
        <f t="shared" si="20"/>
        <v>15</v>
      </c>
      <c r="BC37" s="22">
        <f t="shared" ca="1" si="16"/>
        <v>73.53</v>
      </c>
      <c r="BE37" s="224">
        <f t="shared" ca="1" si="17"/>
        <v>235</v>
      </c>
      <c r="BF37" s="21">
        <f t="shared" ca="1" si="18"/>
        <v>8.5395948307470451E-3</v>
      </c>
      <c r="BG37" s="22">
        <f t="shared" ca="1" si="21"/>
        <v>18</v>
      </c>
      <c r="BH37" s="22">
        <f t="shared" ca="1" si="19"/>
        <v>47</v>
      </c>
      <c r="BJ37" s="224">
        <f t="shared" ca="1" si="22"/>
        <v>-132.64999999999998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0</v>
      </c>
      <c r="Z38" s="156">
        <f t="shared" si="7"/>
        <v>110.73000000000005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180.73000000000005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250.73000000000005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320.73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390.73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460.73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530.73</v>
      </c>
      <c r="AZ38" s="157">
        <f t="shared" si="23"/>
        <v>378.47</v>
      </c>
      <c r="BA38" s="21">
        <f t="shared" si="15"/>
        <v>1.5206725401021278E-2</v>
      </c>
      <c r="BB38" s="22">
        <f t="shared" si="20"/>
        <v>14</v>
      </c>
      <c r="BC38" s="22">
        <f t="shared" ca="1" si="16"/>
        <v>75.694000000000003</v>
      </c>
      <c r="BE38" s="225">
        <f t="shared" ca="1" si="17"/>
        <v>380</v>
      </c>
      <c r="BF38" s="21">
        <f t="shared" ca="1" si="18"/>
        <v>1.3808706534825009E-2</v>
      </c>
      <c r="BG38" s="22">
        <f t="shared" ca="1" si="21"/>
        <v>14</v>
      </c>
      <c r="BH38" s="22">
        <f t="shared" ca="1" si="19"/>
        <v>76</v>
      </c>
      <c r="BJ38" s="225">
        <f t="shared" ca="1" si="22"/>
        <v>1.5300000000000153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15</v>
      </c>
      <c r="Y39" s="165">
        <f>SUM('06'!D400:F400)</f>
        <v>0</v>
      </c>
      <c r="Z39" s="151">
        <f t="shared" si="7"/>
        <v>31.259999999999991</v>
      </c>
      <c r="AA39" s="148" t="s">
        <v>72</v>
      </c>
      <c r="AB39" s="165">
        <f>'07'!B400</f>
        <v>15</v>
      </c>
      <c r="AC39" s="165">
        <f>SUM('07'!D400:F400)</f>
        <v>0</v>
      </c>
      <c r="AD39" s="151">
        <f t="shared" si="8"/>
        <v>46.259999999999991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66.259999999999991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86.259999999999991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106.25999999999999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126.25999999999999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146.26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-1163.74</v>
      </c>
      <c r="BF39" s="21">
        <f t="shared" ca="1" si="18"/>
        <v>-4.2288800375887517E-2</v>
      </c>
      <c r="BG39" s="22">
        <f t="shared" ca="1" si="21"/>
        <v>26</v>
      </c>
      <c r="BH39" s="22">
        <f t="shared" ca="1" si="19"/>
        <v>-232.74799999999999</v>
      </c>
      <c r="BJ39" s="224">
        <f t="shared" ca="1" si="22"/>
        <v>-1163.74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0</v>
      </c>
      <c r="Z40" s="156">
        <f t="shared" si="7"/>
        <v>85.960000000000605</v>
      </c>
      <c r="AA40" s="143" t="s">
        <v>72</v>
      </c>
      <c r="AB40" s="166">
        <f>'07'!B420</f>
        <v>50</v>
      </c>
      <c r="AC40" s="166">
        <f>SUM('07'!D420:F420)</f>
        <v>0</v>
      </c>
      <c r="AD40" s="156">
        <f t="shared" si="8"/>
        <v>135.9600000000006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155.9600000000006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175.9600000000006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195.9600000000006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215.9600000000006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235.9600000000006</v>
      </c>
      <c r="AZ40" s="157">
        <f t="shared" si="23"/>
        <v>155.08000000000001</v>
      </c>
      <c r="BA40" s="21">
        <f t="shared" si="15"/>
        <v>6.2310327772092363E-3</v>
      </c>
      <c r="BB40" s="22">
        <f t="shared" si="20"/>
        <v>19</v>
      </c>
      <c r="BC40" s="22">
        <f t="shared" ca="1" si="16"/>
        <v>31.016000000000002</v>
      </c>
      <c r="BE40" s="225">
        <f t="shared" ca="1" si="17"/>
        <v>-613.47</v>
      </c>
      <c r="BF40" s="21">
        <f t="shared" ca="1" si="18"/>
        <v>-2.2292703152418682E-2</v>
      </c>
      <c r="BG40" s="22">
        <f t="shared" ca="1" si="21"/>
        <v>25</v>
      </c>
      <c r="BH40" s="22">
        <f t="shared" ca="1" si="19"/>
        <v>-122.694</v>
      </c>
      <c r="BJ40" s="225">
        <f t="shared" ca="1" si="22"/>
        <v>-768.54999999999984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-3900</v>
      </c>
      <c r="Y41" s="165">
        <f>SUM('06'!D440:F440)</f>
        <v>0</v>
      </c>
      <c r="Z41" s="151">
        <f t="shared" si="7"/>
        <v>4101.12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201.11999999999989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-3698.88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-7598.88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-11498.880000000001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-15398.880000000001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-19298.88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-548.87999999999818</v>
      </c>
      <c r="BF41" s="21">
        <f t="shared" ca="1" si="18"/>
        <v>-1.9945586428512439E-2</v>
      </c>
      <c r="BG41" s="22">
        <f t="shared" ca="1" si="21"/>
        <v>24</v>
      </c>
      <c r="BH41" s="22">
        <f t="shared" ca="1" si="19"/>
        <v>-109.77599999999964</v>
      </c>
      <c r="BJ41" s="224">
        <f t="shared" ca="1" si="22"/>
        <v>-548.87999999999829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10938.36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10938.36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10938.36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4046.2400000000002</v>
      </c>
      <c r="BF42" s="21">
        <f t="shared" ca="1" si="18"/>
        <v>0.1470351071828167</v>
      </c>
      <c r="BG42" s="22">
        <f t="shared" ca="1" si="21"/>
        <v>3</v>
      </c>
      <c r="BH42" s="22">
        <f t="shared" ca="1" si="19"/>
        <v>809.24800000000005</v>
      </c>
      <c r="BJ42" s="225">
        <f t="shared" ca="1" si="22"/>
        <v>4046.2400000000007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65</v>
      </c>
      <c r="Y43" s="149">
        <f>SUM('06'!D480:F480)</f>
        <v>0</v>
      </c>
      <c r="Z43" s="151">
        <f t="shared" si="7"/>
        <v>633.63000000000011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698.63000000000011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748.63000000000011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798.63000000000011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848.63000000000011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898.63000000000011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948.63000000000011</v>
      </c>
      <c r="AZ43" s="152">
        <f t="shared" si="23"/>
        <v>500</v>
      </c>
      <c r="BA43" s="21">
        <f t="shared" si="15"/>
        <v>2.0089736836501278E-2</v>
      </c>
      <c r="BB43" s="22">
        <f t="shared" si="20"/>
        <v>11</v>
      </c>
      <c r="BC43" s="22">
        <f t="shared" ca="1" si="16"/>
        <v>100</v>
      </c>
      <c r="BE43" s="224">
        <f t="shared" ca="1" si="17"/>
        <v>105.63000000000005</v>
      </c>
      <c r="BF43" s="21">
        <f t="shared" ca="1" si="18"/>
        <v>3.8384570296672803E-3</v>
      </c>
      <c r="BG43" s="22">
        <f t="shared" ca="1" si="21"/>
        <v>20</v>
      </c>
      <c r="BH43" s="22">
        <f t="shared" ca="1" si="19"/>
        <v>21.126000000000012</v>
      </c>
      <c r="BJ43" s="224">
        <f t="shared" ca="1" si="22"/>
        <v>-394.36999999999989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22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31.340000000000028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31.340000000000028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31.340000000000028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31.340000000000028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31.340000000000028</v>
      </c>
      <c r="AZ45" s="177">
        <f t="shared" si="23"/>
        <v>64.58</v>
      </c>
      <c r="BA45" s="21">
        <f t="shared" si="15"/>
        <v>2.5947904098025049E-3</v>
      </c>
      <c r="BB45" s="22">
        <f t="shared" si="20"/>
        <v>22</v>
      </c>
      <c r="BC45" s="22">
        <f t="shared" ca="1" si="16"/>
        <v>12.916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22</v>
      </c>
      <c r="BH45" s="22">
        <f t="shared" ca="1" si="19"/>
        <v>0</v>
      </c>
      <c r="BJ45" s="226">
        <f t="shared" ca="1" si="22"/>
        <v>-64.58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0</v>
      </c>
      <c r="Y46" s="219">
        <f>SUM(Y20:Y45)</f>
        <v>0</v>
      </c>
      <c r="Z46" s="220">
        <f>SUM(Z20:Z45)</f>
        <v>29014.079999999998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29014.079999999994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29014.080000000002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29014.079999999994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29014.079999999994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29014.079999999994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29014.080000000005</v>
      </c>
      <c r="AZ46" s="227">
        <f>SUM(AZ20:AZ45)</f>
        <v>24888.330000000009</v>
      </c>
      <c r="BA46" s="1"/>
      <c r="BB46" s="1"/>
      <c r="BC46" s="124">
        <f ca="1">SUM(BC20:BC45)</f>
        <v>4977.6660000000002</v>
      </c>
      <c r="BE46" s="227">
        <f ca="1">SUM(BE20:BE45)</f>
        <v>27518.870000000006</v>
      </c>
      <c r="BF46" s="1"/>
      <c r="BG46" s="1"/>
      <c r="BH46" s="124">
        <f ca="1">SUM(BH20:BH45)</f>
        <v>5503.7740000000013</v>
      </c>
      <c r="BJ46" s="227">
        <f ca="1">SUM(BJ20:BJ45)</f>
        <v>2630.5400000000022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0</v>
      </c>
      <c r="Z47" s="125"/>
      <c r="AA47" s="125">
        <f>AA5-Z46</f>
        <v>601.02000000000044</v>
      </c>
      <c r="AB47" s="125">
        <f>AA17-AB46</f>
        <v>0</v>
      </c>
      <c r="AC47" s="125">
        <f>AA17-AC46</f>
        <v>0</v>
      </c>
      <c r="AD47" s="125"/>
      <c r="AE47" s="125">
        <f>AE5-AD46</f>
        <v>-13912.189999999993</v>
      </c>
      <c r="AF47" s="125">
        <f>AE17-AF46</f>
        <v>0</v>
      </c>
      <c r="AG47" s="125">
        <f>AE17-AG46</f>
        <v>0</v>
      </c>
      <c r="AH47" s="125"/>
      <c r="AI47" s="125">
        <f>AI5-AH46</f>
        <v>-13912.19</v>
      </c>
      <c r="AJ47" s="125">
        <f>AI17-AJ46</f>
        <v>0</v>
      </c>
      <c r="AK47" s="125">
        <f>AI17-AK46</f>
        <v>0</v>
      </c>
      <c r="AL47" s="125"/>
      <c r="AM47" s="125">
        <f>AM5-AL46</f>
        <v>-13912.189999999993</v>
      </c>
      <c r="AN47" s="125">
        <f>AM17-AN46</f>
        <v>0</v>
      </c>
      <c r="AO47" s="125">
        <f>AM17-AO46</f>
        <v>0</v>
      </c>
      <c r="AP47" s="125"/>
      <c r="AQ47" s="125">
        <f>AQ5-AP46</f>
        <v>-13912.189999999993</v>
      </c>
      <c r="AR47" s="125">
        <f>AQ17-AR46</f>
        <v>0</v>
      </c>
      <c r="AS47" s="125">
        <f>AQ17-AS46</f>
        <v>0</v>
      </c>
      <c r="AT47" s="140"/>
      <c r="AU47" s="125">
        <f>AU5-AT46</f>
        <v>-13912.189999999993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59731.991999999998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613</v>
      </c>
      <c r="W50" s="119"/>
      <c r="X50" s="119"/>
      <c r="Y50" s="119">
        <f>Y22+(N59/2)</f>
        <v>6.8</v>
      </c>
      <c r="Z50" s="119" t="s">
        <v>614</v>
      </c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68" t="s">
        <v>149</v>
      </c>
      <c r="D52" s="369"/>
      <c r="E52" s="369"/>
      <c r="F52" s="370"/>
      <c r="G52" s="368" t="s">
        <v>149</v>
      </c>
      <c r="H52" s="369"/>
      <c r="I52" s="369"/>
      <c r="J52" s="370"/>
      <c r="K52" s="368" t="s">
        <v>149</v>
      </c>
      <c r="L52" s="369"/>
      <c r="M52" s="369"/>
      <c r="N52" s="370"/>
      <c r="O52" s="368" t="s">
        <v>149</v>
      </c>
      <c r="P52" s="369"/>
      <c r="Q52" s="369"/>
      <c r="R52" s="370"/>
      <c r="S52" s="368" t="s">
        <v>149</v>
      </c>
      <c r="T52" s="369"/>
      <c r="U52" s="369"/>
      <c r="V52" s="370"/>
      <c r="W52" s="368" t="s">
        <v>149</v>
      </c>
      <c r="X52" s="369"/>
      <c r="Y52" s="369"/>
      <c r="Z52" s="370"/>
      <c r="AA52" s="368" t="s">
        <v>149</v>
      </c>
      <c r="AB52" s="369"/>
      <c r="AC52" s="369"/>
      <c r="AD52" s="370"/>
      <c r="AE52" s="368" t="s">
        <v>149</v>
      </c>
      <c r="AF52" s="369"/>
      <c r="AG52" s="369"/>
      <c r="AH52" s="370"/>
      <c r="AI52" s="368" t="s">
        <v>149</v>
      </c>
      <c r="AJ52" s="369"/>
      <c r="AK52" s="369"/>
      <c r="AL52" s="370"/>
      <c r="AM52" s="368" t="s">
        <v>149</v>
      </c>
      <c r="AN52" s="369"/>
      <c r="AO52" s="369"/>
      <c r="AP52" s="370"/>
      <c r="AQ52" s="368" t="s">
        <v>149</v>
      </c>
      <c r="AR52" s="369"/>
      <c r="AS52" s="369"/>
      <c r="AT52" s="370"/>
      <c r="AU52" s="368" t="s">
        <v>149</v>
      </c>
      <c r="AV52" s="369"/>
      <c r="AW52" s="369"/>
      <c r="AX52" s="370"/>
    </row>
    <row r="53" spans="1:62" ht="15.75" thickBot="1">
      <c r="C53" s="93" t="s">
        <v>150</v>
      </c>
      <c r="D53" s="371" t="s">
        <v>31</v>
      </c>
      <c r="E53" s="372"/>
      <c r="F53" s="94" t="s">
        <v>88</v>
      </c>
      <c r="G53" s="93" t="s">
        <v>150</v>
      </c>
      <c r="H53" s="371" t="s">
        <v>31</v>
      </c>
      <c r="I53" s="372"/>
      <c r="J53" s="94" t="s">
        <v>88</v>
      </c>
      <c r="K53" s="93" t="s">
        <v>150</v>
      </c>
      <c r="L53" s="371" t="s">
        <v>31</v>
      </c>
      <c r="M53" s="372"/>
      <c r="N53" s="94" t="s">
        <v>88</v>
      </c>
      <c r="O53" s="93" t="s">
        <v>150</v>
      </c>
      <c r="P53" s="371" t="s">
        <v>31</v>
      </c>
      <c r="Q53" s="372"/>
      <c r="R53" s="94" t="s">
        <v>88</v>
      </c>
      <c r="S53" s="93" t="s">
        <v>150</v>
      </c>
      <c r="T53" s="371" t="s">
        <v>31</v>
      </c>
      <c r="U53" s="372"/>
      <c r="V53" s="94" t="s">
        <v>88</v>
      </c>
      <c r="W53" s="93" t="s">
        <v>150</v>
      </c>
      <c r="X53" s="371" t="s">
        <v>31</v>
      </c>
      <c r="Y53" s="372"/>
      <c r="Z53" s="94" t="s">
        <v>88</v>
      </c>
      <c r="AA53" s="93" t="s">
        <v>150</v>
      </c>
      <c r="AB53" s="371" t="s">
        <v>31</v>
      </c>
      <c r="AC53" s="372"/>
      <c r="AD53" s="94" t="s">
        <v>88</v>
      </c>
      <c r="AE53" s="93" t="s">
        <v>150</v>
      </c>
      <c r="AF53" s="371" t="s">
        <v>31</v>
      </c>
      <c r="AG53" s="372"/>
      <c r="AH53" s="94" t="s">
        <v>88</v>
      </c>
      <c r="AI53" s="93" t="s">
        <v>150</v>
      </c>
      <c r="AJ53" s="371" t="s">
        <v>31</v>
      </c>
      <c r="AK53" s="372"/>
      <c r="AL53" s="94" t="s">
        <v>88</v>
      </c>
      <c r="AM53" s="93" t="s">
        <v>150</v>
      </c>
      <c r="AN53" s="371" t="s">
        <v>31</v>
      </c>
      <c r="AO53" s="372"/>
      <c r="AP53" s="94" t="s">
        <v>88</v>
      </c>
      <c r="AQ53" s="93" t="s">
        <v>150</v>
      </c>
      <c r="AR53" s="371" t="s">
        <v>31</v>
      </c>
      <c r="AS53" s="372"/>
      <c r="AT53" s="94" t="s">
        <v>88</v>
      </c>
      <c r="AU53" s="93" t="s">
        <v>150</v>
      </c>
      <c r="AV53" s="371" t="s">
        <v>31</v>
      </c>
      <c r="AW53" s="372"/>
      <c r="AX53" s="94" t="s">
        <v>88</v>
      </c>
    </row>
    <row r="54" spans="1:62">
      <c r="C54" s="95">
        <v>43495</v>
      </c>
      <c r="D54" s="373" t="s">
        <v>235</v>
      </c>
      <c r="E54" s="374"/>
      <c r="F54" s="98"/>
      <c r="G54" s="95">
        <v>43497</v>
      </c>
      <c r="H54" s="373" t="s">
        <v>270</v>
      </c>
      <c r="I54" s="374"/>
      <c r="J54" s="100">
        <v>500</v>
      </c>
      <c r="K54" s="95">
        <v>43539</v>
      </c>
      <c r="L54" s="379" t="s">
        <v>257</v>
      </c>
      <c r="M54" s="380"/>
      <c r="N54" s="100">
        <v>70</v>
      </c>
      <c r="O54" s="95"/>
      <c r="P54" s="384"/>
      <c r="Q54" s="385"/>
      <c r="R54" s="102"/>
      <c r="S54" s="95">
        <v>43594</v>
      </c>
      <c r="T54" s="379" t="s">
        <v>243</v>
      </c>
      <c r="U54" s="380"/>
      <c r="V54" s="103"/>
      <c r="W54" s="96"/>
      <c r="X54" s="394"/>
      <c r="Y54" s="395"/>
      <c r="Z54" s="104"/>
      <c r="AA54" s="95"/>
      <c r="AB54" s="386" t="s">
        <v>477</v>
      </c>
      <c r="AC54" s="387"/>
      <c r="AD54" s="239">
        <v>16</v>
      </c>
      <c r="AE54" s="95"/>
      <c r="AF54" s="398"/>
      <c r="AG54" s="399"/>
      <c r="AH54" s="100"/>
      <c r="AI54" s="95"/>
      <c r="AJ54" s="400"/>
      <c r="AK54" s="401"/>
      <c r="AL54" s="100"/>
      <c r="AM54" s="95"/>
      <c r="AN54" s="400"/>
      <c r="AO54" s="401"/>
      <c r="AP54" s="100"/>
      <c r="AQ54" s="95"/>
      <c r="AR54" s="384"/>
      <c r="AS54" s="385"/>
      <c r="AT54" s="100"/>
      <c r="AU54" s="95"/>
      <c r="AV54" s="373"/>
      <c r="AW54" s="374"/>
      <c r="AX54" s="100"/>
    </row>
    <row r="55" spans="1:62">
      <c r="C55" s="96"/>
      <c r="D55" s="377" t="s">
        <v>236</v>
      </c>
      <c r="E55" s="378"/>
      <c r="F55" s="98">
        <v>121.4</v>
      </c>
      <c r="G55" s="96">
        <v>43516</v>
      </c>
      <c r="H55" s="377" t="s">
        <v>311</v>
      </c>
      <c r="I55" s="378"/>
      <c r="J55" s="100"/>
      <c r="K55" s="96">
        <v>43553</v>
      </c>
      <c r="L55" s="377" t="s">
        <v>297</v>
      </c>
      <c r="M55" s="378"/>
      <c r="N55" s="100">
        <v>4421.9399999999996</v>
      </c>
      <c r="O55" s="96">
        <v>43565</v>
      </c>
      <c r="P55" s="377" t="s">
        <v>323</v>
      </c>
      <c r="Q55" s="378"/>
      <c r="R55" s="100">
        <v>10</v>
      </c>
      <c r="S55" s="96">
        <v>43607</v>
      </c>
      <c r="T55" s="377" t="s">
        <v>311</v>
      </c>
      <c r="U55" s="378"/>
      <c r="V55" s="100"/>
      <c r="W55" s="96"/>
      <c r="X55" s="394"/>
      <c r="Y55" s="395"/>
      <c r="Z55" s="100"/>
      <c r="AA55" s="96"/>
      <c r="AB55" s="377"/>
      <c r="AC55" s="378"/>
      <c r="AD55" s="100"/>
      <c r="AE55" s="96"/>
      <c r="AF55" s="394"/>
      <c r="AG55" s="395"/>
      <c r="AH55" s="100"/>
      <c r="AI55" s="96"/>
      <c r="AJ55" s="394"/>
      <c r="AK55" s="395"/>
      <c r="AL55" s="100"/>
      <c r="AM55" s="96"/>
      <c r="AN55" s="394"/>
      <c r="AO55" s="395"/>
      <c r="AP55" s="100"/>
      <c r="AQ55" s="96"/>
      <c r="AR55" s="377"/>
      <c r="AS55" s="378"/>
      <c r="AT55" s="100"/>
      <c r="AU55" s="96"/>
      <c r="AV55" s="377"/>
      <c r="AW55" s="378"/>
      <c r="AX55" s="100"/>
    </row>
    <row r="56" spans="1:62">
      <c r="B56" s="119"/>
      <c r="C56" s="96">
        <v>43472</v>
      </c>
      <c r="D56" s="377" t="s">
        <v>151</v>
      </c>
      <c r="E56" s="378"/>
      <c r="F56" s="98">
        <v>15</v>
      </c>
      <c r="G56" s="96">
        <v>43507</v>
      </c>
      <c r="H56" s="377" t="s">
        <v>323</v>
      </c>
      <c r="I56" s="378"/>
      <c r="J56" s="100">
        <v>10</v>
      </c>
      <c r="K56" s="96">
        <v>43529</v>
      </c>
      <c r="L56" s="377" t="s">
        <v>325</v>
      </c>
      <c r="M56" s="378"/>
      <c r="N56" s="100">
        <v>3362.6</v>
      </c>
      <c r="O56" s="96">
        <v>43576</v>
      </c>
      <c r="P56" s="386" t="s">
        <v>235</v>
      </c>
      <c r="Q56" s="387"/>
      <c r="R56" s="102"/>
      <c r="S56" s="96">
        <v>43615</v>
      </c>
      <c r="T56" s="377" t="s">
        <v>235</v>
      </c>
      <c r="U56" s="378"/>
      <c r="V56" s="100"/>
      <c r="W56" s="96"/>
      <c r="X56" s="377"/>
      <c r="Y56" s="378"/>
      <c r="Z56" s="100"/>
      <c r="AA56" s="96"/>
      <c r="AB56" s="377"/>
      <c r="AC56" s="378"/>
      <c r="AD56" s="100"/>
      <c r="AE56" s="96"/>
      <c r="AF56" s="394"/>
      <c r="AG56" s="395"/>
      <c r="AH56" s="100"/>
      <c r="AI56" s="96"/>
      <c r="AJ56" s="388"/>
      <c r="AK56" s="389"/>
      <c r="AL56" s="100"/>
      <c r="AM56" s="96"/>
      <c r="AN56" s="388"/>
      <c r="AO56" s="389"/>
      <c r="AP56" s="100"/>
      <c r="AQ56" s="96"/>
      <c r="AR56" s="394"/>
      <c r="AS56" s="395"/>
      <c r="AT56" s="100"/>
      <c r="AU56" s="96"/>
      <c r="AV56" s="377"/>
      <c r="AW56" s="378"/>
      <c r="AX56" s="100"/>
    </row>
    <row r="57" spans="1:62">
      <c r="C57" s="96">
        <v>43476</v>
      </c>
      <c r="D57" s="377" t="s">
        <v>153</v>
      </c>
      <c r="E57" s="378"/>
      <c r="F57" s="98">
        <v>10</v>
      </c>
      <c r="G57" s="96">
        <v>43516</v>
      </c>
      <c r="H57" s="377" t="s">
        <v>352</v>
      </c>
      <c r="I57" s="378"/>
      <c r="J57" s="100"/>
      <c r="K57" s="96">
        <v>43533</v>
      </c>
      <c r="L57" s="377" t="s">
        <v>235</v>
      </c>
      <c r="M57" s="378"/>
      <c r="N57" s="100"/>
      <c r="O57" s="96">
        <v>43578</v>
      </c>
      <c r="P57" s="381" t="s">
        <v>390</v>
      </c>
      <c r="Q57" s="382"/>
      <c r="R57" s="100">
        <v>10</v>
      </c>
      <c r="S57" s="96"/>
      <c r="T57" s="377"/>
      <c r="U57" s="378"/>
      <c r="V57" s="100"/>
      <c r="W57" s="96"/>
      <c r="X57" s="377"/>
      <c r="Y57" s="378"/>
      <c r="Z57" s="100"/>
      <c r="AA57" s="96"/>
      <c r="AB57" s="394"/>
      <c r="AC57" s="395"/>
      <c r="AD57" s="100"/>
      <c r="AE57" s="96"/>
      <c r="AF57" s="377"/>
      <c r="AG57" s="378"/>
      <c r="AH57" s="100"/>
      <c r="AI57" s="96"/>
      <c r="AJ57" s="390"/>
      <c r="AK57" s="391"/>
      <c r="AL57" s="100"/>
      <c r="AM57" s="96"/>
      <c r="AN57" s="388"/>
      <c r="AO57" s="389"/>
      <c r="AP57" s="100"/>
      <c r="AQ57" s="96"/>
      <c r="AR57" s="377"/>
      <c r="AS57" s="378"/>
      <c r="AT57" s="100"/>
      <c r="AU57" s="96"/>
      <c r="AV57" s="377"/>
      <c r="AW57" s="378"/>
      <c r="AX57" s="100"/>
    </row>
    <row r="58" spans="1:62">
      <c r="C58" s="96">
        <v>43478</v>
      </c>
      <c r="D58" s="377" t="s">
        <v>243</v>
      </c>
      <c r="E58" s="378"/>
      <c r="F58" s="98"/>
      <c r="G58" s="96"/>
      <c r="H58" s="377"/>
      <c r="I58" s="378"/>
      <c r="J58" s="100"/>
      <c r="K58" s="96">
        <v>43536</v>
      </c>
      <c r="L58" s="377" t="s">
        <v>243</v>
      </c>
      <c r="M58" s="378"/>
      <c r="N58" s="100"/>
      <c r="O58" s="96"/>
      <c r="P58" s="377"/>
      <c r="Q58" s="378"/>
      <c r="R58" s="100"/>
      <c r="S58" s="96"/>
      <c r="T58" s="377"/>
      <c r="U58" s="378"/>
      <c r="V58" s="100"/>
      <c r="W58" s="96"/>
      <c r="X58" s="377"/>
      <c r="Y58" s="378"/>
      <c r="Z58" s="100"/>
      <c r="AA58" s="96"/>
      <c r="AB58" s="394"/>
      <c r="AC58" s="395"/>
      <c r="AD58" s="100"/>
      <c r="AE58" s="96"/>
      <c r="AF58" s="377"/>
      <c r="AG58" s="378"/>
      <c r="AH58" s="100"/>
      <c r="AI58" s="96"/>
      <c r="AJ58" s="390"/>
      <c r="AK58" s="391"/>
      <c r="AL58" s="100"/>
      <c r="AM58" s="96"/>
      <c r="AN58" s="390"/>
      <c r="AO58" s="391"/>
      <c r="AP58" s="100"/>
      <c r="AQ58" s="96"/>
      <c r="AR58" s="377"/>
      <c r="AS58" s="378"/>
      <c r="AT58" s="100"/>
      <c r="AU58" s="96"/>
      <c r="AV58" s="377"/>
      <c r="AW58" s="378"/>
      <c r="AX58" s="100"/>
    </row>
    <row r="59" spans="1:62">
      <c r="C59" s="96">
        <v>43481</v>
      </c>
      <c r="D59" s="377" t="s">
        <v>271</v>
      </c>
      <c r="E59" s="378"/>
      <c r="F59" s="98">
        <v>50</v>
      </c>
      <c r="G59" s="96"/>
      <c r="H59" s="377"/>
      <c r="I59" s="378"/>
      <c r="J59" s="100"/>
      <c r="K59" s="96"/>
      <c r="L59" s="377" t="s">
        <v>386</v>
      </c>
      <c r="M59" s="378"/>
      <c r="N59" s="100">
        <f>3.1+10.5</f>
        <v>13.6</v>
      </c>
      <c r="O59" s="96"/>
      <c r="P59" s="377"/>
      <c r="Q59" s="378"/>
      <c r="R59" s="100"/>
      <c r="S59" s="96"/>
      <c r="T59" s="388"/>
      <c r="U59" s="389"/>
      <c r="V59" s="100"/>
      <c r="W59" s="96"/>
      <c r="X59" s="388"/>
      <c r="Y59" s="389"/>
      <c r="Z59" s="100"/>
      <c r="AA59" s="96"/>
      <c r="AB59" s="388"/>
      <c r="AC59" s="389"/>
      <c r="AD59" s="100"/>
      <c r="AE59" s="96"/>
      <c r="AF59" s="377"/>
      <c r="AG59" s="378"/>
      <c r="AH59" s="100"/>
      <c r="AI59" s="96"/>
      <c r="AJ59" s="390"/>
      <c r="AK59" s="391"/>
      <c r="AL59" s="100"/>
      <c r="AM59" s="96"/>
      <c r="AN59" s="390"/>
      <c r="AO59" s="391"/>
      <c r="AP59" s="100"/>
      <c r="AQ59" s="96"/>
      <c r="AR59" s="377"/>
      <c r="AS59" s="378"/>
      <c r="AT59" s="100"/>
      <c r="AU59" s="96"/>
      <c r="AV59" s="377"/>
      <c r="AW59" s="378"/>
      <c r="AX59" s="100"/>
    </row>
    <row r="60" spans="1:62">
      <c r="C60" s="96">
        <v>43488</v>
      </c>
      <c r="D60" s="377" t="s">
        <v>290</v>
      </c>
      <c r="E60" s="378"/>
      <c r="F60" s="98"/>
      <c r="G60" s="96"/>
      <c r="H60" s="377"/>
      <c r="I60" s="378"/>
      <c r="J60" s="100"/>
      <c r="K60" s="235">
        <v>43549</v>
      </c>
      <c r="L60" s="381" t="s">
        <v>390</v>
      </c>
      <c r="M60" s="382"/>
      <c r="N60" s="236">
        <v>15</v>
      </c>
      <c r="O60" s="96"/>
      <c r="P60" s="377"/>
      <c r="Q60" s="378"/>
      <c r="R60" s="100"/>
      <c r="S60" s="96"/>
      <c r="T60" s="388"/>
      <c r="U60" s="389"/>
      <c r="V60" s="100"/>
      <c r="W60" s="96"/>
      <c r="X60" s="390"/>
      <c r="Y60" s="391"/>
      <c r="Z60" s="100"/>
      <c r="AA60" s="96"/>
      <c r="AB60" s="390"/>
      <c r="AC60" s="391"/>
      <c r="AD60" s="100"/>
      <c r="AE60" s="96"/>
      <c r="AF60" s="388"/>
      <c r="AG60" s="389"/>
      <c r="AH60" s="100"/>
      <c r="AI60" s="96"/>
      <c r="AJ60" s="390"/>
      <c r="AK60" s="391"/>
      <c r="AL60" s="100"/>
      <c r="AM60" s="96"/>
      <c r="AN60" s="390"/>
      <c r="AO60" s="391"/>
      <c r="AP60" s="100"/>
      <c r="AQ60" s="96"/>
      <c r="AR60" s="377"/>
      <c r="AS60" s="378"/>
      <c r="AT60" s="100"/>
      <c r="AU60" s="96"/>
      <c r="AV60" s="377"/>
      <c r="AW60" s="378"/>
      <c r="AX60" s="100"/>
    </row>
    <row r="61" spans="1:62">
      <c r="C61" s="96">
        <v>43490</v>
      </c>
      <c r="D61" s="377" t="s">
        <v>292</v>
      </c>
      <c r="E61" s="378"/>
      <c r="F61" s="98">
        <v>40</v>
      </c>
      <c r="G61" s="96"/>
      <c r="H61" s="377"/>
      <c r="I61" s="378"/>
      <c r="J61" s="100"/>
      <c r="K61" s="96"/>
      <c r="L61" s="383"/>
      <c r="M61" s="378"/>
      <c r="N61" s="100"/>
      <c r="O61" s="96"/>
      <c r="P61" s="377"/>
      <c r="Q61" s="378"/>
      <c r="R61" s="100"/>
      <c r="S61" s="96"/>
      <c r="T61" s="388"/>
      <c r="U61" s="389"/>
      <c r="V61" s="100"/>
      <c r="W61" s="96"/>
      <c r="X61" s="390"/>
      <c r="Y61" s="391"/>
      <c r="Z61" s="100"/>
      <c r="AA61" s="96"/>
      <c r="AB61" s="390"/>
      <c r="AC61" s="391"/>
      <c r="AD61" s="100"/>
      <c r="AE61" s="96"/>
      <c r="AF61" s="390"/>
      <c r="AG61" s="391"/>
      <c r="AH61" s="100"/>
      <c r="AI61" s="96"/>
      <c r="AJ61" s="390"/>
      <c r="AK61" s="391"/>
      <c r="AL61" s="100"/>
      <c r="AM61" s="96"/>
      <c r="AN61" s="390"/>
      <c r="AO61" s="391"/>
      <c r="AP61" s="100"/>
      <c r="AQ61" s="96"/>
      <c r="AR61" s="377"/>
      <c r="AS61" s="378"/>
      <c r="AT61" s="100"/>
      <c r="AU61" s="96"/>
      <c r="AV61" s="377"/>
      <c r="AW61" s="378"/>
      <c r="AX61" s="100"/>
    </row>
    <row r="62" spans="1:62">
      <c r="C62" s="96"/>
      <c r="D62" s="377"/>
      <c r="E62" s="378"/>
      <c r="F62" s="98"/>
      <c r="G62" s="96"/>
      <c r="H62" s="377"/>
      <c r="I62" s="378"/>
      <c r="J62" s="100"/>
      <c r="K62" s="96"/>
      <c r="L62" s="377"/>
      <c r="M62" s="378"/>
      <c r="N62" s="100"/>
      <c r="O62" s="96"/>
      <c r="P62" s="377"/>
      <c r="Q62" s="378"/>
      <c r="R62" s="100"/>
      <c r="S62" s="96"/>
      <c r="T62" s="388"/>
      <c r="U62" s="389"/>
      <c r="V62" s="100"/>
      <c r="W62" s="96"/>
      <c r="X62" s="390"/>
      <c r="Y62" s="391"/>
      <c r="Z62" s="100"/>
      <c r="AA62" s="96"/>
      <c r="AB62" s="390"/>
      <c r="AC62" s="391"/>
      <c r="AD62" s="100"/>
      <c r="AE62" s="96"/>
      <c r="AF62" s="390"/>
      <c r="AG62" s="391"/>
      <c r="AH62" s="100"/>
      <c r="AI62" s="96"/>
      <c r="AJ62" s="390"/>
      <c r="AK62" s="391"/>
      <c r="AL62" s="100"/>
      <c r="AM62" s="96"/>
      <c r="AN62" s="390"/>
      <c r="AO62" s="391"/>
      <c r="AP62" s="100"/>
      <c r="AQ62" s="96"/>
      <c r="AR62" s="377"/>
      <c r="AS62" s="378"/>
      <c r="AT62" s="100"/>
      <c r="AU62" s="96"/>
      <c r="AV62" s="377"/>
      <c r="AW62" s="378"/>
      <c r="AX62" s="100"/>
    </row>
    <row r="63" spans="1:62">
      <c r="C63" s="96"/>
      <c r="D63" s="377"/>
      <c r="E63" s="378"/>
      <c r="F63" s="98"/>
      <c r="G63" s="96"/>
      <c r="H63" s="377"/>
      <c r="I63" s="378"/>
      <c r="J63" s="100"/>
      <c r="K63" s="96"/>
      <c r="L63" s="377"/>
      <c r="M63" s="378"/>
      <c r="N63" s="100"/>
      <c r="O63" s="96"/>
      <c r="P63" s="377"/>
      <c r="Q63" s="378"/>
      <c r="R63" s="100"/>
      <c r="S63" s="96"/>
      <c r="T63" s="388"/>
      <c r="U63" s="389"/>
      <c r="V63" s="100"/>
      <c r="W63" s="96"/>
      <c r="X63" s="390"/>
      <c r="Y63" s="391"/>
      <c r="Z63" s="100"/>
      <c r="AA63" s="96"/>
      <c r="AB63" s="390"/>
      <c r="AC63" s="391"/>
      <c r="AD63" s="100"/>
      <c r="AE63" s="96"/>
      <c r="AF63" s="390"/>
      <c r="AG63" s="391"/>
      <c r="AH63" s="100"/>
      <c r="AI63" s="96"/>
      <c r="AJ63" s="390"/>
      <c r="AK63" s="391"/>
      <c r="AL63" s="100"/>
      <c r="AM63" s="96"/>
      <c r="AN63" s="390"/>
      <c r="AO63" s="391"/>
      <c r="AP63" s="100"/>
      <c r="AQ63" s="96"/>
      <c r="AR63" s="377"/>
      <c r="AS63" s="378"/>
      <c r="AT63" s="100"/>
      <c r="AU63" s="96"/>
      <c r="AV63" s="377"/>
      <c r="AW63" s="378"/>
      <c r="AX63" s="100"/>
    </row>
    <row r="64" spans="1:62">
      <c r="C64" s="96"/>
      <c r="D64" s="377"/>
      <c r="E64" s="378"/>
      <c r="F64" s="98"/>
      <c r="G64" s="96"/>
      <c r="H64" s="377"/>
      <c r="I64" s="378"/>
      <c r="J64" s="100"/>
      <c r="K64" s="96"/>
      <c r="L64" s="377"/>
      <c r="M64" s="378"/>
      <c r="N64" s="100"/>
      <c r="O64" s="96"/>
      <c r="P64" s="377"/>
      <c r="Q64" s="378"/>
      <c r="R64" s="100"/>
      <c r="S64" s="96"/>
      <c r="T64" s="388"/>
      <c r="U64" s="389"/>
      <c r="V64" s="100"/>
      <c r="W64" s="96"/>
      <c r="X64" s="390"/>
      <c r="Y64" s="391"/>
      <c r="Z64" s="100"/>
      <c r="AA64" s="96"/>
      <c r="AB64" s="390"/>
      <c r="AC64" s="391"/>
      <c r="AD64" s="100"/>
      <c r="AE64" s="96"/>
      <c r="AF64" s="390"/>
      <c r="AG64" s="391"/>
      <c r="AH64" s="100"/>
      <c r="AI64" s="96"/>
      <c r="AJ64" s="390"/>
      <c r="AK64" s="391"/>
      <c r="AL64" s="100"/>
      <c r="AM64" s="96"/>
      <c r="AN64" s="390"/>
      <c r="AO64" s="391"/>
      <c r="AP64" s="100"/>
      <c r="AQ64" s="96"/>
      <c r="AR64" s="377"/>
      <c r="AS64" s="378"/>
      <c r="AT64" s="100"/>
      <c r="AU64" s="96"/>
      <c r="AV64" s="377"/>
      <c r="AW64" s="378"/>
      <c r="AX64" s="100"/>
    </row>
    <row r="65" spans="1:50">
      <c r="C65" s="96"/>
      <c r="D65" s="377"/>
      <c r="E65" s="378"/>
      <c r="F65" s="98"/>
      <c r="G65" s="96"/>
      <c r="H65" s="377"/>
      <c r="I65" s="378"/>
      <c r="J65" s="100"/>
      <c r="K65" s="96"/>
      <c r="L65" s="377"/>
      <c r="M65" s="378"/>
      <c r="N65" s="100"/>
      <c r="O65" s="96"/>
      <c r="P65" s="377"/>
      <c r="Q65" s="378"/>
      <c r="R65" s="100"/>
      <c r="S65" s="96"/>
      <c r="T65" s="388"/>
      <c r="U65" s="389"/>
      <c r="V65" s="100"/>
      <c r="W65" s="96"/>
      <c r="X65" s="390"/>
      <c r="Y65" s="391"/>
      <c r="Z65" s="100"/>
      <c r="AA65" s="96"/>
      <c r="AB65" s="390"/>
      <c r="AC65" s="391"/>
      <c r="AD65" s="100"/>
      <c r="AE65" s="96"/>
      <c r="AF65" s="390"/>
      <c r="AG65" s="391"/>
      <c r="AH65" s="100"/>
      <c r="AI65" s="96"/>
      <c r="AJ65" s="390"/>
      <c r="AK65" s="391"/>
      <c r="AL65" s="100"/>
      <c r="AM65" s="96"/>
      <c r="AN65" s="390"/>
      <c r="AO65" s="391"/>
      <c r="AP65" s="100"/>
      <c r="AQ65" s="96"/>
      <c r="AR65" s="377"/>
      <c r="AS65" s="378"/>
      <c r="AT65" s="100"/>
      <c r="AU65" s="96"/>
      <c r="AV65" s="377"/>
      <c r="AW65" s="378"/>
      <c r="AX65" s="100"/>
    </row>
    <row r="66" spans="1:50">
      <c r="C66" s="96"/>
      <c r="D66" s="377"/>
      <c r="E66" s="378"/>
      <c r="F66" s="98"/>
      <c r="G66" s="96"/>
      <c r="H66" s="377"/>
      <c r="I66" s="378"/>
      <c r="J66" s="100"/>
      <c r="K66" s="96"/>
      <c r="L66" s="377"/>
      <c r="M66" s="378"/>
      <c r="N66" s="100"/>
      <c r="O66" s="96"/>
      <c r="P66" s="377"/>
      <c r="Q66" s="378"/>
      <c r="R66" s="100"/>
      <c r="S66" s="96"/>
      <c r="T66" s="390"/>
      <c r="U66" s="391"/>
      <c r="V66" s="100"/>
      <c r="W66" s="96"/>
      <c r="X66" s="390"/>
      <c r="Y66" s="391"/>
      <c r="Z66" s="100"/>
      <c r="AA66" s="96"/>
      <c r="AB66" s="390"/>
      <c r="AC66" s="391"/>
      <c r="AD66" s="100"/>
      <c r="AE66" s="96"/>
      <c r="AF66" s="390"/>
      <c r="AG66" s="391"/>
      <c r="AH66" s="100"/>
      <c r="AI66" s="96"/>
      <c r="AJ66" s="390"/>
      <c r="AK66" s="391"/>
      <c r="AL66" s="100"/>
      <c r="AM66" s="96"/>
      <c r="AN66" s="390"/>
      <c r="AO66" s="391"/>
      <c r="AP66" s="100"/>
      <c r="AQ66" s="96"/>
      <c r="AR66" s="377"/>
      <c r="AS66" s="378"/>
      <c r="AT66" s="100"/>
      <c r="AU66" s="96"/>
      <c r="AV66" s="377"/>
      <c r="AW66" s="378"/>
      <c r="AX66" s="100"/>
    </row>
    <row r="67" spans="1:50">
      <c r="C67" s="96"/>
      <c r="D67" s="377"/>
      <c r="E67" s="378"/>
      <c r="F67" s="98"/>
      <c r="G67" s="96"/>
      <c r="H67" s="377"/>
      <c r="I67" s="378"/>
      <c r="J67" s="100"/>
      <c r="K67" s="96"/>
      <c r="L67" s="377"/>
      <c r="M67" s="378"/>
      <c r="N67" s="100"/>
      <c r="O67" s="96"/>
      <c r="P67" s="377"/>
      <c r="Q67" s="378"/>
      <c r="R67" s="100"/>
      <c r="S67" s="96"/>
      <c r="T67" s="390"/>
      <c r="U67" s="391"/>
      <c r="V67" s="100"/>
      <c r="W67" s="96"/>
      <c r="X67" s="390"/>
      <c r="Y67" s="391"/>
      <c r="Z67" s="100"/>
      <c r="AA67" s="96"/>
      <c r="AB67" s="390"/>
      <c r="AC67" s="391"/>
      <c r="AD67" s="100"/>
      <c r="AE67" s="96"/>
      <c r="AF67" s="390"/>
      <c r="AG67" s="391"/>
      <c r="AH67" s="100"/>
      <c r="AI67" s="96"/>
      <c r="AJ67" s="390"/>
      <c r="AK67" s="391"/>
      <c r="AL67" s="100"/>
      <c r="AM67" s="96"/>
      <c r="AN67" s="390"/>
      <c r="AO67" s="391"/>
      <c r="AP67" s="100"/>
      <c r="AQ67" s="96"/>
      <c r="AR67" s="377"/>
      <c r="AS67" s="378"/>
      <c r="AT67" s="100"/>
      <c r="AU67" s="96"/>
      <c r="AV67" s="377"/>
      <c r="AW67" s="378"/>
      <c r="AX67" s="100"/>
    </row>
    <row r="68" spans="1:50">
      <c r="C68" s="96"/>
      <c r="D68" s="377"/>
      <c r="E68" s="378"/>
      <c r="F68" s="98"/>
      <c r="G68" s="96"/>
      <c r="H68" s="377"/>
      <c r="I68" s="378"/>
      <c r="J68" s="100"/>
      <c r="K68" s="96"/>
      <c r="L68" s="377"/>
      <c r="M68" s="378"/>
      <c r="N68" s="100"/>
      <c r="O68" s="96"/>
      <c r="P68" s="377"/>
      <c r="Q68" s="378"/>
      <c r="R68" s="100"/>
      <c r="S68" s="96"/>
      <c r="T68" s="390"/>
      <c r="U68" s="391"/>
      <c r="V68" s="100"/>
      <c r="W68" s="96"/>
      <c r="X68" s="390"/>
      <c r="Y68" s="391"/>
      <c r="Z68" s="100"/>
      <c r="AA68" s="96"/>
      <c r="AB68" s="390"/>
      <c r="AC68" s="391"/>
      <c r="AD68" s="100"/>
      <c r="AE68" s="96"/>
      <c r="AF68" s="390"/>
      <c r="AG68" s="391"/>
      <c r="AH68" s="100"/>
      <c r="AI68" s="96"/>
      <c r="AJ68" s="390"/>
      <c r="AK68" s="391"/>
      <c r="AL68" s="100"/>
      <c r="AM68" s="96"/>
      <c r="AN68" s="390"/>
      <c r="AO68" s="391"/>
      <c r="AP68" s="100"/>
      <c r="AQ68" s="96"/>
      <c r="AR68" s="377"/>
      <c r="AS68" s="378"/>
      <c r="AT68" s="100"/>
      <c r="AU68" s="96"/>
      <c r="AV68" s="377"/>
      <c r="AW68" s="378"/>
      <c r="AX68" s="100"/>
    </row>
    <row r="69" spans="1:50">
      <c r="C69" s="96"/>
      <c r="D69" s="377"/>
      <c r="E69" s="378"/>
      <c r="F69" s="98"/>
      <c r="G69" s="96"/>
      <c r="H69" s="377"/>
      <c r="I69" s="378"/>
      <c r="J69" s="100"/>
      <c r="K69" s="96"/>
      <c r="L69" s="377"/>
      <c r="M69" s="378"/>
      <c r="N69" s="100"/>
      <c r="O69" s="96"/>
      <c r="P69" s="377"/>
      <c r="Q69" s="378"/>
      <c r="R69" s="100"/>
      <c r="S69" s="96"/>
      <c r="T69" s="390"/>
      <c r="U69" s="391"/>
      <c r="V69" s="100"/>
      <c r="W69" s="96"/>
      <c r="X69" s="390"/>
      <c r="Y69" s="391"/>
      <c r="Z69" s="100"/>
      <c r="AA69" s="96"/>
      <c r="AB69" s="390"/>
      <c r="AC69" s="391"/>
      <c r="AD69" s="100"/>
      <c r="AE69" s="96"/>
      <c r="AF69" s="390"/>
      <c r="AG69" s="391"/>
      <c r="AH69" s="100"/>
      <c r="AI69" s="96"/>
      <c r="AJ69" s="390"/>
      <c r="AK69" s="391"/>
      <c r="AL69" s="100"/>
      <c r="AM69" s="96"/>
      <c r="AN69" s="390"/>
      <c r="AO69" s="391"/>
      <c r="AP69" s="100"/>
      <c r="AQ69" s="96"/>
      <c r="AR69" s="377"/>
      <c r="AS69" s="378"/>
      <c r="AT69" s="100"/>
      <c r="AU69" s="96"/>
      <c r="AV69" s="377"/>
      <c r="AW69" s="378"/>
      <c r="AX69" s="100"/>
    </row>
    <row r="70" spans="1:50">
      <c r="C70" s="96"/>
      <c r="D70" s="377"/>
      <c r="E70" s="378"/>
      <c r="F70" s="98"/>
      <c r="G70" s="96"/>
      <c r="H70" s="377"/>
      <c r="I70" s="378"/>
      <c r="J70" s="100"/>
      <c r="K70" s="96"/>
      <c r="L70" s="377"/>
      <c r="M70" s="378"/>
      <c r="N70" s="100"/>
      <c r="O70" s="96"/>
      <c r="P70" s="377"/>
      <c r="Q70" s="378"/>
      <c r="R70" s="100"/>
      <c r="S70" s="96"/>
      <c r="T70" s="377" t="s">
        <v>567</v>
      </c>
      <c r="U70" s="378"/>
      <c r="V70" s="100">
        <v>3742.92</v>
      </c>
      <c r="W70" s="96"/>
      <c r="X70" s="377" t="s">
        <v>565</v>
      </c>
      <c r="Y70" s="378"/>
      <c r="Z70" s="100">
        <f>3289.11+270.87</f>
        <v>3559.98</v>
      </c>
      <c r="AA70" s="96"/>
      <c r="AB70" s="390"/>
      <c r="AC70" s="391"/>
      <c r="AD70" s="100"/>
      <c r="AE70" s="96"/>
      <c r="AF70" s="390"/>
      <c r="AG70" s="391"/>
      <c r="AH70" s="100"/>
      <c r="AI70" s="96"/>
      <c r="AJ70" s="390"/>
      <c r="AK70" s="391"/>
      <c r="AL70" s="100"/>
      <c r="AM70" s="96"/>
      <c r="AN70" s="390"/>
      <c r="AO70" s="391"/>
      <c r="AP70" s="100"/>
      <c r="AQ70" s="96"/>
      <c r="AR70" s="377"/>
      <c r="AS70" s="378"/>
      <c r="AT70" s="100"/>
      <c r="AU70" s="96"/>
      <c r="AV70" s="377"/>
      <c r="AW70" s="378"/>
      <c r="AX70" s="100"/>
    </row>
    <row r="71" spans="1:50" ht="15.75" thickBot="1">
      <c r="C71" s="97"/>
      <c r="D71" s="375"/>
      <c r="E71" s="376"/>
      <c r="F71" s="99"/>
      <c r="G71" s="97"/>
      <c r="H71" s="375"/>
      <c r="I71" s="376"/>
      <c r="J71" s="101"/>
      <c r="K71" s="97"/>
      <c r="L71" s="375"/>
      <c r="M71" s="376"/>
      <c r="N71" s="101"/>
      <c r="O71" s="97"/>
      <c r="P71" s="375"/>
      <c r="Q71" s="376"/>
      <c r="R71" s="101"/>
      <c r="S71" s="97"/>
      <c r="T71" s="392" t="s">
        <v>568</v>
      </c>
      <c r="U71" s="393"/>
      <c r="V71" s="101">
        <v>1872.17</v>
      </c>
      <c r="W71" s="97"/>
      <c r="X71" s="392" t="s">
        <v>566</v>
      </c>
      <c r="Y71" s="393"/>
      <c r="Z71" s="101">
        <f>Z70-1484.91-429.89</f>
        <v>1645.1799999999998</v>
      </c>
      <c r="AA71" s="97"/>
      <c r="AB71" s="396"/>
      <c r="AC71" s="397"/>
      <c r="AD71" s="101"/>
      <c r="AE71" s="97"/>
      <c r="AF71" s="396"/>
      <c r="AG71" s="397"/>
      <c r="AH71" s="101"/>
      <c r="AI71" s="97"/>
      <c r="AJ71" s="396"/>
      <c r="AK71" s="397"/>
      <c r="AL71" s="101"/>
      <c r="AM71" s="97"/>
      <c r="AN71" s="396"/>
      <c r="AO71" s="397"/>
      <c r="AP71" s="101"/>
      <c r="AQ71" s="97"/>
      <c r="AR71" s="375"/>
      <c r="AS71" s="376"/>
      <c r="AT71" s="101"/>
      <c r="AU71" s="97"/>
      <c r="AV71" s="375"/>
      <c r="AW71" s="376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90</v>
      </c>
      <c r="F73">
        <f>F72*20</f>
        <v>21.799999999999997</v>
      </c>
      <c r="L73" s="119"/>
    </row>
    <row r="74" spans="1:50">
      <c r="A74" t="s">
        <v>254</v>
      </c>
      <c r="C74">
        <v>31</v>
      </c>
      <c r="D74">
        <f>100/C74</f>
        <v>3.225806451612903</v>
      </c>
    </row>
    <row r="75" spans="1:50">
      <c r="A75" t="s">
        <v>255</v>
      </c>
      <c r="C75">
        <v>28</v>
      </c>
      <c r="D75">
        <f>C75*D74</f>
        <v>90.322580645161281</v>
      </c>
      <c r="Z75" s="111"/>
    </row>
    <row r="76" spans="1:50">
      <c r="D76">
        <f>D75-D73</f>
        <v>0.32258064516128115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6" workbookViewId="0">
      <selection activeCell="F11" sqref="F11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/>
      <c r="L5" s="433"/>
      <c r="M5" s="1"/>
      <c r="N5" s="1"/>
      <c r="R5" s="3"/>
    </row>
    <row r="6" spans="1:22" ht="15.75">
      <c r="A6" s="112">
        <f>'08'!A6+(B6-SUM(D6:F6))</f>
        <v>1611.34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550</v>
      </c>
      <c r="L6" s="417"/>
      <c r="M6" s="1" t="s">
        <v>165</v>
      </c>
      <c r="N6" s="1"/>
      <c r="R6" s="3"/>
    </row>
    <row r="7" spans="1:22" ht="15.75">
      <c r="A7" s="112">
        <f>'08'!A7+(B7-SUM(D7:F7))</f>
        <v>310.39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6"/>
      <c r="L7" s="417"/>
      <c r="M7" s="1"/>
      <c r="N7" s="1"/>
      <c r="R7" s="3"/>
    </row>
    <row r="8" spans="1:22" ht="15.75">
      <c r="A8" s="112">
        <f>'08'!A8+(B8-SUM(D8:F8))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7000</v>
      </c>
      <c r="L8" s="417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6">
        <v>659.77</v>
      </c>
      <c r="L9" s="417"/>
      <c r="M9" s="1"/>
      <c r="N9" s="1"/>
      <c r="R9" s="3"/>
    </row>
    <row r="10" spans="1:22" ht="15.75">
      <c r="A10" s="112">
        <f>'08'!A10+(B10-SUM(D10:F10))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1800.04</v>
      </c>
      <c r="L10" s="417"/>
      <c r="M10" s="1" t="s">
        <v>156</v>
      </c>
      <c r="N10" s="1"/>
      <c r="R10" s="3"/>
    </row>
    <row r="11" spans="1:22" ht="15.75">
      <c r="A11" s="112">
        <f>'08'!A11+(B11-SUM(D11:F11))</f>
        <v>120.91000000000001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6"/>
      <c r="L11" s="417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'08'!A13+(B13-SUM(D13:F13))</f>
        <v>45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15101.890000000001</v>
      </c>
      <c r="L19" s="419"/>
      <c r="M19" s="1"/>
      <c r="N19" s="1"/>
      <c r="R19" s="3"/>
    </row>
    <row r="20" spans="1:18" ht="16.5" thickBot="1">
      <c r="A20" s="112">
        <f>SUM(A6:A15)</f>
        <v>2410.6799999999998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198"/>
      <c r="M25" s="1"/>
      <c r="R25" s="3"/>
    </row>
    <row r="26" spans="1:18" ht="15.75">
      <c r="A26" s="112">
        <f>'08'!A26+(B26-SUM(D26:F26))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'08'!A27+(B27-SUM(D27:F27))</f>
        <v>746.02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'08'!A28+(B28-SUM(D28:F28))</f>
        <v>238.3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'08'!A29+(B29-SUM(D29:F29))</f>
        <v>73.430000000000007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/>
      <c r="K30" s="42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4844.0300000000007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/>
      <c r="K50" s="42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281.84000000000003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2656.1800000000012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1898.8200000000002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50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'08'!A467+(B467-SUM(D467:F467))</f>
        <v>515.23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'08'!A468+(B468-SUM(D468:F468))</f>
        <v>233.4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798.63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/>
      <c r="L5" s="433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2010.9299999999998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550</v>
      </c>
      <c r="L6" s="417"/>
      <c r="M6" s="1" t="s">
        <v>165</v>
      </c>
      <c r="N6" s="1"/>
      <c r="R6" s="3"/>
    </row>
    <row r="7" spans="1:22" ht="15.75">
      <c r="A7" s="112">
        <f>'09'!A7+(B7-SUM(D7:F7))</f>
        <v>380.57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6"/>
      <c r="L7" s="417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7000</v>
      </c>
      <c r="L8" s="417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6">
        <v>659.77</v>
      </c>
      <c r="L9" s="417"/>
      <c r="M9" s="1"/>
      <c r="N9" s="1"/>
      <c r="R9" s="3"/>
    </row>
    <row r="10" spans="1:22" ht="15.75">
      <c r="A10" s="112">
        <f>'09'!A10+(B10-SUM(D10:F10))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1800.04</v>
      </c>
      <c r="L10" s="417"/>
      <c r="M10" s="1" t="s">
        <v>156</v>
      </c>
      <c r="N10" s="1"/>
      <c r="R10" s="3"/>
    </row>
    <row r="11" spans="1:22" ht="15.75">
      <c r="A11" s="112">
        <f>'09'!A11+(B11-SUM(D11:F11))</f>
        <v>151.14000000000001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6"/>
      <c r="L11" s="417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'09'!A13+(B13-SUM(D13:F13))</f>
        <v>52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15101.890000000001</v>
      </c>
      <c r="L19" s="419"/>
      <c r="M19" s="1"/>
      <c r="N19" s="1"/>
      <c r="R19" s="3"/>
    </row>
    <row r="20" spans="1:18" ht="16.5" thickBot="1">
      <c r="A20" s="112">
        <f>SUM(A6:A15)</f>
        <v>2954.68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198"/>
      <c r="M25" s="1"/>
      <c r="R25" s="3"/>
    </row>
    <row r="26" spans="1:18" ht="15.75">
      <c r="A26" s="112">
        <f>'09'!A26+(B26-SUM(D26:F26))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'09'!A27+(B27-SUM(D27:F27))</f>
        <v>916.02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'09'!A28+(B28-SUM(D28:F28))</f>
        <v>278.3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'09'!A29+(B29-SUM(D29:F29))</f>
        <v>91.43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/>
      <c r="K30" s="42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5972.0300000000007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/>
      <c r="K50" s="42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352.84000000000003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2681.7100000000014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2278.29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75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'09'!A467+(B467-SUM(D467:F467))</f>
        <v>535.23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'09'!A468+(B468-SUM(D468:F468))</f>
        <v>238.4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848.63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/>
      <c r="L5" s="433"/>
      <c r="M5" s="1"/>
      <c r="N5" s="1"/>
      <c r="R5" s="3"/>
    </row>
    <row r="6" spans="1:22" ht="15.75">
      <c r="A6" s="112">
        <f>'10'!A6+(B6-SUM(D6:F6))</f>
        <v>2410.52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550</v>
      </c>
      <c r="L6" s="417"/>
      <c r="M6" s="1" t="s">
        <v>165</v>
      </c>
      <c r="N6" s="1"/>
      <c r="R6" s="3"/>
    </row>
    <row r="7" spans="1:22" ht="15.75">
      <c r="A7" s="112">
        <f>'10'!A7+(B7-SUM(D7:F7))</f>
        <v>450.75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6"/>
      <c r="L7" s="417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7000</v>
      </c>
      <c r="L8" s="417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6">
        <v>659.77</v>
      </c>
      <c r="L9" s="417"/>
      <c r="M9" s="1"/>
      <c r="N9" s="1"/>
      <c r="R9" s="3"/>
    </row>
    <row r="10" spans="1:22" ht="15.75">
      <c r="A10" s="112">
        <f>'10'!A10+(B10-SUM(D10:F10))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1800.04</v>
      </c>
      <c r="L10" s="417"/>
      <c r="M10" s="1" t="s">
        <v>156</v>
      </c>
      <c r="N10" s="1"/>
      <c r="R10" s="3"/>
    </row>
    <row r="11" spans="1:22" ht="15.75">
      <c r="A11" s="112">
        <f>'10'!A11+(B11-SUM(D11:F11))</f>
        <v>181.37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6"/>
      <c r="L11" s="417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'10'!A13+(B13-SUM(D13:F13))</f>
        <v>59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15101.890000000001</v>
      </c>
      <c r="L19" s="419"/>
      <c r="M19" s="1"/>
      <c r="N19" s="1"/>
      <c r="R19" s="3"/>
    </row>
    <row r="20" spans="1:18" ht="16.5" thickBot="1">
      <c r="A20" s="112">
        <f>SUM(A6:A15)</f>
        <v>3498.68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198"/>
      <c r="M25" s="1"/>
      <c r="R25" s="3"/>
    </row>
    <row r="26" spans="1:18" ht="15.75">
      <c r="A26" s="112">
        <f>'10'!A26+(B26-SUM(D26:F26))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'10'!A27+(B27-SUM(D27:F27))</f>
        <v>1086.02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'10'!A28+(B28-SUM(D28:F28))</f>
        <v>318.3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'10'!A29+(B29-SUM(D29:F29))</f>
        <v>109.43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/>
      <c r="K30" s="42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7100.0300000000007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/>
      <c r="K50" s="42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423.84000000000003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2707.2400000000016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2657.76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100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'10'!A467+(B467-SUM(D467:F467))</f>
        <v>555.23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'10'!A468+(B468-SUM(D468:F468))</f>
        <v>243.4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898.63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/>
      <c r="L5" s="433"/>
      <c r="M5" s="1"/>
      <c r="N5" s="1"/>
      <c r="R5" s="3"/>
    </row>
    <row r="6" spans="1:22" ht="15.75">
      <c r="A6" s="112">
        <f>'11'!A6+(B6-SUM(D6:F6))</f>
        <v>2810.11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550</v>
      </c>
      <c r="L6" s="417"/>
      <c r="M6" s="1" t="s">
        <v>165</v>
      </c>
      <c r="N6" s="1"/>
      <c r="R6" s="3"/>
    </row>
    <row r="7" spans="1:22" ht="15.75">
      <c r="A7" s="112">
        <f>'11'!A7+(B7-SUM(D7:F7))</f>
        <v>520.93000000000006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6"/>
      <c r="L7" s="417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7000</v>
      </c>
      <c r="L8" s="417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6">
        <v>659.77</v>
      </c>
      <c r="L9" s="417"/>
      <c r="M9" s="1"/>
      <c r="N9" s="1"/>
      <c r="R9" s="3"/>
    </row>
    <row r="10" spans="1:22" ht="15.75">
      <c r="A10" s="112">
        <f>'11'!A10+(B10-SUM(D10:F10))</f>
        <v>96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1800.04</v>
      </c>
      <c r="L10" s="417"/>
      <c r="M10" s="1" t="s">
        <v>156</v>
      </c>
      <c r="N10" s="1"/>
      <c r="R10" s="3"/>
    </row>
    <row r="11" spans="1:22" ht="15.75">
      <c r="A11" s="112">
        <f>'11'!A11+(B11-SUM(D11:F11))</f>
        <v>211.6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6"/>
      <c r="L11" s="417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'11'!A13+(B13-SUM(D13:F13))</f>
        <v>66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15101.890000000001</v>
      </c>
      <c r="L19" s="419"/>
      <c r="M19" s="1"/>
      <c r="N19" s="1"/>
      <c r="R19" s="3"/>
    </row>
    <row r="20" spans="1:18" ht="16.5" thickBot="1">
      <c r="A20" s="112">
        <f>SUM(A6:A15)</f>
        <v>4042.68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198"/>
      <c r="M25" s="1"/>
      <c r="R25" s="3"/>
    </row>
    <row r="26" spans="1:18" ht="15.75">
      <c r="A26" s="112">
        <f>'11'!A26+(B26-SUM(D26:F26))</f>
        <v>6300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'11'!A27+(B27-SUM(D27:F27))</f>
        <v>1256.02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'11'!A28+(B28-SUM(D28:F28))</f>
        <v>358.3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'11'!A29+(B29-SUM(D29:F29))</f>
        <v>127.43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/>
      <c r="K30" s="42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8228.0300000000007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/>
      <c r="K50" s="42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1809.2900000000002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494.84000000000003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2732.7700000000018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3037.23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125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'11'!A467+(B467-SUM(D467:F467))</f>
        <v>575.23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'11'!A468+(B468-SUM(D468:F468))</f>
        <v>248.4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948.63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4" workbookViewId="0">
      <selection activeCell="D26" sqref="D2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180</v>
      </c>
      <c r="B3" s="114">
        <f>Historico!I25</f>
        <v>43739</v>
      </c>
      <c r="D3" s="44"/>
      <c r="E3" s="45"/>
    </row>
    <row r="4" spans="1:13" ht="12.75" customHeight="1">
      <c r="A4" t="s">
        <v>179</v>
      </c>
      <c r="B4" s="119">
        <v>130048.84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-0.10840000000000005</v>
      </c>
      <c r="C6" s="44" t="s">
        <v>95</v>
      </c>
      <c r="D6" s="43" t="s">
        <v>96</v>
      </c>
      <c r="E6" s="42"/>
      <c r="J6" t="s">
        <v>97</v>
      </c>
      <c r="K6" s="49">
        <f>B4-B15</f>
        <v>129688.22910710827</v>
      </c>
      <c r="L6" s="39">
        <f>B4*(E8/100)</f>
        <v>42.439271453333326</v>
      </c>
      <c r="M6" s="49">
        <f>B13-L6</f>
        <v>360.61089289172935</v>
      </c>
    </row>
    <row r="7" spans="1:13" ht="12.75" customHeight="1">
      <c r="E7" s="42"/>
      <c r="J7" t="s">
        <v>98</v>
      </c>
      <c r="K7" s="49">
        <f>K6-(B13-L7)</f>
        <v>129327.50053486183</v>
      </c>
      <c r="L7" s="39">
        <f>(K6*(E8/100))</f>
        <v>42.321592098619654</v>
      </c>
      <c r="M7" s="49">
        <f>B13-L7</f>
        <v>360.72857224644304</v>
      </c>
    </row>
    <row r="8" spans="1:13" ht="12.75" customHeight="1">
      <c r="B8" s="42"/>
      <c r="D8" t="s">
        <v>183</v>
      </c>
      <c r="E8" s="50">
        <f>(B6+0.5)/12</f>
        <v>3.2633333333333327E-2</v>
      </c>
      <c r="J8" t="s">
        <v>99</v>
      </c>
      <c r="K8" s="49">
        <f>K7-(B13-L8)</f>
        <v>128966.65424485797</v>
      </c>
      <c r="L8" s="39">
        <f>(K7*(E8/100))</f>
        <v>42.203874341209904</v>
      </c>
      <c r="M8" s="49">
        <f>B13-L8</f>
        <v>360.8462900038528</v>
      </c>
    </row>
    <row r="9" spans="1:13" ht="12.75" customHeight="1">
      <c r="A9" t="s">
        <v>310</v>
      </c>
      <c r="B9" s="114">
        <v>54117</v>
      </c>
      <c r="D9" t="s">
        <v>100</v>
      </c>
      <c r="E9" s="50">
        <f>1+(E8/100)</f>
        <v>1.0003263333333334</v>
      </c>
      <c r="J9" t="s">
        <v>101</v>
      </c>
      <c r="K9" s="49">
        <f>K8-(B13-L9)</f>
        <v>128605.69019868148</v>
      </c>
      <c r="L9" s="39">
        <f>(K8*(E8/100))</f>
        <v>42.086118168571979</v>
      </c>
      <c r="M9" s="49">
        <f>B13-L9</f>
        <v>360.96404617649068</v>
      </c>
    </row>
    <row r="10" spans="1:13" ht="12.75" customHeight="1">
      <c r="B10" s="42"/>
      <c r="D10" t="s">
        <v>102</v>
      </c>
      <c r="E10" s="50">
        <f>E9^-B5</f>
        <v>0.89470474097859476</v>
      </c>
      <c r="J10" t="s">
        <v>103</v>
      </c>
      <c r="K10" s="49">
        <f>K9-(B13-L10)</f>
        <v>128244.60835790458</v>
      </c>
      <c r="L10" s="39">
        <f>(K9*(E8/100))</f>
        <v>41.968323568169716</v>
      </c>
      <c r="M10" s="49">
        <f>B13-L10</f>
        <v>361.08184077689299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10.529525902140524</v>
      </c>
      <c r="J11" t="s">
        <v>106</v>
      </c>
      <c r="K11" s="51">
        <f>K10-(B13-L11)</f>
        <v>127883.40868408699</v>
      </c>
      <c r="L11" s="39">
        <f>(K10*(E8/100))</f>
        <v>41.850490527462853</v>
      </c>
      <c r="M11" s="49">
        <f>B13-L11</f>
        <v>361.19967381759983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403.05016434506268</v>
      </c>
      <c r="E13" s="42"/>
      <c r="F13" s="44"/>
      <c r="G13" s="53"/>
      <c r="L13" s="54">
        <f>SUM(L6:L11)</f>
        <v>252.86967015736744</v>
      </c>
      <c r="M13" s="54">
        <f>SUM(M6:M11)</f>
        <v>2165.4313159130088</v>
      </c>
    </row>
    <row r="14" spans="1:13" ht="12.75" customHeight="1">
      <c r="A14" t="s">
        <v>108</v>
      </c>
      <c r="B14" s="55">
        <f>B4*(E8/100)</f>
        <v>42.439271453333326</v>
      </c>
      <c r="E14" s="42"/>
    </row>
    <row r="15" spans="1:13" ht="12.75" customHeight="1">
      <c r="A15" t="s">
        <v>109</v>
      </c>
      <c r="B15" s="55">
        <f>B13-B14</f>
        <v>360.61089289172935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403.05172434506267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-0.10840000000000005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-2.168000000000001</v>
      </c>
    </row>
    <row r="21" spans="1:9" ht="12.75" customHeight="1">
      <c r="E21" s="42">
        <v>-0.11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2165.4313159130088</v>
      </c>
      <c r="C22" s="58">
        <f>B22/170000</f>
        <v>1.2737831270076522E-2</v>
      </c>
      <c r="E22" s="42">
        <v>-0.109</v>
      </c>
      <c r="F22">
        <v>4</v>
      </c>
      <c r="G22" s="57">
        <f t="shared" ref="G22:G40" si="0">IF(E22="",0,1)</f>
        <v>1</v>
      </c>
    </row>
    <row r="23" spans="1:9" ht="12.75" customHeight="1">
      <c r="A23" t="s">
        <v>115</v>
      </c>
      <c r="B23" s="53">
        <f>K11</f>
        <v>127883.40868408699</v>
      </c>
      <c r="C23" s="59">
        <f>6/(40*6)</f>
        <v>2.5000000000000001E-2</v>
      </c>
      <c r="E23" s="42">
        <v>-0.109</v>
      </c>
      <c r="F23">
        <v>5</v>
      </c>
      <c r="G23" s="57">
        <f t="shared" si="0"/>
        <v>1</v>
      </c>
    </row>
    <row r="24" spans="1:9" ht="12.75" customHeight="1">
      <c r="E24" s="42">
        <v>-0.108</v>
      </c>
      <c r="F24">
        <v>6</v>
      </c>
      <c r="G24" s="57">
        <f t="shared" si="0"/>
        <v>1</v>
      </c>
    </row>
    <row r="25" spans="1:9" ht="12.75" customHeight="1">
      <c r="E25" s="42">
        <v>-0.108</v>
      </c>
      <c r="F25">
        <v>7</v>
      </c>
      <c r="G25" s="57">
        <f t="shared" si="0"/>
        <v>1</v>
      </c>
    </row>
    <row r="26" spans="1:9" ht="12.75" customHeight="1">
      <c r="E26" s="42">
        <v>-0.109</v>
      </c>
      <c r="F26">
        <v>8</v>
      </c>
      <c r="G26" s="57">
        <f t="shared" si="0"/>
        <v>1</v>
      </c>
    </row>
    <row r="27" spans="1:9" ht="12.75" customHeight="1">
      <c r="E27" s="42">
        <v>-0.109</v>
      </c>
      <c r="F27">
        <v>11</v>
      </c>
      <c r="G27" s="57">
        <f t="shared" si="0"/>
        <v>1</v>
      </c>
    </row>
    <row r="28" spans="1:9" ht="12.75" customHeight="1">
      <c r="C28" s="59"/>
      <c r="E28" s="42">
        <v>-0.11</v>
      </c>
      <c r="F28">
        <v>12</v>
      </c>
      <c r="G28" s="57">
        <f t="shared" si="0"/>
        <v>1</v>
      </c>
    </row>
    <row r="29" spans="1:9" ht="12.75" customHeight="1">
      <c r="C29" s="59"/>
      <c r="E29" s="42">
        <v>-0.108</v>
      </c>
      <c r="F29">
        <v>13</v>
      </c>
      <c r="G29" s="57">
        <f t="shared" si="0"/>
        <v>1</v>
      </c>
    </row>
    <row r="30" spans="1:9" ht="12.75" customHeight="1">
      <c r="C30" s="59"/>
      <c r="E30" s="42">
        <v>-0.108</v>
      </c>
      <c r="F30">
        <v>14</v>
      </c>
      <c r="G30" s="57">
        <f t="shared" si="0"/>
        <v>1</v>
      </c>
    </row>
    <row r="31" spans="1:9" ht="12.75" customHeight="1">
      <c r="E31" s="42">
        <v>-0.108</v>
      </c>
      <c r="F31">
        <v>15</v>
      </c>
      <c r="G31" s="57">
        <f t="shared" si="0"/>
        <v>1</v>
      </c>
    </row>
    <row r="32" spans="1:9" ht="12.75" customHeight="1">
      <c r="E32" s="42">
        <v>-0.108</v>
      </c>
      <c r="F32">
        <v>18</v>
      </c>
      <c r="G32" s="57">
        <f t="shared" si="0"/>
        <v>1</v>
      </c>
    </row>
    <row r="33" spans="2:10" ht="12.75" customHeight="1">
      <c r="C33" s="59"/>
      <c r="E33" s="42">
        <v>-0.108</v>
      </c>
      <c r="F33">
        <v>19</v>
      </c>
      <c r="G33" s="57">
        <f t="shared" si="0"/>
        <v>1</v>
      </c>
    </row>
    <row r="34" spans="2:10" ht="12.75" customHeight="1">
      <c r="C34" s="58"/>
      <c r="E34" s="42">
        <v>-0.108</v>
      </c>
      <c r="F34">
        <v>20</v>
      </c>
      <c r="G34" s="57">
        <f t="shared" si="0"/>
        <v>1</v>
      </c>
    </row>
    <row r="35" spans="2:10" ht="12.75" customHeight="1">
      <c r="C35" s="58"/>
      <c r="E35" s="42">
        <v>-0.108</v>
      </c>
      <c r="F35">
        <v>21</v>
      </c>
      <c r="G35" s="57">
        <f t="shared" si="0"/>
        <v>1</v>
      </c>
      <c r="J35" t="s">
        <v>362</v>
      </c>
    </row>
    <row r="36" spans="2:10" ht="12.75" customHeight="1">
      <c r="E36" s="42">
        <v>-0.108</v>
      </c>
      <c r="F36">
        <v>22</v>
      </c>
      <c r="G36" s="57">
        <f t="shared" si="0"/>
        <v>1</v>
      </c>
    </row>
    <row r="37" spans="2:10" ht="12.75" customHeight="1">
      <c r="E37" s="42">
        <v>-0.108</v>
      </c>
      <c r="F37">
        <v>25</v>
      </c>
      <c r="G37" s="57">
        <f t="shared" si="0"/>
        <v>1</v>
      </c>
    </row>
    <row r="38" spans="2:10" ht="12.75" customHeight="1">
      <c r="E38" s="42">
        <v>-0.108</v>
      </c>
      <c r="F38">
        <v>26</v>
      </c>
      <c r="G38" s="57">
        <f t="shared" si="0"/>
        <v>1</v>
      </c>
    </row>
    <row r="39" spans="2:10" ht="12.75" customHeight="1">
      <c r="E39" s="42">
        <v>-0.108</v>
      </c>
      <c r="F39">
        <v>27</v>
      </c>
      <c r="G39" s="57">
        <f t="shared" si="0"/>
        <v>1</v>
      </c>
    </row>
    <row r="40" spans="2:10" ht="12.75" customHeight="1">
      <c r="E40" s="42">
        <v>-0.108</v>
      </c>
      <c r="F40">
        <v>28</v>
      </c>
      <c r="G40" s="57">
        <f t="shared" si="0"/>
        <v>1</v>
      </c>
    </row>
    <row r="41" spans="2:10" ht="12.75" customHeight="1">
      <c r="E41" s="42"/>
      <c r="F41">
        <v>29</v>
      </c>
      <c r="G41" s="57">
        <f t="shared" ref="G41:G43" si="1">IF(E41="",0,1)</f>
        <v>0</v>
      </c>
    </row>
    <row r="42" spans="2:10" ht="12.75" customHeight="1">
      <c r="E42" s="42"/>
      <c r="F42">
        <v>30</v>
      </c>
      <c r="G42" s="57">
        <f t="shared" si="1"/>
        <v>0</v>
      </c>
    </row>
    <row r="43" spans="2:10" ht="12.75" customHeight="1">
      <c r="B43" s="39"/>
      <c r="E43" s="42"/>
      <c r="F43">
        <v>31</v>
      </c>
      <c r="G43" s="57">
        <f t="shared" si="1"/>
        <v>0</v>
      </c>
    </row>
    <row r="45" spans="2:10" ht="12.75" customHeight="1">
      <c r="G45" s="57">
        <f>SUM(G21:G43)</f>
        <v>20</v>
      </c>
    </row>
    <row r="46" spans="2:10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6" workbookViewId="0">
      <selection activeCell="G21" sqref="G21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9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9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9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9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  <c r="G20">
        <f>9486.92-I20</f>
        <v>6086.8600000000006</v>
      </c>
      <c r="H20">
        <v>67.53</v>
      </c>
      <c r="I20">
        <v>3400.06</v>
      </c>
    </row>
    <row r="21" spans="2:9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G21">
        <f>G20-H$20</f>
        <v>6019.3300000000008</v>
      </c>
    </row>
    <row r="22" spans="2:9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ref="G22:G63" si="3">G21-H$20</f>
        <v>5951.8000000000011</v>
      </c>
    </row>
    <row r="23" spans="2:9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5884.2700000000013</v>
      </c>
    </row>
    <row r="24" spans="2:9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5816.7400000000016</v>
      </c>
    </row>
    <row r="25" spans="2:9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5749.2100000000019</v>
      </c>
    </row>
    <row r="26" spans="2:9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5681.6800000000021</v>
      </c>
    </row>
    <row r="27" spans="2:9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5614.1500000000024</v>
      </c>
    </row>
    <row r="28" spans="2:9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5546.6200000000026</v>
      </c>
    </row>
    <row r="29" spans="2:9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5479.0900000000029</v>
      </c>
    </row>
    <row r="30" spans="2:9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5411.5600000000031</v>
      </c>
    </row>
    <row r="31" spans="2:9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5344.0300000000034</v>
      </c>
    </row>
    <row r="32" spans="2:9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5276.5000000000036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5208.9700000000039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5141.4400000000041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5073.9100000000044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5006.3800000000047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4938.8500000000049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4871.3200000000052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4803.7900000000054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4736.2600000000057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4668.7300000000059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4601.2000000000062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4533.6700000000064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4466.1400000000067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4398.6100000000069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4331.0800000000072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4263.5500000000075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4196.0200000000077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4128.490000000008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4060.9600000000078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3993.4300000000076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3925.9000000000074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3858.3700000000072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3790.840000000007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3723.3100000000068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3655.7800000000066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3588.2500000000064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3520.7200000000062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3453.190000000006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3385.6600000000058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3318.1300000000056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3250.6000000000054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3183.0700000000052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workbookViewId="0">
      <selection activeCell="N13" sqref="N13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3" ht="12.75" customHeight="1">
      <c r="A25" s="120">
        <f t="shared" si="5"/>
        <v>43678</v>
      </c>
      <c r="B25" s="116">
        <f>Hipoteca!B4</f>
        <v>130048.84</v>
      </c>
      <c r="C25" s="71">
        <f>Hipoteca!B$6/100</f>
        <v>-1.0840000000000005E-3</v>
      </c>
      <c r="D25" s="73">
        <f>Hipoteca!B$13</f>
        <v>403.05016434506268</v>
      </c>
      <c r="E25" s="72">
        <f t="shared" ref="E25" si="10">D25-D24</f>
        <v>-2.9835654937301115E-2</v>
      </c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1" si="11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11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11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11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11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11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11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11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11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11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11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11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11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11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11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11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11"/>
        <v>53601</v>
      </c>
      <c r="J79" s="128"/>
      <c r="K79" s="127"/>
      <c r="L79" s="127"/>
      <c r="M79" s="72"/>
    </row>
    <row r="80" spans="1:13" ht="12.75" customHeight="1">
      <c r="A80" s="120">
        <f t="shared" ref="A80:A81" si="12">EDATE(A79,6)</f>
        <v>53724</v>
      </c>
      <c r="B80" s="116"/>
      <c r="C80" s="71"/>
      <c r="D80" s="73"/>
      <c r="E80" s="72"/>
      <c r="I80" s="79">
        <f t="shared" si="11"/>
        <v>53783</v>
      </c>
      <c r="J80" s="128"/>
      <c r="K80" s="127"/>
      <c r="L80" s="127"/>
      <c r="M80" s="72"/>
    </row>
    <row r="81" spans="1:13" ht="12.75" customHeight="1">
      <c r="A81" s="120">
        <f t="shared" si="12"/>
        <v>53905</v>
      </c>
      <c r="B81" s="116"/>
      <c r="C81" s="71"/>
      <c r="D81" s="73"/>
      <c r="E81" s="72"/>
      <c r="I81" s="79">
        <f t="shared" si="11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8.4694482401656297E-3</v>
      </c>
      <c r="D83" s="85">
        <f>AVERAGE(D2:D82)</f>
        <v>492.81483362263265</v>
      </c>
      <c r="E83" s="86">
        <f>AVERAGE(E3:E82)</f>
        <v>-19.347818941519016</v>
      </c>
      <c r="M83" s="86">
        <f>AVERAGE(M3:M82)</f>
        <v>-5756.1722727272727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11D-5963-4199-8F64-38CC95B2FD67}">
  <dimension ref="A1:AB78"/>
  <sheetViews>
    <sheetView topLeftCell="H16" workbookViewId="0">
      <selection activeCell="L36" sqref="L36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7" max="17" width="12.85546875" customWidth="1"/>
    <col min="18" max="18" width="34.42578125" customWidth="1"/>
    <col min="19" max="19" width="17.7109375" customWidth="1"/>
    <col min="20" max="20" width="12.7109375" customWidth="1"/>
    <col min="21" max="21" width="24.140625" customWidth="1"/>
    <col min="22" max="22" width="12" bestFit="1" customWidth="1"/>
    <col min="23" max="23" width="14.7109375" customWidth="1"/>
    <col min="24" max="24" width="16" customWidth="1"/>
    <col min="27" max="27" width="12.7109375" bestFit="1" customWidth="1"/>
    <col min="28" max="28" width="16.140625" customWidth="1"/>
    <col min="29" max="29" width="15.28515625" customWidth="1"/>
    <col min="30" max="30" width="12.7109375" bestFit="1" customWidth="1"/>
  </cols>
  <sheetData>
    <row r="1" spans="1:26">
      <c r="A1" s="240" t="s">
        <v>503</v>
      </c>
      <c r="B1" s="240"/>
      <c r="C1" s="241"/>
      <c r="D1" s="320"/>
      <c r="E1" s="242"/>
      <c r="F1" s="243" t="s">
        <v>504</v>
      </c>
      <c r="G1" s="244"/>
      <c r="H1" s="244"/>
      <c r="I1" s="244"/>
      <c r="J1" s="244"/>
      <c r="K1" s="245" t="s">
        <v>505</v>
      </c>
      <c r="L1" s="246"/>
      <c r="M1" s="246"/>
      <c r="N1" s="247"/>
      <c r="O1" s="248" t="s">
        <v>5</v>
      </c>
      <c r="P1" s="249"/>
      <c r="Q1" s="250"/>
      <c r="R1" s="251"/>
    </row>
    <row r="2" spans="1:26">
      <c r="A2" s="252" t="s">
        <v>506</v>
      </c>
      <c r="B2" s="252" t="s">
        <v>507</v>
      </c>
      <c r="C2" s="252" t="s">
        <v>508</v>
      </c>
      <c r="D2" s="321" t="s">
        <v>563</v>
      </c>
      <c r="E2" s="252" t="s">
        <v>509</v>
      </c>
      <c r="F2" s="253" t="s">
        <v>510</v>
      </c>
      <c r="G2" s="254" t="s">
        <v>511</v>
      </c>
      <c r="H2" s="254" t="s">
        <v>512</v>
      </c>
      <c r="I2" s="254" t="s">
        <v>513</v>
      </c>
      <c r="J2" s="254" t="s">
        <v>7</v>
      </c>
      <c r="K2" s="255" t="s">
        <v>510</v>
      </c>
      <c r="L2" s="256" t="s">
        <v>511</v>
      </c>
      <c r="M2" s="256" t="s">
        <v>513</v>
      </c>
      <c r="N2" s="257" t="s">
        <v>7</v>
      </c>
      <c r="O2" s="258" t="s">
        <v>7</v>
      </c>
      <c r="P2" s="259" t="s">
        <v>514</v>
      </c>
      <c r="Q2" s="259" t="s">
        <v>95</v>
      </c>
      <c r="R2" s="260" t="s">
        <v>515</v>
      </c>
      <c r="S2" s="261"/>
    </row>
    <row r="3" spans="1:26">
      <c r="A3" s="262" t="s">
        <v>516</v>
      </c>
      <c r="B3" s="262" t="s">
        <v>517</v>
      </c>
      <c r="C3" s="263">
        <v>5600</v>
      </c>
      <c r="D3" s="322">
        <f ca="1">_xlfn.DAYS(K3,F3)</f>
        <v>1407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43616</v>
      </c>
      <c r="L3" s="263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9">
        <f>P3/E3</f>
        <v>0.33535038629518998</v>
      </c>
      <c r="R3" s="270" t="s">
        <v>537</v>
      </c>
    </row>
    <row r="4" spans="1:26">
      <c r="A4" s="262" t="s">
        <v>518</v>
      </c>
      <c r="B4" s="262" t="s">
        <v>413</v>
      </c>
      <c r="C4" s="263">
        <v>4090</v>
      </c>
      <c r="D4" s="322">
        <f ca="1">_xlfn.DAYS(K4,F4)</f>
        <v>11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43616</v>
      </c>
      <c r="L4" s="263">
        <v>73.97</v>
      </c>
      <c r="M4" s="264">
        <f>(H4*L4)</f>
        <v>4586.1400000000003</v>
      </c>
      <c r="N4" s="264">
        <f>-(IF((M4*0.0075)&lt;30,30,(M4*0.0075)) + (M4*0.0035))</f>
        <v>-50.447540000000004</v>
      </c>
      <c r="O4" s="272">
        <f>J4+N4</f>
        <v>-94.934400000000011</v>
      </c>
      <c r="P4" s="273">
        <f>M4-E4+N4</f>
        <v>446.94560000000013</v>
      </c>
      <c r="Q4" s="274">
        <f>P4/E4</f>
        <v>0.109311144784346</v>
      </c>
      <c r="R4" s="275" t="s">
        <v>537</v>
      </c>
    </row>
    <row r="5" spans="1:26">
      <c r="A5" s="262" t="s">
        <v>518</v>
      </c>
      <c r="B5" s="262" t="s">
        <v>519</v>
      </c>
      <c r="C5" s="263">
        <v>5100</v>
      </c>
      <c r="D5" s="322">
        <f ca="1">_xlfn.DAYS(K5,F5)</f>
        <v>462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43616</v>
      </c>
      <c r="L5" s="263">
        <v>30.27</v>
      </c>
      <c r="M5" s="264">
        <f>(H5*L5)</f>
        <v>5932.92</v>
      </c>
      <c r="N5" s="264">
        <f>-(IF((M5*0.0075)&lt;30,30,(M5*0.0075)) + (M5*0.0035))</f>
        <v>-65.262119999999996</v>
      </c>
      <c r="O5" s="272">
        <f>J5+N5</f>
        <v>-121.27499999999999</v>
      </c>
      <c r="P5" s="273">
        <f>M5-E5+N5</f>
        <v>719.56499999999994</v>
      </c>
      <c r="Q5" s="274">
        <f>P5/E5</f>
        <v>0.13977311924488819</v>
      </c>
      <c r="R5" s="275" t="s">
        <v>537</v>
      </c>
    </row>
    <row r="6" spans="1:26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4"/>
      <c r="R6" s="275"/>
    </row>
    <row r="7" spans="1:26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4"/>
      <c r="R7" s="275"/>
    </row>
    <row r="8" spans="1:26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4"/>
      <c r="R8" s="275"/>
    </row>
    <row r="9" spans="1:26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8"/>
      <c r="R9" s="289"/>
    </row>
    <row r="10" spans="1:26">
      <c r="A10" s="444"/>
      <c r="B10" s="445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</row>
    <row r="11" spans="1:26">
      <c r="A11" s="446" t="s">
        <v>520</v>
      </c>
      <c r="B11" s="447"/>
      <c r="C11" s="447"/>
      <c r="D11" s="447"/>
      <c r="E11" s="447"/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</row>
    <row r="12" spans="1:26">
      <c r="A12" s="290" t="s">
        <v>506</v>
      </c>
      <c r="B12" s="290" t="s">
        <v>507</v>
      </c>
      <c r="C12" s="290" t="s">
        <v>508</v>
      </c>
      <c r="D12" s="324" t="s">
        <v>563</v>
      </c>
      <c r="E12" s="290" t="s">
        <v>509</v>
      </c>
      <c r="F12" s="291" t="s">
        <v>510</v>
      </c>
      <c r="G12" s="292" t="s">
        <v>511</v>
      </c>
      <c r="H12" s="292" t="s">
        <v>512</v>
      </c>
      <c r="I12" s="292" t="s">
        <v>513</v>
      </c>
      <c r="J12" s="292" t="s">
        <v>7</v>
      </c>
      <c r="K12" s="293" t="s">
        <v>510</v>
      </c>
      <c r="L12" s="294" t="s">
        <v>511</v>
      </c>
      <c r="M12" s="294" t="s">
        <v>513</v>
      </c>
      <c r="N12" s="295" t="s">
        <v>7</v>
      </c>
      <c r="O12" s="296" t="s">
        <v>7</v>
      </c>
      <c r="P12" s="297" t="s">
        <v>514</v>
      </c>
      <c r="Q12" s="297" t="s">
        <v>95</v>
      </c>
      <c r="R12" s="298" t="s">
        <v>515</v>
      </c>
      <c r="S12" s="340" t="s">
        <v>606</v>
      </c>
      <c r="W12" s="330" t="s">
        <v>533</v>
      </c>
      <c r="X12" s="330" t="s">
        <v>534</v>
      </c>
      <c r="Y12" s="330" t="s">
        <v>535</v>
      </c>
      <c r="Z12" s="330" t="s">
        <v>536</v>
      </c>
    </row>
    <row r="13" spans="1:26">
      <c r="A13" s="262" t="s">
        <v>516</v>
      </c>
      <c r="B13" s="262" t="s">
        <v>521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9">
        <v>-6.54E-2</v>
      </c>
      <c r="R13" s="270" t="s">
        <v>521</v>
      </c>
      <c r="S13" s="59">
        <f>Q13+Q14</f>
        <v>-4.7120556421087471E-2</v>
      </c>
      <c r="W13" s="39">
        <f ca="1">D13/D$43</f>
        <v>4.0207522697795074E-2</v>
      </c>
      <c r="X13" s="119">
        <f ca="1">W13*E13</f>
        <v>161.60484753566797</v>
      </c>
      <c r="Y13" s="38"/>
    </row>
    <row r="14" spans="1:26">
      <c r="A14" s="262" t="s">
        <v>516</v>
      </c>
      <c r="B14" s="262" t="s">
        <v>521</v>
      </c>
      <c r="C14" s="263"/>
      <c r="D14" s="322">
        <f t="shared" ref="D14:D35" si="0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4">
        <f>P14/E14</f>
        <v>1.8279443578912528E-2</v>
      </c>
      <c r="R14" s="275" t="s">
        <v>522</v>
      </c>
      <c r="W14" s="39">
        <f t="shared" ref="W14:W41" ca="1" si="1">D14/D$43</f>
        <v>0</v>
      </c>
      <c r="X14" s="119">
        <f t="shared" ref="X14:X41" ca="1" si="2">W14*E14</f>
        <v>0</v>
      </c>
    </row>
    <row r="15" spans="1:26">
      <c r="A15" s="262" t="s">
        <v>516</v>
      </c>
      <c r="B15" s="262" t="s">
        <v>523</v>
      </c>
      <c r="C15" s="263"/>
      <c r="D15" s="322">
        <f t="shared" si="0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4">
        <v>4.2278358399185385E-3</v>
      </c>
      <c r="R15" s="275" t="s">
        <v>523</v>
      </c>
      <c r="W15" s="39">
        <f t="shared" ca="1" si="1"/>
        <v>3.5667963683527884E-2</v>
      </c>
      <c r="X15" s="119">
        <f t="shared" ca="1" si="2"/>
        <v>0</v>
      </c>
    </row>
    <row r="16" spans="1:26">
      <c r="A16" s="262" t="s">
        <v>516</v>
      </c>
      <c r="B16" s="262" t="s">
        <v>524</v>
      </c>
      <c r="C16" s="263"/>
      <c r="D16" s="322">
        <f t="shared" si="0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4">
        <v>0.10105569620253146</v>
      </c>
      <c r="R16" s="275" t="s">
        <v>524</v>
      </c>
      <c r="W16" s="39">
        <f t="shared" ca="1" si="1"/>
        <v>9.0791180285343717E-3</v>
      </c>
      <c r="X16" s="119">
        <f t="shared" ca="1" si="2"/>
        <v>0</v>
      </c>
    </row>
    <row r="17" spans="1:24">
      <c r="A17" s="262"/>
      <c r="B17" s="262"/>
      <c r="C17" s="263"/>
      <c r="D17" s="322">
        <f t="shared" si="0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4"/>
      <c r="R17" s="275" t="s">
        <v>525</v>
      </c>
      <c r="W17" s="39">
        <f t="shared" ca="1" si="1"/>
        <v>0</v>
      </c>
      <c r="X17" s="119">
        <f t="shared" ca="1" si="2"/>
        <v>0</v>
      </c>
    </row>
    <row r="18" spans="1:24">
      <c r="A18" s="262"/>
      <c r="B18" s="262"/>
      <c r="C18" s="263"/>
      <c r="D18" s="322">
        <f t="shared" si="0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4"/>
      <c r="R18" s="275" t="s">
        <v>526</v>
      </c>
      <c r="W18" s="39">
        <f t="shared" ca="1" si="1"/>
        <v>0</v>
      </c>
      <c r="X18" s="119">
        <f t="shared" ca="1" si="2"/>
        <v>0</v>
      </c>
    </row>
    <row r="19" spans="1:24">
      <c r="A19" s="262" t="s">
        <v>516</v>
      </c>
      <c r="B19" s="262" t="s">
        <v>524</v>
      </c>
      <c r="C19" s="263">
        <v>4400</v>
      </c>
      <c r="D19" s="322">
        <f t="shared" si="0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4">
        <v>0.19146932203389827</v>
      </c>
      <c r="R19" s="275" t="s">
        <v>524</v>
      </c>
      <c r="S19" s="59">
        <f>Q19+Q21+Q24</f>
        <v>0.24013324659263452</v>
      </c>
      <c r="W19" s="39">
        <f t="shared" ca="1" si="1"/>
        <v>0.56355382619974059</v>
      </c>
      <c r="X19" s="119">
        <f t="shared" ca="1" si="2"/>
        <v>2492.8239497276268</v>
      </c>
    </row>
    <row r="20" spans="1:24">
      <c r="A20" s="262" t="s">
        <v>516</v>
      </c>
      <c r="B20" s="262" t="s">
        <v>524</v>
      </c>
      <c r="C20" s="263">
        <v>605</v>
      </c>
      <c r="D20" s="322">
        <f t="shared" si="0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4">
        <f>P20/E20</f>
        <v>3.2879453879453884</v>
      </c>
      <c r="R20" s="275" t="s">
        <v>564</v>
      </c>
      <c r="W20" s="39">
        <f t="shared" ca="1" si="1"/>
        <v>0.40985732814526588</v>
      </c>
      <c r="X20" s="119">
        <f t="shared" ca="1" si="2"/>
        <v>246.16031128404668</v>
      </c>
    </row>
    <row r="21" spans="1:24">
      <c r="A21" s="262" t="s">
        <v>516</v>
      </c>
      <c r="B21" s="262" t="s">
        <v>524</v>
      </c>
      <c r="C21" s="263"/>
      <c r="D21" s="322">
        <f t="shared" si="0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4">
        <f>P21/E21</f>
        <v>4.2560022472487621E-2</v>
      </c>
      <c r="R21" s="275" t="s">
        <v>527</v>
      </c>
      <c r="W21" s="39">
        <f t="shared" ca="1" si="1"/>
        <v>0</v>
      </c>
      <c r="X21" s="119">
        <f t="shared" ca="1" si="2"/>
        <v>0</v>
      </c>
    </row>
    <row r="22" spans="1:24">
      <c r="A22" s="262"/>
      <c r="B22" s="262"/>
      <c r="C22" s="263"/>
      <c r="D22" s="322">
        <f t="shared" si="0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4"/>
      <c r="R22" s="275" t="s">
        <v>525</v>
      </c>
      <c r="W22" s="39">
        <f t="shared" ca="1" si="1"/>
        <v>0</v>
      </c>
      <c r="X22" s="119">
        <f t="shared" ca="1" si="2"/>
        <v>0</v>
      </c>
    </row>
    <row r="23" spans="1:24">
      <c r="A23" s="262"/>
      <c r="B23" s="262"/>
      <c r="C23" s="263"/>
      <c r="D23" s="322">
        <f t="shared" si="0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4"/>
      <c r="R23" s="275" t="s">
        <v>528</v>
      </c>
      <c r="W23" s="39">
        <f t="shared" ca="1" si="1"/>
        <v>0</v>
      </c>
      <c r="X23" s="119">
        <f t="shared" ca="1" si="2"/>
        <v>0</v>
      </c>
    </row>
    <row r="24" spans="1:24">
      <c r="A24" s="262" t="s">
        <v>516</v>
      </c>
      <c r="B24" s="262" t="s">
        <v>524</v>
      </c>
      <c r="C24" s="263"/>
      <c r="D24" s="322">
        <f t="shared" si="0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4">
        <f>P24/E24</f>
        <v>6.1039020862486242E-3</v>
      </c>
      <c r="R24" s="275" t="s">
        <v>529</v>
      </c>
      <c r="W24" s="39">
        <f t="shared" ca="1" si="1"/>
        <v>0</v>
      </c>
      <c r="X24" s="119">
        <f t="shared" ca="1" si="2"/>
        <v>0</v>
      </c>
    </row>
    <row r="25" spans="1:24">
      <c r="A25" s="262" t="s">
        <v>516</v>
      </c>
      <c r="B25" s="262" t="s">
        <v>524</v>
      </c>
      <c r="C25" s="263">
        <v>600</v>
      </c>
      <c r="D25" s="322">
        <f t="shared" si="0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4">
        <f>P25/E25</f>
        <v>0.22727132347968687</v>
      </c>
      <c r="R25" s="275" t="s">
        <v>524</v>
      </c>
      <c r="W25" s="39">
        <f t="shared" ca="1" si="1"/>
        <v>0.1867704280155642</v>
      </c>
      <c r="X25" s="119">
        <f t="shared" ca="1" si="2"/>
        <v>113.54955193774319</v>
      </c>
    </row>
    <row r="26" spans="1:24">
      <c r="A26" s="262"/>
      <c r="B26" s="262"/>
      <c r="C26" s="263"/>
      <c r="D26" s="322">
        <f t="shared" si="0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4"/>
      <c r="R26" s="275" t="s">
        <v>530</v>
      </c>
      <c r="W26" s="39">
        <f t="shared" ca="1" si="1"/>
        <v>0</v>
      </c>
      <c r="X26" s="119">
        <f t="shared" ca="1" si="2"/>
        <v>0</v>
      </c>
    </row>
    <row r="27" spans="1:24">
      <c r="A27" s="262"/>
      <c r="B27" s="262"/>
      <c r="C27" s="263"/>
      <c r="D27" s="322">
        <f t="shared" si="0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4"/>
      <c r="R27" s="275" t="s">
        <v>530</v>
      </c>
      <c r="W27" s="39">
        <f t="shared" ca="1" si="1"/>
        <v>0</v>
      </c>
      <c r="X27" s="119">
        <f t="shared" ca="1" si="2"/>
        <v>0</v>
      </c>
    </row>
    <row r="28" spans="1:24">
      <c r="A28" s="262" t="s">
        <v>518</v>
      </c>
      <c r="B28" s="262" t="s">
        <v>519</v>
      </c>
      <c r="C28" s="263">
        <v>5100</v>
      </c>
      <c r="D28" s="322">
        <f t="shared" ca="1" si="0"/>
        <v>462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43616</v>
      </c>
      <c r="L28" s="302">
        <v>24</v>
      </c>
      <c r="M28" s="264">
        <f>(H28*L28)</f>
        <v>4704</v>
      </c>
      <c r="N28" s="264">
        <f>-(IF((M28*0.0075)&lt;30,30,(M28*0.0075)) + (M28*0.0035))</f>
        <v>-51.744</v>
      </c>
      <c r="O28" s="272">
        <f>J28+N28</f>
        <v>-107.75688</v>
      </c>
      <c r="P28" s="273">
        <f ca="1">IF(K28=0,0,M28-E28+N28)</f>
        <v>-495.83688000000018</v>
      </c>
      <c r="Q28" s="274">
        <f ca="1">P28/E28</f>
        <v>-9.6314672551129299E-2</v>
      </c>
      <c r="R28" s="275" t="s">
        <v>519</v>
      </c>
      <c r="S28" s="59">
        <f ca="1">Q28+Q29+Q30+Q34</f>
        <v>-7.1909518462300967E-2</v>
      </c>
      <c r="W28" s="39">
        <f t="shared" ca="1" si="1"/>
        <v>0.29961089494163423</v>
      </c>
      <c r="X28" s="119">
        <f t="shared" ca="1" si="2"/>
        <v>1542.4247150194553</v>
      </c>
    </row>
    <row r="29" spans="1:24">
      <c r="A29" s="262" t="s">
        <v>518</v>
      </c>
      <c r="B29" s="262" t="s">
        <v>519</v>
      </c>
      <c r="C29" s="263"/>
      <c r="D29" s="322">
        <f t="shared" si="0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4">
        <f>P29/E29</f>
        <v>7.5056920884457702E-3</v>
      </c>
      <c r="R29" s="275" t="s">
        <v>473</v>
      </c>
      <c r="W29" s="39">
        <f t="shared" ca="1" si="1"/>
        <v>0</v>
      </c>
      <c r="X29" s="119">
        <f t="shared" ca="1" si="2"/>
        <v>0</v>
      </c>
    </row>
    <row r="30" spans="1:24">
      <c r="A30" s="262" t="s">
        <v>518</v>
      </c>
      <c r="B30" s="262" t="s">
        <v>519</v>
      </c>
      <c r="C30" s="263"/>
      <c r="D30" s="322">
        <f t="shared" si="0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4">
        <f>P30/E30</f>
        <v>6.9190670856738691E-3</v>
      </c>
      <c r="R30" s="275" t="s">
        <v>473</v>
      </c>
      <c r="W30" s="39">
        <f t="shared" ca="1" si="1"/>
        <v>0</v>
      </c>
      <c r="X30" s="119">
        <f t="shared" ca="1" si="2"/>
        <v>0</v>
      </c>
    </row>
    <row r="31" spans="1:24">
      <c r="A31" s="262" t="s">
        <v>518</v>
      </c>
      <c r="B31" s="262"/>
      <c r="C31" s="263"/>
      <c r="D31" s="322">
        <f t="shared" si="0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4"/>
      <c r="R31" s="275" t="s">
        <v>531</v>
      </c>
      <c r="W31" s="39">
        <f t="shared" ca="1" si="1"/>
        <v>0</v>
      </c>
      <c r="X31" s="119">
        <f t="shared" ca="1" si="2"/>
        <v>0</v>
      </c>
    </row>
    <row r="32" spans="1:24">
      <c r="A32" s="262" t="s">
        <v>518</v>
      </c>
      <c r="B32" s="262"/>
      <c r="C32" s="263"/>
      <c r="D32" s="322">
        <f t="shared" si="0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</f>
        <v>-9.7999999999999989</v>
      </c>
      <c r="Q32" s="274"/>
      <c r="R32" s="275" t="s">
        <v>532</v>
      </c>
      <c r="W32" s="39">
        <f t="shared" ca="1" si="1"/>
        <v>0</v>
      </c>
      <c r="X32" s="119">
        <f t="shared" ca="1" si="2"/>
        <v>0</v>
      </c>
    </row>
    <row r="33" spans="1:26">
      <c r="A33" s="262" t="s">
        <v>518</v>
      </c>
      <c r="B33" s="262" t="s">
        <v>413</v>
      </c>
      <c r="C33" s="263">
        <v>4090</v>
      </c>
      <c r="D33" s="322">
        <f t="shared" si="0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4">
        <f>P33/E33</f>
        <v>8.5447618433168865E-2</v>
      </c>
      <c r="R33" s="275" t="s">
        <v>413</v>
      </c>
      <c r="W33" s="39">
        <f t="shared" ca="1" si="1"/>
        <v>1.4267185473411154E-2</v>
      </c>
      <c r="X33" s="119">
        <f t="shared" ca="1" si="2"/>
        <v>58.911009338521396</v>
      </c>
    </row>
    <row r="34" spans="1:26">
      <c r="A34" s="262" t="s">
        <v>518</v>
      </c>
      <c r="B34" s="262" t="s">
        <v>519</v>
      </c>
      <c r="C34" s="263"/>
      <c r="D34" s="322">
        <f t="shared" si="0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4">
        <f>P34/E34</f>
        <v>9.9803949147086856E-3</v>
      </c>
      <c r="R34" s="275" t="s">
        <v>473</v>
      </c>
      <c r="W34" s="39">
        <f t="shared" ca="1" si="1"/>
        <v>0</v>
      </c>
      <c r="X34" s="119">
        <f t="shared" ca="1" si="2"/>
        <v>0</v>
      </c>
    </row>
    <row r="35" spans="1:26">
      <c r="A35" s="262" t="s">
        <v>518</v>
      </c>
      <c r="B35" s="262" t="s">
        <v>413</v>
      </c>
      <c r="C35" s="263">
        <v>4090</v>
      </c>
      <c r="D35" s="322">
        <f t="shared" ca="1" si="0"/>
        <v>11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301">
        <f ca="1">TODAY()</f>
        <v>43616</v>
      </c>
      <c r="L35" s="302">
        <v>62</v>
      </c>
      <c r="M35" s="264">
        <f>(H35*L35)</f>
        <v>3844</v>
      </c>
      <c r="N35" s="264">
        <f>-(IF((M35*0.0075)&lt;30,30,(M35*0.0075)) + (M35*0.0035))</f>
        <v>-43.454000000000001</v>
      </c>
      <c r="O35" s="272">
        <f>J35+N35</f>
        <v>-87.940860000000001</v>
      </c>
      <c r="P35" s="273">
        <f ca="1">IF(K35=0,0,M35-E35+N35)</f>
        <v>-288.2008600000002</v>
      </c>
      <c r="Q35" s="274">
        <f ca="1">P35/E35</f>
        <v>-7.048635434476376E-2</v>
      </c>
      <c r="R35" s="275" t="s">
        <v>413</v>
      </c>
      <c r="W35" s="39">
        <f t="shared" ca="1" si="1"/>
        <v>7.133592736705577E-3</v>
      </c>
      <c r="X35" s="119">
        <f t="shared" ca="1" si="2"/>
        <v>29.167454902723737</v>
      </c>
    </row>
    <row r="36" spans="1:26">
      <c r="A36" s="262"/>
      <c r="B36" s="262"/>
      <c r="C36" s="263"/>
      <c r="D36" s="322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4"/>
      <c r="R36" s="275"/>
      <c r="W36" s="39">
        <f t="shared" ca="1" si="1"/>
        <v>0</v>
      </c>
      <c r="X36" s="119">
        <f t="shared" ca="1" si="2"/>
        <v>0</v>
      </c>
    </row>
    <row r="37" spans="1:26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4"/>
      <c r="R37" s="275"/>
      <c r="W37" s="39">
        <f t="shared" ca="1" si="1"/>
        <v>0</v>
      </c>
      <c r="X37" s="119">
        <f t="shared" ca="1" si="2"/>
        <v>0</v>
      </c>
    </row>
    <row r="38" spans="1:26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4"/>
      <c r="R38" s="275"/>
      <c r="W38" s="39">
        <f t="shared" ca="1" si="1"/>
        <v>0</v>
      </c>
      <c r="X38" s="119">
        <f t="shared" ca="1" si="2"/>
        <v>0</v>
      </c>
    </row>
    <row r="39" spans="1:26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4"/>
      <c r="R39" s="275"/>
      <c r="W39" s="39">
        <f t="shared" ca="1" si="1"/>
        <v>0</v>
      </c>
      <c r="X39" s="119">
        <f t="shared" ca="1" si="2"/>
        <v>0</v>
      </c>
    </row>
    <row r="40" spans="1:26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4"/>
      <c r="R40" s="275"/>
      <c r="W40" s="39">
        <f t="shared" ca="1" si="1"/>
        <v>0</v>
      </c>
      <c r="X40" s="119">
        <f t="shared" ca="1" si="2"/>
        <v>0</v>
      </c>
    </row>
    <row r="41" spans="1:26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4"/>
      <c r="R41" s="275"/>
      <c r="W41" s="39">
        <f t="shared" ca="1" si="1"/>
        <v>0</v>
      </c>
      <c r="X41" s="119">
        <f t="shared" ca="1" si="2"/>
        <v>0</v>
      </c>
    </row>
    <row r="42" spans="1:26">
      <c r="A42" s="313"/>
      <c r="B42" s="314"/>
      <c r="C42" s="315"/>
      <c r="D42" s="325">
        <f ca="1">SUM(D13:D41)</f>
        <v>2415</v>
      </c>
      <c r="E42" s="315">
        <f>SUM(E13:E41)</f>
        <v>51327.545465999996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-365.77925900000002</v>
      </c>
      <c r="O42" s="315">
        <f>SUM(O13:O41)</f>
        <v>-551.977397</v>
      </c>
      <c r="P42" s="315">
        <f ca="1">SUM(P13:P41)</f>
        <v>2876.8209829999996</v>
      </c>
      <c r="Q42" s="326">
        <f ca="1">SUM(Q13:Q41)</f>
        <v>3.756564679265177</v>
      </c>
      <c r="R42" s="317"/>
      <c r="W42" s="327">
        <f ca="1">SUM(W13:W41)</f>
        <v>1.566147859922179</v>
      </c>
      <c r="X42" s="328">
        <f ca="1">SUM(X13:X41)</f>
        <v>4644.6418397457855</v>
      </c>
      <c r="Y42" s="329">
        <f ca="1">P42/X42</f>
        <v>0.61938489172234135</v>
      </c>
      <c r="Z42" s="329">
        <f ca="1">Y42/(D$43/365)</f>
        <v>0.14661185828706522</v>
      </c>
    </row>
    <row r="43" spans="1:26">
      <c r="C43" s="119" t="s">
        <v>570</v>
      </c>
      <c r="D43" s="46">
        <f ca="1">_xlfn.DAYS(TODAY(),F13)</f>
        <v>1542</v>
      </c>
      <c r="E43" s="119"/>
      <c r="F43" s="300"/>
      <c r="G43" s="119"/>
      <c r="H43" s="303"/>
      <c r="I43" s="119"/>
      <c r="J43" s="119"/>
      <c r="P43" s="119"/>
      <c r="Q43" s="59"/>
    </row>
    <row r="44" spans="1:26">
      <c r="C44" s="119"/>
      <c r="E44" s="119"/>
      <c r="F44" s="300"/>
      <c r="G44" s="119"/>
      <c r="H44" s="303"/>
      <c r="I44" s="119"/>
      <c r="J44" s="119"/>
    </row>
    <row r="45" spans="1:26">
      <c r="C45" s="119"/>
      <c r="E45" s="119"/>
      <c r="F45" s="300"/>
      <c r="G45" s="119"/>
      <c r="H45" s="303"/>
      <c r="I45" s="119"/>
      <c r="J45" s="119"/>
    </row>
    <row r="46" spans="1:26">
      <c r="C46" s="119"/>
      <c r="E46" s="119"/>
      <c r="F46" s="300"/>
      <c r="G46" s="119"/>
      <c r="H46" s="303"/>
      <c r="I46" s="119"/>
      <c r="J46" s="119"/>
    </row>
    <row r="47" spans="1:26">
      <c r="C47" s="119"/>
      <c r="E47" s="119"/>
      <c r="F47" s="300"/>
      <c r="G47" s="119"/>
      <c r="H47" s="303"/>
      <c r="I47" s="119"/>
      <c r="J47" s="119"/>
    </row>
    <row r="48" spans="1:26">
      <c r="C48" s="119"/>
      <c r="E48" s="119"/>
      <c r="F48" s="300"/>
      <c r="G48" s="119"/>
      <c r="H48" s="303"/>
      <c r="I48" s="119"/>
      <c r="J48" s="119"/>
    </row>
    <row r="49" spans="3:28">
      <c r="C49" s="119"/>
      <c r="E49" s="119"/>
      <c r="F49" s="300"/>
      <c r="G49" s="119"/>
      <c r="H49" s="303"/>
      <c r="I49" s="119"/>
      <c r="J49" s="119"/>
    </row>
    <row r="50" spans="3:28">
      <c r="C50" s="119"/>
      <c r="E50" s="119"/>
      <c r="F50" s="300"/>
      <c r="G50" s="119"/>
      <c r="H50" s="303"/>
      <c r="I50" s="119"/>
      <c r="J50" s="119"/>
    </row>
    <row r="51" spans="3:28">
      <c r="S51" s="119"/>
      <c r="T51" s="58"/>
    </row>
    <row r="52" spans="3:28">
      <c r="E52" s="41"/>
      <c r="I52" s="41"/>
      <c r="J52" s="41"/>
      <c r="K52" s="41"/>
      <c r="L52" s="41"/>
      <c r="M52" s="41"/>
      <c r="N52" s="41"/>
      <c r="O52" s="41"/>
      <c r="P52" s="41"/>
      <c r="S52" s="41"/>
    </row>
    <row r="53" spans="3:28">
      <c r="G53" s="38"/>
      <c r="H53" s="41"/>
    </row>
    <row r="54" spans="3:28">
      <c r="AB54" s="119"/>
    </row>
    <row r="55" spans="3:28">
      <c r="I55" s="38"/>
      <c r="J55" s="38"/>
      <c r="K55" s="38"/>
      <c r="L55" s="38"/>
      <c r="M55" s="38"/>
      <c r="N55" s="38"/>
      <c r="O55" s="38"/>
      <c r="P55" s="38"/>
      <c r="Q55" s="38"/>
      <c r="S55" s="38"/>
    </row>
    <row r="56" spans="3:28">
      <c r="E56" t="s">
        <v>538</v>
      </c>
      <c r="F56">
        <v>74.89</v>
      </c>
      <c r="G56">
        <v>52</v>
      </c>
      <c r="H56" s="58">
        <f>1-(G56/F56)</f>
        <v>0.30564828415008682</v>
      </c>
      <c r="Q56" s="38"/>
      <c r="T56" s="58"/>
      <c r="V56" s="59"/>
      <c r="W56" s="59"/>
    </row>
    <row r="57" spans="3:28">
      <c r="E57" t="s">
        <v>539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S57" s="38"/>
    </row>
    <row r="58" spans="3:28">
      <c r="E58" t="s">
        <v>540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Q58" s="119"/>
    </row>
    <row r="59" spans="3:28">
      <c r="D59" s="46" t="s">
        <v>541</v>
      </c>
      <c r="F59">
        <v>20</v>
      </c>
      <c r="G59">
        <v>14</v>
      </c>
      <c r="H59" s="58">
        <f>1-(G59/F59)</f>
        <v>0.30000000000000004</v>
      </c>
      <c r="Q59" s="119"/>
      <c r="S59" s="306"/>
    </row>
    <row r="60" spans="3:28">
      <c r="G60" s="38"/>
      <c r="S60" s="304"/>
      <c r="T60">
        <f>(0.00242*12)</f>
        <v>2.9039999999999996E-2</v>
      </c>
    </row>
    <row r="61" spans="3:28">
      <c r="P61" s="304"/>
      <c r="S61" s="307"/>
      <c r="T61">
        <f>4700*T60</f>
        <v>136.48799999999997</v>
      </c>
    </row>
    <row r="62" spans="3:28">
      <c r="Q62" s="59"/>
      <c r="S62" s="308" t="s">
        <v>542</v>
      </c>
      <c r="T62" s="41" t="s">
        <v>543</v>
      </c>
      <c r="U62" s="38"/>
    </row>
    <row r="63" spans="3:28" ht="15.75">
      <c r="G63" s="38"/>
      <c r="R63" t="s">
        <v>544</v>
      </c>
      <c r="S63" s="309" t="s">
        <v>545</v>
      </c>
      <c r="T63" s="310"/>
      <c r="U63" s="38"/>
    </row>
    <row r="64" spans="3:28">
      <c r="F64" s="38"/>
      <c r="G64" s="38"/>
      <c r="R64" t="s">
        <v>546</v>
      </c>
      <c r="S64" s="309" t="s">
        <v>547</v>
      </c>
      <c r="T64" t="s">
        <v>548</v>
      </c>
    </row>
    <row r="65" spans="6:21">
      <c r="F65" s="38"/>
      <c r="G65" s="38"/>
      <c r="H65" s="38"/>
      <c r="K65" t="s">
        <v>549</v>
      </c>
      <c r="S65" s="38"/>
      <c r="T65" t="s">
        <v>550</v>
      </c>
      <c r="U65" s="38"/>
    </row>
    <row r="66" spans="6:21">
      <c r="K66" s="311">
        <v>43587</v>
      </c>
      <c r="S66" s="306"/>
    </row>
    <row r="67" spans="6:21">
      <c r="K67" t="s">
        <v>551</v>
      </c>
      <c r="S67" s="312"/>
    </row>
    <row r="68" spans="6:21">
      <c r="K68" t="s">
        <v>552</v>
      </c>
      <c r="M68" t="s">
        <v>148</v>
      </c>
      <c r="S68" s="309"/>
      <c r="T68">
        <f>5000/12</f>
        <v>416.66666666666669</v>
      </c>
    </row>
    <row r="69" spans="6:21">
      <c r="K69" t="s">
        <v>553</v>
      </c>
      <c r="T69">
        <f>2.2/T68</f>
        <v>5.28E-3</v>
      </c>
    </row>
    <row r="70" spans="6:21">
      <c r="K70" t="s">
        <v>554</v>
      </c>
      <c r="T70">
        <f>100*T69</f>
        <v>0.52800000000000002</v>
      </c>
    </row>
    <row r="71" spans="6:21">
      <c r="K71" t="s">
        <v>555</v>
      </c>
      <c r="T71">
        <f>2.2*12</f>
        <v>26.400000000000002</v>
      </c>
    </row>
    <row r="72" spans="6:21">
      <c r="K72" t="s">
        <v>556</v>
      </c>
    </row>
    <row r="73" spans="6:21">
      <c r="K73" t="s">
        <v>557</v>
      </c>
    </row>
    <row r="74" spans="6:21">
      <c r="K74" t="s">
        <v>558</v>
      </c>
    </row>
    <row r="75" spans="6:21">
      <c r="K75" t="s">
        <v>559</v>
      </c>
    </row>
    <row r="76" spans="6:21">
      <c r="K76" t="s">
        <v>560</v>
      </c>
    </row>
    <row r="77" spans="6:21">
      <c r="K77" t="s">
        <v>561</v>
      </c>
    </row>
    <row r="78" spans="6:21">
      <c r="K78" t="s">
        <v>562</v>
      </c>
    </row>
  </sheetData>
  <mergeCells count="2">
    <mergeCell ref="A10:R10"/>
    <mergeCell ref="A11:R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905C-C927-46AD-A41B-CB021864580F}">
  <dimension ref="A1:E40"/>
  <sheetViews>
    <sheetView workbookViewId="0">
      <selection activeCell="D8" sqref="D8"/>
    </sheetView>
  </sheetViews>
  <sheetFormatPr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8" t="s">
        <v>576</v>
      </c>
      <c r="B1" s="448"/>
      <c r="C1" s="448"/>
      <c r="D1" s="448"/>
      <c r="E1" s="448"/>
    </row>
    <row r="2" spans="1:5">
      <c r="A2" s="332" t="s">
        <v>572</v>
      </c>
      <c r="B2" s="333" t="s">
        <v>88</v>
      </c>
      <c r="C2" s="333" t="s">
        <v>573</v>
      </c>
      <c r="D2" s="333" t="s">
        <v>574</v>
      </c>
      <c r="E2" s="270"/>
    </row>
    <row r="3" spans="1:5">
      <c r="A3" s="334" t="s">
        <v>52</v>
      </c>
      <c r="B3" s="335">
        <f>1094.26</f>
        <v>1094.26</v>
      </c>
      <c r="C3" s="305">
        <f>B3/B$7</f>
        <v>0.27057113044166298</v>
      </c>
      <c r="D3" s="335">
        <f>D$7*C3</f>
        <v>-53.031941566565941</v>
      </c>
      <c r="E3" s="275"/>
    </row>
    <row r="4" spans="1:5">
      <c r="A4" s="334" t="s">
        <v>26</v>
      </c>
      <c r="B4" s="335">
        <v>1350</v>
      </c>
      <c r="C4" s="305">
        <f t="shared" ref="C4:C6" si="0">B4/B$7</f>
        <v>0.33380643183178133</v>
      </c>
      <c r="D4" s="335">
        <f t="shared" ref="D4:D6" si="1">D$7*C4</f>
        <v>-65.426060639029146</v>
      </c>
      <c r="E4" s="275"/>
    </row>
    <row r="5" spans="1:5">
      <c r="A5" s="334" t="s">
        <v>171</v>
      </c>
      <c r="B5" s="335">
        <v>550</v>
      </c>
      <c r="C5" s="305">
        <f t="shared" si="0"/>
        <v>0.1359952129685035</v>
      </c>
      <c r="D5" s="335">
        <f t="shared" si="1"/>
        <v>-26.655061741826685</v>
      </c>
      <c r="E5" s="275"/>
    </row>
    <row r="6" spans="1:5">
      <c r="A6" s="334" t="s">
        <v>50</v>
      </c>
      <c r="B6" s="335">
        <v>1050</v>
      </c>
      <c r="C6" s="305">
        <f t="shared" si="0"/>
        <v>0.25962722475805217</v>
      </c>
      <c r="D6" s="335">
        <f t="shared" si="1"/>
        <v>-50.886936052578221</v>
      </c>
      <c r="E6" s="275"/>
    </row>
    <row r="7" spans="1:5">
      <c r="A7" s="334" t="s">
        <v>5</v>
      </c>
      <c r="B7" s="335">
        <f>SUM(B3:B6)</f>
        <v>4044.26</v>
      </c>
      <c r="C7" s="305">
        <f>SUM(C3:C6)</f>
        <v>1</v>
      </c>
      <c r="D7" s="336">
        <v>-196</v>
      </c>
      <c r="E7" s="275" t="s">
        <v>575</v>
      </c>
    </row>
    <row r="8" spans="1:5">
      <c r="A8" s="334"/>
      <c r="B8" s="335"/>
      <c r="C8" s="337"/>
      <c r="D8" s="337"/>
      <c r="E8" s="275"/>
    </row>
    <row r="9" spans="1:5">
      <c r="A9" s="334"/>
      <c r="B9" s="335"/>
      <c r="C9" s="337"/>
      <c r="D9" s="337"/>
      <c r="E9" s="275"/>
    </row>
    <row r="10" spans="1:5">
      <c r="A10" s="334"/>
      <c r="B10" s="337"/>
      <c r="C10" s="337"/>
      <c r="D10" s="337"/>
      <c r="E10" s="275"/>
    </row>
    <row r="11" spans="1:5">
      <c r="A11" s="334" t="s">
        <v>155</v>
      </c>
      <c r="B11" s="335">
        <v>5092.08</v>
      </c>
      <c r="C11" s="337"/>
      <c r="D11" s="337"/>
      <c r="E11" s="275"/>
    </row>
    <row r="12" spans="1:5">
      <c r="A12" s="338" t="s">
        <v>5</v>
      </c>
      <c r="B12" s="339">
        <f>B7+B11</f>
        <v>9136.34</v>
      </c>
      <c r="C12" s="330"/>
      <c r="D12" s="330"/>
      <c r="E12" s="289"/>
    </row>
    <row r="15" spans="1:5">
      <c r="A15" s="446" t="s">
        <v>605</v>
      </c>
      <c r="B15" s="446"/>
      <c r="C15" s="446"/>
      <c r="D15" s="446"/>
      <c r="E15" s="446"/>
    </row>
    <row r="17" spans="1:4">
      <c r="A17" s="331" t="s">
        <v>577</v>
      </c>
    </row>
    <row r="19" spans="1:4">
      <c r="A19" t="s">
        <v>578</v>
      </c>
    </row>
    <row r="20" spans="1:4">
      <c r="A20" t="s">
        <v>579</v>
      </c>
    </row>
    <row r="21" spans="1:4">
      <c r="A21" t="s">
        <v>580</v>
      </c>
    </row>
    <row r="22" spans="1:4">
      <c r="A22" t="s">
        <v>581</v>
      </c>
    </row>
    <row r="23" spans="1:4">
      <c r="A23" t="s">
        <v>582</v>
      </c>
    </row>
    <row r="24" spans="1:4">
      <c r="A24" t="s">
        <v>583</v>
      </c>
    </row>
    <row r="25" spans="1:4">
      <c r="A25" t="s">
        <v>584</v>
      </c>
    </row>
    <row r="30" spans="1:4">
      <c r="A30" s="331" t="s">
        <v>585</v>
      </c>
      <c r="B30" s="331" t="s">
        <v>586</v>
      </c>
      <c r="C30" s="331" t="s">
        <v>587</v>
      </c>
      <c r="D30" s="331" t="s">
        <v>588</v>
      </c>
    </row>
    <row r="32" spans="1:4">
      <c r="A32" t="s">
        <v>589</v>
      </c>
      <c r="B32" t="s">
        <v>590</v>
      </c>
      <c r="C32" t="s">
        <v>591</v>
      </c>
      <c r="D32" t="s">
        <v>592</v>
      </c>
    </row>
    <row r="33" spans="1:4">
      <c r="A33" t="s">
        <v>593</v>
      </c>
      <c r="B33" t="s">
        <v>594</v>
      </c>
      <c r="C33" t="s">
        <v>595</v>
      </c>
      <c r="D33" t="s">
        <v>590</v>
      </c>
    </row>
    <row r="34" spans="1:4">
      <c r="A34" t="s">
        <v>596</v>
      </c>
      <c r="B34" t="s">
        <v>597</v>
      </c>
      <c r="C34" t="s">
        <v>598</v>
      </c>
      <c r="D34" t="s">
        <v>592</v>
      </c>
    </row>
    <row r="35" spans="1:4">
      <c r="A35" t="s">
        <v>599</v>
      </c>
      <c r="B35" t="s">
        <v>590</v>
      </c>
      <c r="C35" t="s">
        <v>595</v>
      </c>
      <c r="D35" t="s">
        <v>600</v>
      </c>
    </row>
    <row r="36" spans="1:4">
      <c r="A36" t="s">
        <v>425</v>
      </c>
      <c r="B36" t="s">
        <v>590</v>
      </c>
      <c r="C36" t="s">
        <v>591</v>
      </c>
      <c r="D36" t="s">
        <v>600</v>
      </c>
    </row>
    <row r="37" spans="1:4">
      <c r="A37" t="s">
        <v>601</v>
      </c>
      <c r="B37" t="s">
        <v>592</v>
      </c>
      <c r="C37" t="s">
        <v>598</v>
      </c>
      <c r="D37" t="s">
        <v>597</v>
      </c>
    </row>
    <row r="38" spans="1:4">
      <c r="A38" t="s">
        <v>602</v>
      </c>
      <c r="B38" t="s">
        <v>590</v>
      </c>
      <c r="C38" t="s">
        <v>598</v>
      </c>
      <c r="D38" t="s">
        <v>590</v>
      </c>
    </row>
    <row r="39" spans="1:4">
      <c r="A39" t="s">
        <v>603</v>
      </c>
      <c r="B39" t="s">
        <v>592</v>
      </c>
      <c r="C39" t="s">
        <v>591</v>
      </c>
      <c r="D39" t="s">
        <v>590</v>
      </c>
    </row>
    <row r="40" spans="1:4">
      <c r="A40" t="s">
        <v>604</v>
      </c>
      <c r="B40" t="s">
        <v>592</v>
      </c>
      <c r="C40" t="s">
        <v>591</v>
      </c>
      <c r="D40" t="s">
        <v>597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M50" sqref="M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16" workbookViewId="0">
      <selection activeCell="G326" sqref="G326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>
        <v>2018</v>
      </c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32">
        <v>2901.68</v>
      </c>
      <c r="L5" s="433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16">
        <v>620.05999999999995</v>
      </c>
      <c r="L6" s="417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16">
        <v>8035.29</v>
      </c>
      <c r="L7" s="417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16">
        <v>7000</v>
      </c>
      <c r="L8" s="417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16">
        <v>659.39</v>
      </c>
      <c r="L9" s="417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16">
        <v>1800.04</v>
      </c>
      <c r="L10" s="417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16">
        <f>240+35</f>
        <v>275</v>
      </c>
      <c r="L11" s="417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18">
        <f>SUM(K5:K18)</f>
        <v>26383.54</v>
      </c>
      <c r="L19" s="419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12"/>
      <c r="I22" s="420" t="s">
        <v>6</v>
      </c>
      <c r="J22" s="411"/>
      <c r="K22" s="411"/>
      <c r="L22" s="412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12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12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21" t="str">
        <f>AÑO!A8</f>
        <v>Manolo Salario</v>
      </c>
      <c r="J25" s="424" t="s">
        <v>291</v>
      </c>
      <c r="K25" s="425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22"/>
      <c r="J26" s="426"/>
      <c r="K26" s="427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22"/>
      <c r="J27" s="426"/>
      <c r="K27" s="427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22"/>
      <c r="J28" s="426"/>
      <c r="K28" s="427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23"/>
      <c r="J29" s="428"/>
      <c r="K29" s="429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21" t="str">
        <f>AÑO!A9</f>
        <v>Rocío Salario</v>
      </c>
      <c r="J30" s="424" t="s">
        <v>238</v>
      </c>
      <c r="K30" s="425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22"/>
      <c r="J31" s="426" t="s">
        <v>256</v>
      </c>
      <c r="K31" s="427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22"/>
      <c r="J32" s="434" t="s">
        <v>267</v>
      </c>
      <c r="K32" s="427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21" t="s">
        <v>218</v>
      </c>
      <c r="J35" s="424" t="s">
        <v>306</v>
      </c>
      <c r="K35" s="425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21" t="str">
        <f>AÑO!A11</f>
        <v>Finanazas</v>
      </c>
      <c r="J40" s="424" t="s">
        <v>239</v>
      </c>
      <c r="K40" s="425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22"/>
      <c r="J41" s="426" t="s">
        <v>240</v>
      </c>
      <c r="K41" s="427"/>
      <c r="L41" s="229">
        <v>1.87</v>
      </c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12"/>
      <c r="I42" s="422"/>
      <c r="J42" s="426" t="s">
        <v>269</v>
      </c>
      <c r="K42" s="427"/>
      <c r="L42" s="229">
        <v>0.02</v>
      </c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12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12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21" t="str">
        <f>AÑO!A12</f>
        <v>Regalos</v>
      </c>
      <c r="J45" s="424" t="s">
        <v>299</v>
      </c>
      <c r="K45" s="425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22"/>
      <c r="J46" s="426"/>
      <c r="K46" s="427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23"/>
      <c r="J49" s="428"/>
      <c r="K49" s="429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21" t="str">
        <f>AÑO!A13</f>
        <v>Gubernamental</v>
      </c>
      <c r="J50" s="424" t="s">
        <v>259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23"/>
      <c r="J54" s="428"/>
      <c r="K54" s="429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21" t="str">
        <f>AÑO!A14</f>
        <v>Mutualite/DKV</v>
      </c>
      <c r="J55" s="424"/>
      <c r="K55" s="425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23"/>
      <c r="J59" s="428"/>
      <c r="K59" s="429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21" t="str">
        <f>AÑO!A15</f>
        <v>Alquiler Cartama</v>
      </c>
      <c r="J60" s="424"/>
      <c r="K60" s="42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12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12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12"/>
      <c r="I64" s="423"/>
      <c r="J64" s="428"/>
      <c r="K64" s="429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21" t="str">
        <f>AÑO!A16</f>
        <v>Otros</v>
      </c>
      <c r="J65" s="424" t="s">
        <v>296</v>
      </c>
      <c r="K65" s="425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22"/>
      <c r="J66" s="426"/>
      <c r="K66" s="427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22"/>
      <c r="J67" s="426"/>
      <c r="K67" s="427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22"/>
      <c r="J68" s="426"/>
      <c r="K68" s="427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37"/>
      <c r="J69" s="438"/>
      <c r="K69" s="439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12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12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12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12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12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12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12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12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  <c r="H202" s="112"/>
    </row>
    <row r="203" spans="2:12" ht="15" customHeight="1" thickBot="1">
      <c r="B203" s="413"/>
      <c r="C203" s="414"/>
      <c r="D203" s="414"/>
      <c r="E203" s="414"/>
      <c r="F203" s="414"/>
      <c r="G203" s="415"/>
      <c r="H203" s="112"/>
    </row>
    <row r="204" spans="2:12" ht="15.75">
      <c r="B204" s="402" t="s">
        <v>8</v>
      </c>
      <c r="C204" s="403"/>
      <c r="D204" s="410" t="s">
        <v>9</v>
      </c>
      <c r="E204" s="410"/>
      <c r="F204" s="410"/>
      <c r="G204" s="403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04" t="str">
        <f>AÑO!A31</f>
        <v>Deportes</v>
      </c>
      <c r="C222" s="411"/>
      <c r="D222" s="411"/>
      <c r="E222" s="411"/>
      <c r="F222" s="411"/>
      <c r="G222" s="412"/>
      <c r="H222" s="112"/>
    </row>
    <row r="223" spans="2:8" ht="15" customHeight="1" thickBot="1">
      <c r="B223" s="413"/>
      <c r="C223" s="414"/>
      <c r="D223" s="414"/>
      <c r="E223" s="414"/>
      <c r="F223" s="414"/>
      <c r="G223" s="415"/>
      <c r="H223" s="112"/>
    </row>
    <row r="224" spans="2:8" ht="15.75">
      <c r="B224" s="402" t="s">
        <v>8</v>
      </c>
      <c r="C224" s="403"/>
      <c r="D224" s="410" t="s">
        <v>9</v>
      </c>
      <c r="E224" s="410"/>
      <c r="F224" s="410"/>
      <c r="G224" s="403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04" t="str">
        <f>AÑO!A32</f>
        <v>Hogar</v>
      </c>
      <c r="C242" s="411"/>
      <c r="D242" s="411"/>
      <c r="E242" s="411"/>
      <c r="F242" s="411"/>
      <c r="G242" s="412"/>
      <c r="H242" s="112"/>
    </row>
    <row r="243" spans="2:8" ht="15" customHeight="1" thickBot="1">
      <c r="B243" s="413"/>
      <c r="C243" s="414"/>
      <c r="D243" s="414"/>
      <c r="E243" s="414"/>
      <c r="F243" s="414"/>
      <c r="G243" s="415"/>
      <c r="H243" s="112"/>
    </row>
    <row r="244" spans="2:8" ht="15" customHeight="1">
      <c r="B244" s="402" t="s">
        <v>8</v>
      </c>
      <c r="C244" s="403"/>
      <c r="D244" s="410" t="s">
        <v>9</v>
      </c>
      <c r="E244" s="410"/>
      <c r="F244" s="410"/>
      <c r="G244" s="403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04" t="str">
        <f>AÑO!A33</f>
        <v>Formación</v>
      </c>
      <c r="C262" s="411"/>
      <c r="D262" s="411"/>
      <c r="E262" s="411"/>
      <c r="F262" s="411"/>
      <c r="G262" s="412"/>
      <c r="H262" s="112"/>
    </row>
    <row r="263" spans="2:8" ht="15" customHeight="1" thickBot="1">
      <c r="B263" s="413"/>
      <c r="C263" s="414"/>
      <c r="D263" s="414"/>
      <c r="E263" s="414"/>
      <c r="F263" s="414"/>
      <c r="G263" s="415"/>
      <c r="H263" s="112"/>
    </row>
    <row r="264" spans="2:8" ht="15.75">
      <c r="B264" s="402" t="s">
        <v>8</v>
      </c>
      <c r="C264" s="403"/>
      <c r="D264" s="410" t="s">
        <v>9</v>
      </c>
      <c r="E264" s="410"/>
      <c r="F264" s="410"/>
      <c r="G264" s="403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  <c r="H282" s="112"/>
    </row>
    <row r="283" spans="2:8" ht="15" customHeight="1" thickBot="1">
      <c r="B283" s="413"/>
      <c r="C283" s="414"/>
      <c r="D283" s="414"/>
      <c r="E283" s="414"/>
      <c r="F283" s="414"/>
      <c r="G283" s="415"/>
      <c r="H283" s="112"/>
    </row>
    <row r="284" spans="2:8" ht="15.75">
      <c r="B284" s="402" t="s">
        <v>8</v>
      </c>
      <c r="C284" s="403"/>
      <c r="D284" s="410" t="s">
        <v>9</v>
      </c>
      <c r="E284" s="410"/>
      <c r="F284" s="410"/>
      <c r="G284" s="403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75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  <c r="H302" s="112"/>
    </row>
    <row r="303" spans="2:8" ht="15" customHeight="1" thickBot="1">
      <c r="B303" s="413"/>
      <c r="C303" s="414"/>
      <c r="D303" s="414"/>
      <c r="E303" s="414"/>
      <c r="F303" s="414"/>
      <c r="G303" s="415"/>
      <c r="H303" s="112"/>
    </row>
    <row r="304" spans="2:8" ht="15.75">
      <c r="B304" s="402" t="s">
        <v>8</v>
      </c>
      <c r="C304" s="403"/>
      <c r="D304" s="410" t="s">
        <v>9</v>
      </c>
      <c r="E304" s="410"/>
      <c r="F304" s="410"/>
      <c r="G304" s="403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04" t="str">
        <f>AÑO!A36</f>
        <v>Nenas</v>
      </c>
      <c r="C322" s="411"/>
      <c r="D322" s="411"/>
      <c r="E322" s="411"/>
      <c r="F322" s="411"/>
      <c r="G322" s="412"/>
      <c r="H322" s="112"/>
    </row>
    <row r="323" spans="2:8" ht="15" customHeight="1" thickBot="1">
      <c r="B323" s="413"/>
      <c r="C323" s="414"/>
      <c r="D323" s="414"/>
      <c r="E323" s="414"/>
      <c r="F323" s="414"/>
      <c r="G323" s="415"/>
      <c r="H323" s="112"/>
    </row>
    <row r="324" spans="2:8" ht="15.75">
      <c r="B324" s="402" t="s">
        <v>8</v>
      </c>
      <c r="C324" s="403"/>
      <c r="D324" s="410" t="s">
        <v>9</v>
      </c>
      <c r="E324" s="410"/>
      <c r="F324" s="410"/>
      <c r="G324" s="403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04" t="str">
        <f>AÑO!A37</f>
        <v>Impuestos</v>
      </c>
      <c r="C342" s="411"/>
      <c r="D342" s="411"/>
      <c r="E342" s="411"/>
      <c r="F342" s="411"/>
      <c r="G342" s="412"/>
      <c r="H342" s="112"/>
    </row>
    <row r="343" spans="2:8" ht="15" customHeight="1" thickBot="1">
      <c r="B343" s="413"/>
      <c r="C343" s="414"/>
      <c r="D343" s="414"/>
      <c r="E343" s="414"/>
      <c r="F343" s="414"/>
      <c r="G343" s="415"/>
      <c r="H343" s="112"/>
    </row>
    <row r="344" spans="2:8" ht="15.75">
      <c r="B344" s="402" t="s">
        <v>8</v>
      </c>
      <c r="C344" s="403"/>
      <c r="D344" s="410" t="s">
        <v>9</v>
      </c>
      <c r="E344" s="410"/>
      <c r="F344" s="410"/>
      <c r="G344" s="403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04" t="str">
        <f>AÑO!A38</f>
        <v>Gastos Curros</v>
      </c>
      <c r="C362" s="411"/>
      <c r="D362" s="411"/>
      <c r="E362" s="411"/>
      <c r="F362" s="411"/>
      <c r="G362" s="412"/>
      <c r="H362" s="112"/>
    </row>
    <row r="363" spans="2:8" ht="15" customHeight="1" thickBot="1">
      <c r="B363" s="413"/>
      <c r="C363" s="414"/>
      <c r="D363" s="414"/>
      <c r="E363" s="414"/>
      <c r="F363" s="414"/>
      <c r="G363" s="415"/>
      <c r="H363" s="112"/>
    </row>
    <row r="364" spans="2:8" ht="15.75">
      <c r="B364" s="402" t="s">
        <v>8</v>
      </c>
      <c r="C364" s="403"/>
      <c r="D364" s="410" t="s">
        <v>9</v>
      </c>
      <c r="E364" s="410"/>
      <c r="F364" s="410"/>
      <c r="G364" s="403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04" t="str">
        <f>AÑO!A39</f>
        <v>Dreamed Holidays</v>
      </c>
      <c r="C382" s="411"/>
      <c r="D382" s="411"/>
      <c r="E382" s="411"/>
      <c r="F382" s="411"/>
      <c r="G382" s="412"/>
      <c r="H382" s="112"/>
    </row>
    <row r="383" spans="2:8" ht="15" customHeight="1" thickBot="1">
      <c r="B383" s="413"/>
      <c r="C383" s="414"/>
      <c r="D383" s="414"/>
      <c r="E383" s="414"/>
      <c r="F383" s="414"/>
      <c r="G383" s="415"/>
      <c r="H383" s="112"/>
    </row>
    <row r="384" spans="2:8" ht="15.75">
      <c r="B384" s="402" t="s">
        <v>8</v>
      </c>
      <c r="C384" s="403"/>
      <c r="D384" s="410" t="s">
        <v>9</v>
      </c>
      <c r="E384" s="410"/>
      <c r="F384" s="410"/>
      <c r="G384" s="403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04" t="str">
        <f>AÑO!A40</f>
        <v>Financieros</v>
      </c>
      <c r="C402" s="411"/>
      <c r="D402" s="411"/>
      <c r="E402" s="411"/>
      <c r="F402" s="411"/>
      <c r="G402" s="412"/>
      <c r="H402" s="112"/>
    </row>
    <row r="403" spans="2:8" ht="15" customHeight="1" thickBot="1">
      <c r="B403" s="413"/>
      <c r="C403" s="414"/>
      <c r="D403" s="414"/>
      <c r="E403" s="414"/>
      <c r="F403" s="414"/>
      <c r="G403" s="415"/>
      <c r="H403" s="112"/>
    </row>
    <row r="404" spans="2:8" ht="15.75">
      <c r="B404" s="402" t="s">
        <v>8</v>
      </c>
      <c r="C404" s="403"/>
      <c r="D404" s="410" t="s">
        <v>9</v>
      </c>
      <c r="E404" s="410"/>
      <c r="F404" s="410"/>
      <c r="G404" s="403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75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04" t="str">
        <f>AÑO!A41</f>
        <v>Ahorros Colchón</v>
      </c>
      <c r="C422" s="405"/>
      <c r="D422" s="405"/>
      <c r="E422" s="405"/>
      <c r="F422" s="405"/>
      <c r="G422" s="406"/>
      <c r="H422" s="112"/>
    </row>
    <row r="423" spans="1:8" ht="15" customHeight="1" thickBot="1">
      <c r="B423" s="407"/>
      <c r="C423" s="408"/>
      <c r="D423" s="408"/>
      <c r="E423" s="408"/>
      <c r="F423" s="408"/>
      <c r="G423" s="409"/>
      <c r="H423" s="112"/>
    </row>
    <row r="424" spans="1:8" ht="15.75">
      <c r="B424" s="402" t="s">
        <v>8</v>
      </c>
      <c r="C424" s="403"/>
      <c r="D424" s="410" t="s">
        <v>9</v>
      </c>
      <c r="E424" s="410"/>
      <c r="F424" s="410"/>
      <c r="G424" s="403"/>
      <c r="H424" s="112"/>
    </row>
    <row r="425" spans="1:8" ht="15.75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04" t="str">
        <f>AÑO!A42</f>
        <v>Dinero Bloqueado</v>
      </c>
      <c r="C442" s="405"/>
      <c r="D442" s="405"/>
      <c r="E442" s="405"/>
      <c r="F442" s="405"/>
      <c r="G442" s="406"/>
      <c r="H442" s="112"/>
    </row>
    <row r="443" spans="2:8" ht="15" customHeight="1" thickBot="1">
      <c r="B443" s="407"/>
      <c r="C443" s="408"/>
      <c r="D443" s="408"/>
      <c r="E443" s="408"/>
      <c r="F443" s="408"/>
      <c r="G443" s="409"/>
      <c r="H443" s="112"/>
    </row>
    <row r="444" spans="2:8" ht="15.75">
      <c r="B444" s="402" t="s">
        <v>8</v>
      </c>
      <c r="C444" s="403"/>
      <c r="D444" s="410" t="s">
        <v>9</v>
      </c>
      <c r="E444" s="410"/>
      <c r="F444" s="410"/>
      <c r="G444" s="403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04" t="str">
        <f>AÑO!A43</f>
        <v>Cartama Finanazas</v>
      </c>
      <c r="C462" s="405"/>
      <c r="D462" s="405"/>
      <c r="E462" s="405"/>
      <c r="F462" s="405"/>
      <c r="G462" s="406"/>
      <c r="H462" s="112"/>
    </row>
    <row r="463" spans="2:8" ht="15" customHeight="1" thickBot="1">
      <c r="B463" s="407"/>
      <c r="C463" s="408"/>
      <c r="D463" s="408"/>
      <c r="E463" s="408"/>
      <c r="F463" s="408"/>
      <c r="G463" s="409"/>
      <c r="H463" s="112"/>
    </row>
    <row r="464" spans="2:8" ht="15.75">
      <c r="B464" s="402" t="s">
        <v>8</v>
      </c>
      <c r="C464" s="403"/>
      <c r="D464" s="410" t="s">
        <v>9</v>
      </c>
      <c r="E464" s="410"/>
      <c r="F464" s="410"/>
      <c r="G464" s="403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04" t="str">
        <f>AÑO!A44</f>
        <v>NULO</v>
      </c>
      <c r="C482" s="405"/>
      <c r="D482" s="405"/>
      <c r="E482" s="405"/>
      <c r="F482" s="405"/>
      <c r="G482" s="406"/>
      <c r="H482" s="112"/>
    </row>
    <row r="483" spans="2:8" ht="15" customHeight="1" thickBot="1">
      <c r="B483" s="407"/>
      <c r="C483" s="408"/>
      <c r="D483" s="408"/>
      <c r="E483" s="408"/>
      <c r="F483" s="408"/>
      <c r="G483" s="409"/>
      <c r="H483" s="112"/>
    </row>
    <row r="484" spans="2:8" ht="15.75">
      <c r="B484" s="402" t="s">
        <v>8</v>
      </c>
      <c r="C484" s="403"/>
      <c r="D484" s="410" t="s">
        <v>9</v>
      </c>
      <c r="E484" s="410"/>
      <c r="F484" s="410"/>
      <c r="G484" s="403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04" t="str">
        <f>AÑO!A45</f>
        <v>OTROS</v>
      </c>
      <c r="C502" s="405"/>
      <c r="D502" s="405"/>
      <c r="E502" s="405"/>
      <c r="F502" s="405"/>
      <c r="G502" s="406"/>
      <c r="H502" s="112"/>
    </row>
    <row r="503" spans="2:8" ht="15" customHeight="1" thickBot="1">
      <c r="B503" s="407"/>
      <c r="C503" s="408"/>
      <c r="D503" s="408"/>
      <c r="E503" s="408"/>
      <c r="F503" s="408"/>
      <c r="G503" s="409"/>
      <c r="H503" s="112"/>
    </row>
    <row r="504" spans="2:8" ht="15.75">
      <c r="B504" s="402" t="s">
        <v>8</v>
      </c>
      <c r="C504" s="403"/>
      <c r="D504" s="410" t="s">
        <v>9</v>
      </c>
      <c r="E504" s="410"/>
      <c r="F504" s="410"/>
      <c r="G504" s="403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5" zoomScaleNormal="100" workbookViewId="0">
      <selection activeCell="J25" sqref="J25:K2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>
        <f>2397.48-4.45</f>
        <v>2393.0300000000002</v>
      </c>
      <c r="L5" s="433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16">
        <v>620.08000000000004</v>
      </c>
      <c r="L6" s="417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6">
        <f>7340.23-4.45</f>
        <v>7335.78</v>
      </c>
      <c r="L7" s="417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16">
        <v>7001.87</v>
      </c>
      <c r="L8" s="417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6">
        <v>669.52</v>
      </c>
      <c r="L9" s="417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6">
        <v>1802.02</v>
      </c>
      <c r="L10" s="417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6">
        <f>160+155</f>
        <v>315</v>
      </c>
      <c r="L11" s="417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25229.379999999997</v>
      </c>
      <c r="L19" s="419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 t="s">
        <v>402</v>
      </c>
      <c r="K25" s="425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314</v>
      </c>
      <c r="K30" s="425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319</v>
      </c>
      <c r="K31" s="427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328</v>
      </c>
      <c r="K32" s="427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 t="s">
        <v>314</v>
      </c>
      <c r="K33" s="427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 t="s">
        <v>359</v>
      </c>
      <c r="K35" s="425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 t="s">
        <v>160</v>
      </c>
      <c r="K45" s="425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21" t="str">
        <f>AÑO!A13</f>
        <v>Gubernamental</v>
      </c>
      <c r="J50" s="424" t="s">
        <v>259</v>
      </c>
      <c r="K50" s="425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21" t="str">
        <f>AÑO!A15</f>
        <v>Alquiler Cartama</v>
      </c>
      <c r="J60" s="424" t="s">
        <v>315</v>
      </c>
      <c r="K60" s="425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22"/>
      <c r="J66" s="426"/>
      <c r="K66" s="427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22"/>
      <c r="J67" s="426"/>
      <c r="K67" s="427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22"/>
      <c r="J68" s="426"/>
      <c r="K68" s="427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37"/>
      <c r="J69" s="438"/>
      <c r="K69" s="439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8" ht="15" customHeight="1" thickBot="1">
      <c r="B423" s="407"/>
      <c r="C423" s="408"/>
      <c r="D423" s="408"/>
      <c r="E423" s="408"/>
      <c r="F423" s="408"/>
      <c r="G423" s="409"/>
    </row>
    <row r="424" spans="1:8">
      <c r="B424" s="402" t="s">
        <v>8</v>
      </c>
      <c r="C424" s="403"/>
      <c r="D424" s="410" t="s">
        <v>9</v>
      </c>
      <c r="E424" s="410"/>
      <c r="F424" s="410"/>
      <c r="G424" s="403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75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92" workbookViewId="0">
      <selection activeCell="C407" sqref="C40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>
        <v>1559.34</v>
      </c>
      <c r="L5" s="433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16">
        <v>620.08000000000004</v>
      </c>
      <c r="L6" s="417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16">
        <v>8577.0300000000007</v>
      </c>
      <c r="L7" s="417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3501.87</v>
      </c>
      <c r="L8" s="417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16">
        <v>4167.34</v>
      </c>
      <c r="L9" s="417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1802.02</v>
      </c>
      <c r="L10" s="417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6">
        <v>255</v>
      </c>
      <c r="L11" s="417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25574.760000000002</v>
      </c>
      <c r="L19" s="419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 t="s">
        <v>402</v>
      </c>
      <c r="K25" s="425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363</v>
      </c>
      <c r="K30" s="425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238</v>
      </c>
      <c r="K31" s="427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328</v>
      </c>
      <c r="K32" s="427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 t="s">
        <v>380</v>
      </c>
      <c r="K45" s="425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364</v>
      </c>
      <c r="H46" s="1"/>
      <c r="I46" s="422"/>
      <c r="J46" s="426" t="s">
        <v>160</v>
      </c>
      <c r="K46" s="427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365</v>
      </c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372</v>
      </c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376</v>
      </c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375</v>
      </c>
      <c r="H50" s="1"/>
      <c r="I50" s="421" t="str">
        <f>AÑO!A13</f>
        <v>Gubernamental</v>
      </c>
      <c r="J50" s="424" t="s">
        <v>259</v>
      </c>
      <c r="K50" s="425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382</v>
      </c>
      <c r="H51" s="1"/>
      <c r="I51" s="422"/>
      <c r="J51" s="426" t="s">
        <v>418</v>
      </c>
      <c r="K51" s="427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387</v>
      </c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388</v>
      </c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408</v>
      </c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422</v>
      </c>
      <c r="H55" s="1"/>
      <c r="I55" s="421" t="str">
        <f>AÑO!A14</f>
        <v>Mutualite/DKV</v>
      </c>
      <c r="J55" s="440" t="str">
        <f>G306</f>
        <v>12/03 Chirec</v>
      </c>
      <c r="K55" s="425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 t="s">
        <v>367</v>
      </c>
      <c r="K60" s="425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366</v>
      </c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374</v>
      </c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378</v>
      </c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389</v>
      </c>
      <c r="H69" s="1"/>
      <c r="I69" s="437"/>
      <c r="J69" s="438"/>
      <c r="K69" s="439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391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421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423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368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393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394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395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373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387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385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409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8" ht="15" customHeight="1" thickBot="1">
      <c r="B243" s="413"/>
      <c r="C243" s="414"/>
      <c r="D243" s="414"/>
      <c r="E243" s="414"/>
      <c r="F243" s="414"/>
      <c r="G243" s="415"/>
    </row>
    <row r="244" spans="1:8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379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383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400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410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406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404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405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7" ht="15" customHeight="1" thickBot="1">
      <c r="B263" s="413"/>
      <c r="C263" s="414"/>
      <c r="D263" s="414"/>
      <c r="E263" s="414"/>
      <c r="F263" s="414"/>
      <c r="G263" s="415"/>
    </row>
    <row r="264" spans="1:7">
      <c r="B264" s="402" t="s">
        <v>8</v>
      </c>
      <c r="C264" s="403"/>
      <c r="D264" s="410" t="s">
        <v>9</v>
      </c>
      <c r="E264" s="410"/>
      <c r="F264" s="410"/>
      <c r="G264" s="403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369</v>
      </c>
    </row>
    <row r="267" spans="1:7">
      <c r="B267" s="134">
        <v>4021.94</v>
      </c>
      <c r="C267" s="16" t="s">
        <v>418</v>
      </c>
      <c r="D267" s="137"/>
      <c r="E267" s="138"/>
      <c r="F267" s="138">
        <v>15</v>
      </c>
      <c r="G267" s="16" t="s">
        <v>424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381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396</v>
      </c>
    </row>
    <row r="308" spans="2:7">
      <c r="B308" s="134">
        <f>L55</f>
        <v>9.44</v>
      </c>
      <c r="C308" s="27" t="s">
        <v>407</v>
      </c>
      <c r="D308" s="137">
        <v>8.27</v>
      </c>
      <c r="E308" s="138"/>
      <c r="F308" s="138"/>
      <c r="G308" s="16" t="s">
        <v>397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417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419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392</v>
      </c>
    </row>
    <row r="327" spans="2:7">
      <c r="B327" s="134">
        <v>100</v>
      </c>
      <c r="C327" s="16" t="s">
        <v>380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370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371</v>
      </c>
    </row>
    <row r="348" spans="2:7">
      <c r="B348" s="134"/>
      <c r="C348" s="16"/>
      <c r="D348" s="137">
        <v>16</v>
      </c>
      <c r="E348" s="138"/>
      <c r="F348" s="138"/>
      <c r="G348" s="16" t="s">
        <v>384</v>
      </c>
    </row>
    <row r="349" spans="2:7">
      <c r="B349" s="134"/>
      <c r="C349" s="16"/>
      <c r="D349" s="137">
        <v>10</v>
      </c>
      <c r="E349" s="138"/>
      <c r="F349" s="138"/>
      <c r="G349" s="16" t="s">
        <v>385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398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413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413</v>
      </c>
      <c r="D407" s="137">
        <v>44.93</v>
      </c>
      <c r="E407" s="138"/>
      <c r="F407" s="138"/>
      <c r="G407" s="16" t="s">
        <v>412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416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414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420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36" workbookViewId="0">
      <selection activeCell="B42" sqref="B42:G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>
        <v>861.84</v>
      </c>
      <c r="L5" s="433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6">
        <v>620.08000000000004</v>
      </c>
      <c r="L6" s="417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6">
        <v>10075.709999999999</v>
      </c>
      <c r="L7" s="417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16">
        <v>3501.87</v>
      </c>
      <c r="L8" s="417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6">
        <v>35.96</v>
      </c>
      <c r="L9" s="417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6">
        <v>1802.02</v>
      </c>
      <c r="L10" s="417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6">
        <v>370</v>
      </c>
      <c r="L11" s="417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f>5092.08+4084.2</f>
        <v>9176.2799999999988</v>
      </c>
      <c r="L12" s="417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26443.759999999998</v>
      </c>
      <c r="L19" s="442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 t="s">
        <v>402</v>
      </c>
      <c r="K25" s="425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363</v>
      </c>
      <c r="K30" s="425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431</v>
      </c>
      <c r="K31" s="427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328</v>
      </c>
      <c r="K32" s="427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 t="s">
        <v>425</v>
      </c>
      <c r="K40" s="425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 t="s">
        <v>445</v>
      </c>
      <c r="K41" s="427"/>
      <c r="L41" s="229">
        <v>352.82</v>
      </c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 t="s">
        <v>60</v>
      </c>
      <c r="K42" s="427"/>
      <c r="L42" s="229">
        <v>0.02</v>
      </c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446</v>
      </c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452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>
        <v>40</v>
      </c>
      <c r="C48" s="16" t="s">
        <v>430</v>
      </c>
      <c r="D48" s="137">
        <v>5.35</v>
      </c>
      <c r="E48" s="138"/>
      <c r="F48" s="138"/>
      <c r="G48" s="16" t="s">
        <v>457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 t="s">
        <v>462</v>
      </c>
      <c r="D49" s="137"/>
      <c r="E49" s="138"/>
      <c r="F49" s="138"/>
      <c r="G49" s="16"/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>
        <v>-146</v>
      </c>
      <c r="C50" s="16" t="s">
        <v>465</v>
      </c>
      <c r="D50" s="137"/>
      <c r="E50" s="138"/>
      <c r="F50" s="138"/>
      <c r="G50" s="16"/>
      <c r="H50" s="1"/>
      <c r="I50" s="421" t="str">
        <f>AÑO!A13</f>
        <v>Gubernamental</v>
      </c>
      <c r="J50" s="424" t="s">
        <v>434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40" t="str">
        <f>'03'!G307</f>
        <v>22/03 Chirec</v>
      </c>
      <c r="K55" s="425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43" t="str">
        <f>'03'!G309</f>
        <v>26/03 Ginecologa</v>
      </c>
      <c r="K56" s="427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 t="s">
        <v>449</v>
      </c>
      <c r="K57" s="427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453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>
        <v>-50</v>
      </c>
      <c r="C67" s="16" t="s">
        <v>465</v>
      </c>
      <c r="D67" s="137">
        <v>41</v>
      </c>
      <c r="E67" s="138"/>
      <c r="F67" s="138"/>
      <c r="G67" s="31" t="s">
        <v>459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443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460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466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455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456</v>
      </c>
      <c r="D109" s="137">
        <v>11</v>
      </c>
      <c r="E109" s="138"/>
      <c r="F109" s="138">
        <v>3</v>
      </c>
      <c r="G109" s="31" t="s">
        <v>461</v>
      </c>
      <c r="H109" s="1"/>
      <c r="M109" s="1"/>
      <c r="R109" s="3"/>
    </row>
    <row r="110" spans="1:18" ht="15.75">
      <c r="B110" s="134">
        <v>1370</v>
      </c>
      <c r="C110" s="18" t="s">
        <v>444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445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427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440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441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464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429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436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403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432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404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405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7" ht="15" customHeight="1" thickBot="1">
      <c r="B263" s="413"/>
      <c r="C263" s="414"/>
      <c r="D263" s="414"/>
      <c r="E263" s="414"/>
      <c r="F263" s="414"/>
      <c r="G263" s="415"/>
    </row>
    <row r="264" spans="1:7">
      <c r="B264" s="402" t="s">
        <v>8</v>
      </c>
      <c r="C264" s="403"/>
      <c r="D264" s="402" t="s">
        <v>9</v>
      </c>
      <c r="E264" s="410"/>
      <c r="F264" s="410"/>
      <c r="G264" s="403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428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02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433</v>
      </c>
    </row>
    <row r="287" spans="2:8">
      <c r="B287" s="134"/>
      <c r="C287" s="16"/>
      <c r="D287" s="137">
        <v>9.65</v>
      </c>
      <c r="E287" s="138"/>
      <c r="F287" s="138"/>
      <c r="G287" s="16" t="s">
        <v>439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448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463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442</v>
      </c>
    </row>
    <row r="308" spans="2:7">
      <c r="B308" s="134">
        <f>L55+L56+L57</f>
        <v>37.980000000000004</v>
      </c>
      <c r="C308" s="27" t="s">
        <v>467</v>
      </c>
      <c r="D308" s="137"/>
      <c r="E308" s="138"/>
      <c r="F308" s="138">
        <v>50</v>
      </c>
      <c r="G308" s="16" t="s">
        <v>449</v>
      </c>
    </row>
    <row r="309" spans="2:7">
      <c r="B309" s="134"/>
      <c r="C309" s="16"/>
      <c r="D309" s="137">
        <v>63.9</v>
      </c>
      <c r="E309" s="138"/>
      <c r="F309" s="138"/>
      <c r="G309" s="16" t="s">
        <v>469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02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02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444</v>
      </c>
      <c r="D387" s="137"/>
      <c r="E387" s="138"/>
      <c r="F387" s="138"/>
      <c r="G387" s="16"/>
    </row>
    <row r="388" spans="2:7">
      <c r="B388" s="134">
        <v>106.26</v>
      </c>
      <c r="C388" s="27" t="s">
        <v>445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426</v>
      </c>
    </row>
    <row r="407" spans="2:7">
      <c r="B407" s="134">
        <v>3.75</v>
      </c>
      <c r="C407" s="16" t="s">
        <v>425</v>
      </c>
      <c r="D407" s="137"/>
      <c r="E407" s="138">
        <f>10+10</f>
        <v>20</v>
      </c>
      <c r="F407" s="138"/>
      <c r="G407" s="16" t="s">
        <v>450</v>
      </c>
    </row>
    <row r="408" spans="2:7">
      <c r="B408" s="134">
        <v>984.2</v>
      </c>
      <c r="C408" s="18" t="s">
        <v>444</v>
      </c>
      <c r="D408" s="137"/>
      <c r="E408" s="138"/>
      <c r="F408" s="138"/>
      <c r="G408" s="16"/>
    </row>
    <row r="409" spans="2:7">
      <c r="B409" s="134">
        <v>85.02</v>
      </c>
      <c r="C409" s="27" t="s">
        <v>445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468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444</v>
      </c>
      <c r="D469" s="137"/>
      <c r="E469" s="138"/>
      <c r="F469" s="138"/>
      <c r="G469" s="16"/>
    </row>
    <row r="470" spans="1:7">
      <c r="B470" s="134">
        <v>43.19</v>
      </c>
      <c r="C470" s="27" t="s">
        <v>445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abSelected="1" topLeftCell="A2" workbookViewId="0">
      <selection activeCell="G18" sqref="G1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>
        <v>1773.93</v>
      </c>
      <c r="L5" s="433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6">
        <v>620.1</v>
      </c>
      <c r="L6" s="417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6">
        <v>7144.52</v>
      </c>
      <c r="L7" s="417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10005.620000000001</v>
      </c>
      <c r="L8" s="417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6">
        <v>514.82000000000005</v>
      </c>
      <c r="L9" s="417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6">
        <v>1802.02</v>
      </c>
      <c r="L10" s="417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6">
        <f>210</f>
        <v>210</v>
      </c>
      <c r="L11" s="417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27163.090000000004</v>
      </c>
      <c r="L19" s="442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 t="s">
        <v>402</v>
      </c>
      <c r="K25" s="425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431</v>
      </c>
      <c r="K30" s="425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363</v>
      </c>
      <c r="K31" s="427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328</v>
      </c>
      <c r="K32" s="427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 t="s">
        <v>473</v>
      </c>
      <c r="K40" s="425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472</v>
      </c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475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 t="s">
        <v>458</v>
      </c>
      <c r="D48" s="137">
        <v>27.34</v>
      </c>
      <c r="E48" s="138"/>
      <c r="F48" s="138"/>
      <c r="G48" s="16" t="s">
        <v>482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483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491</v>
      </c>
      <c r="H50" s="1"/>
      <c r="I50" s="421" t="str">
        <f>AÑO!A13</f>
        <v>Gubernamental</v>
      </c>
      <c r="J50" s="424" t="s">
        <v>484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492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496</v>
      </c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499</v>
      </c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608</v>
      </c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609</v>
      </c>
      <c r="H55" s="1"/>
      <c r="I55" s="421" t="str">
        <f>AÑO!A14</f>
        <v>Mutualite/DKV</v>
      </c>
      <c r="J55" s="424" t="s">
        <v>478</v>
      </c>
      <c r="K55" s="425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471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480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481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489</v>
      </c>
      <c r="H69" s="1"/>
      <c r="I69" s="437"/>
      <c r="J69" s="438"/>
      <c r="K69" s="439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490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497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610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476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493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502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611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475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495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569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494</v>
      </c>
    </row>
    <row r="207" spans="2:12">
      <c r="B207" s="134">
        <v>15</v>
      </c>
      <c r="C207" s="16" t="s">
        <v>569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403</v>
      </c>
      <c r="D246" s="137">
        <v>15</v>
      </c>
      <c r="E246" s="138"/>
      <c r="F246" s="138"/>
      <c r="G246" s="16" t="s">
        <v>492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500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8" ht="15.75">
      <c r="A257" s="112">
        <f>'04'!A257+(B257-SUM(D257:F257))</f>
        <v>539.47</v>
      </c>
      <c r="B257" s="134">
        <f>40+499</f>
        <v>539</v>
      </c>
      <c r="C257" s="16" t="s">
        <v>432</v>
      </c>
      <c r="D257" s="137"/>
      <c r="E257" s="138">
        <f>100.67+167.99</f>
        <v>268.66000000000003</v>
      </c>
      <c r="F257" s="138"/>
      <c r="G257" s="16" t="s">
        <v>616</v>
      </c>
    </row>
    <row r="258" spans="1:8" ht="15.75">
      <c r="A258" s="112">
        <f>'04'!A258+(B258-SUM(D258:F258))</f>
        <v>95</v>
      </c>
      <c r="B258" s="134">
        <v>70</v>
      </c>
      <c r="C258" s="16" t="s">
        <v>404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SUM(A246:A255)</f>
        <v>76.150000000000006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268.66000000000003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479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02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487</v>
      </c>
    </row>
    <row r="287" spans="2:8">
      <c r="B287" s="134">
        <v>35</v>
      </c>
      <c r="C287" s="16" t="s">
        <v>617</v>
      </c>
      <c r="D287" s="137">
        <v>54.8</v>
      </c>
      <c r="E287" s="138"/>
      <c r="F287" s="138"/>
      <c r="G287" s="16" t="s">
        <v>619</v>
      </c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137.85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470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478</v>
      </c>
    </row>
    <row r="308" spans="2:7">
      <c r="B308" s="134">
        <v>17.45</v>
      </c>
      <c r="C308" s="27" t="s">
        <v>488</v>
      </c>
      <c r="D308" s="137">
        <f>51.89+44.67</f>
        <v>96.56</v>
      </c>
      <c r="E308" s="138"/>
      <c r="F308" s="138"/>
      <c r="G308" s="16" t="s">
        <v>607</v>
      </c>
    </row>
    <row r="309" spans="2:7">
      <c r="B309" s="134">
        <v>170</v>
      </c>
      <c r="C309" s="16" t="s">
        <v>569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02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02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612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413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474</v>
      </c>
    </row>
    <row r="407" spans="2:7">
      <c r="B407" s="134">
        <v>45.86</v>
      </c>
      <c r="C407" s="16" t="s">
        <v>473</v>
      </c>
      <c r="D407" s="137"/>
      <c r="E407" s="138"/>
      <c r="F407" s="138"/>
      <c r="G407" s="16"/>
    </row>
    <row r="408" spans="2:7">
      <c r="B408" s="134">
        <v>-1094.26</v>
      </c>
      <c r="C408" s="16" t="s">
        <v>413</v>
      </c>
      <c r="D408" s="137">
        <v>44.48</v>
      </c>
      <c r="E408" s="138"/>
      <c r="F408" s="138"/>
      <c r="G408" s="16" t="s">
        <v>501</v>
      </c>
    </row>
    <row r="409" spans="2:7">
      <c r="B409" s="134">
        <f>29.29+20</f>
        <v>49.29</v>
      </c>
      <c r="C409" s="16" t="s">
        <v>569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8" ht="15" customHeight="1" thickBot="1">
      <c r="B423" s="407"/>
      <c r="C423" s="408"/>
      <c r="D423" s="408"/>
      <c r="E423" s="408"/>
      <c r="F423" s="408"/>
      <c r="G423" s="409"/>
    </row>
    <row r="424" spans="1:8">
      <c r="B424" s="402" t="s">
        <v>8</v>
      </c>
      <c r="C424" s="403"/>
      <c r="D424" s="402" t="s">
        <v>9</v>
      </c>
      <c r="E424" s="410"/>
      <c r="F424" s="410"/>
      <c r="G424" s="403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414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276" workbookViewId="0">
      <selection activeCell="H290" sqref="H29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>
        <f>M5+2156.93</f>
        <v>1614.1099999999997</v>
      </c>
      <c r="L5" s="433"/>
      <c r="M5" s="1">
        <f>-542.82</f>
        <v>-542.82000000000005</v>
      </c>
      <c r="N5" s="1" t="s">
        <v>615</v>
      </c>
      <c r="R5" s="3"/>
    </row>
    <row r="6" spans="1:22" ht="15.75">
      <c r="A6" s="112">
        <f>'05'!A6+(B6-SUM(D6:F6))</f>
        <v>409.08</v>
      </c>
      <c r="B6" s="133">
        <v>403.08</v>
      </c>
      <c r="C6" s="19" t="s">
        <v>377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620.1</v>
      </c>
      <c r="L6" s="417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6">
        <f>9234.42-58.2</f>
        <v>9176.2199999999993</v>
      </c>
      <c r="L7" s="417"/>
      <c r="M7" s="1"/>
      <c r="N7" s="1"/>
      <c r="R7" s="3"/>
    </row>
    <row r="8" spans="1:22" ht="15.75">
      <c r="A8" s="112">
        <f>'05'!A8+(B8-SUM(D8:F8))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6305.62</v>
      </c>
      <c r="L8" s="417"/>
      <c r="M8" s="1"/>
      <c r="N8" s="1"/>
      <c r="R8" s="3"/>
    </row>
    <row r="9" spans="1:22" ht="15.75">
      <c r="A9" s="112">
        <f>'05'!A9+(B9-SUM(D9:F9))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6">
        <v>169.67</v>
      </c>
      <c r="L9" s="417"/>
      <c r="M9" s="1"/>
      <c r="N9" s="1"/>
      <c r="R9" s="3"/>
    </row>
    <row r="10" spans="1:22" ht="15.75">
      <c r="A10" s="112">
        <f>'05'!A10+(B10-SUM(D10:F10))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1802.02</v>
      </c>
      <c r="L10" s="417"/>
      <c r="M10" s="1" t="s">
        <v>156</v>
      </c>
      <c r="N10" s="1"/>
      <c r="R10" s="3"/>
    </row>
    <row r="11" spans="1:22" ht="15.75">
      <c r="A11" s="112">
        <f>'05'!A11+(B11-SUM(D11:F11))</f>
        <v>30.210000000000004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6">
        <v>190</v>
      </c>
      <c r="L11" s="417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f>5092.08+4044.26</f>
        <v>9136.34</v>
      </c>
      <c r="L12" s="417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29014.079999999998</v>
      </c>
      <c r="L19" s="442"/>
      <c r="M19" s="1"/>
      <c r="N19" s="1"/>
      <c r="R19" s="3"/>
    </row>
    <row r="20" spans="1:18" ht="16.5" thickBot="1">
      <c r="A20" s="112">
        <f>SUM(A6:A15)</f>
        <v>778.68000000000006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231"/>
      <c r="M25" s="1"/>
      <c r="R25" s="3"/>
    </row>
    <row r="26" spans="1:18" ht="15.75">
      <c r="A26" s="112">
        <f>'05'!A26+(B26-SUM(D26:F26))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'05'!A27+(B27-SUM(D27:F27))</f>
        <v>216.01999999999998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'05'!A29+(B29-SUM(D29:F29))</f>
        <v>19.430000000000003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/>
      <c r="K30" s="425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1440.03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"/>
      <c r="B46" s="133">
        <f>239.2+54</f>
        <v>293.2</v>
      </c>
      <c r="C46" s="19"/>
      <c r="D46" s="137"/>
      <c r="E46" s="138"/>
      <c r="F46" s="138"/>
      <c r="G46" s="30"/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/>
      <c r="E47" s="138"/>
      <c r="F47" s="138"/>
      <c r="G47" s="16"/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 t="s">
        <v>486</v>
      </c>
      <c r="D48" s="137"/>
      <c r="E48" s="138"/>
      <c r="F48" s="138"/>
      <c r="G48" s="16"/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/>
      <c r="K50" s="425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'05'!A66+(B66-SUM(D66:F78))</f>
        <v>169.33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249.33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70.840000000000032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762.41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35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27.5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8.02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62.5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121.15</v>
      </c>
      <c r="B246" s="134">
        <v>45</v>
      </c>
      <c r="C246" s="27" t="s">
        <v>403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'05'!A256+(B256-SUM(D256:F265))</f>
        <v>25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7" ht="15.75">
      <c r="A257" s="112">
        <f>'05'!A257+(B257-SUM(D257:F266))</f>
        <v>564.47</v>
      </c>
      <c r="B257" s="134">
        <v>25</v>
      </c>
      <c r="C257" s="16" t="s">
        <v>432</v>
      </c>
      <c r="D257" s="137"/>
      <c r="E257" s="138"/>
      <c r="F257" s="138"/>
      <c r="G257" s="16"/>
    </row>
    <row r="258" spans="1:7" ht="15.75">
      <c r="A258" s="112">
        <f>'05'!A258+(B258-SUM(D258:F267))+'05'!A259</f>
        <v>140</v>
      </c>
      <c r="B258" s="134">
        <v>25</v>
      </c>
      <c r="C258" s="16" t="s">
        <v>404</v>
      </c>
      <c r="D258" s="137"/>
      <c r="E258" s="138"/>
      <c r="F258" s="138"/>
      <c r="G258" s="16"/>
    </row>
    <row r="259" spans="1:7" ht="16.5" thickBot="1">
      <c r="A259" s="112"/>
      <c r="B259" s="135"/>
      <c r="C259" s="17"/>
      <c r="D259" s="135"/>
      <c r="E259" s="139"/>
      <c r="F259" s="139"/>
      <c r="G259" s="17"/>
    </row>
    <row r="260" spans="1:7" ht="16.5" thickBot="1">
      <c r="A260" s="112">
        <f>SUM(A246:A255)</f>
        <v>121.15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7" ht="15" customHeight="1" thickBot="1">
      <c r="B263" s="413"/>
      <c r="C263" s="414"/>
      <c r="D263" s="414"/>
      <c r="E263" s="414"/>
      <c r="F263" s="414"/>
      <c r="G263" s="415"/>
    </row>
    <row r="264" spans="1:7">
      <c r="B264" s="402" t="s">
        <v>8</v>
      </c>
      <c r="C264" s="403"/>
      <c r="D264" s="402" t="s">
        <v>9</v>
      </c>
      <c r="E264" s="410"/>
      <c r="F264" s="410"/>
      <c r="G264" s="403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/>
      <c r="E266" s="138"/>
      <c r="F266" s="138"/>
      <c r="G266" s="16"/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9" ht="15" customHeight="1" thickBot="1">
      <c r="B283" s="413"/>
      <c r="C283" s="414"/>
      <c r="D283" s="414"/>
      <c r="E283" s="414"/>
      <c r="F283" s="414"/>
      <c r="G283" s="415"/>
    </row>
    <row r="284" spans="2:9">
      <c r="B284" s="402" t="s">
        <v>8</v>
      </c>
      <c r="C284" s="403"/>
      <c r="D284" s="402" t="s">
        <v>9</v>
      </c>
      <c r="E284" s="410"/>
      <c r="F284" s="410"/>
      <c r="G284" s="403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/>
      <c r="F286" s="138"/>
      <c r="G286" s="16"/>
      <c r="H286" s="89">
        <v>272.11</v>
      </c>
    </row>
    <row r="287" spans="2:9">
      <c r="B287" s="134"/>
      <c r="C287" s="16"/>
      <c r="D287" s="137"/>
      <c r="E287" s="138"/>
      <c r="F287" s="138"/>
      <c r="G287" s="16"/>
      <c r="H287" s="92">
        <v>30.7</v>
      </c>
    </row>
    <row r="288" spans="2:9">
      <c r="B288" s="134"/>
      <c r="C288" s="16"/>
      <c r="D288" s="137"/>
      <c r="E288" s="138"/>
      <c r="F288" s="138"/>
      <c r="G288" s="16"/>
      <c r="H288" s="113">
        <f>H286-H287</f>
        <v>241.41000000000003</v>
      </c>
      <c r="I288" s="89" t="s">
        <v>620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02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02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AÑO!W17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'05'!A468+(B468-SUM(D468:F468))</f>
        <v>208.4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633.63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C712BEFF-058D-483E-A328-9530E395AF8E}"/>
    <hyperlink ref="I2:L3" location="AÑO!W4:Z5" display="SALDO REAL" xr:uid="{83A7CBDF-7BAE-4ACF-BB60-362D3DFA6DB5}"/>
    <hyperlink ref="B2" location="Trimestre!C25:F26" display="HIPOTECA" xr:uid="{7BEE5A7A-2695-4DA7-A231-832C5178BEC1}"/>
    <hyperlink ref="B2:G3" location="AÑO!W20:Z20" display="AÑO!W20:Z20" xr:uid="{01FC6BD1-5956-4F00-B223-0C8E893D3C28}"/>
    <hyperlink ref="I22" location="Trimestre!C39:F40" display="TELÉFONO" xr:uid="{654C5CF2-30EC-4AD5-A1EB-74496773D9CB}"/>
    <hyperlink ref="I22:L23" location="AÑO!W7:Z17" display="INGRESOS" xr:uid="{821ADD62-E467-4C75-82DA-8270E43CC849}"/>
    <hyperlink ref="B22" location="Trimestre!C25:F26" display="HIPOTECA" xr:uid="{7113D5FD-7161-4761-A2C1-D0757C5E1BF4}"/>
    <hyperlink ref="B22:G23" location="AÑO!W21:Z21" display="AÑO!W21:Z21" xr:uid="{C970DD7C-6B6B-4623-86F9-67FE2986FC1B}"/>
    <hyperlink ref="B42" location="Trimestre!C25:F26" display="HIPOTECA" xr:uid="{CCD608B7-652A-424C-8450-8D21A6CAB32E}"/>
    <hyperlink ref="B42:G43" location="AÑO!W22:Z22" display="AÑO!W22:Z22" xr:uid="{5DAC9651-92CB-4B35-A7E7-5B937AAA1CDC}"/>
    <hyperlink ref="B62" location="Trimestre!C25:F26" display="HIPOTECA" xr:uid="{85376C4C-D3D9-4A89-9A53-FC980DA1B72D}"/>
    <hyperlink ref="B62:G63" location="AÑO!W23:Z23" display="AÑO!W23:Z23" xr:uid="{0E402A44-7D95-47CA-ACFC-F020562EEE9C}"/>
    <hyperlink ref="B82" location="Trimestre!C25:F26" display="HIPOTECA" xr:uid="{3FE09476-1DDE-4CAF-B2EC-21CCD3C2C328}"/>
    <hyperlink ref="B82:G83" location="AÑO!W24:Z24" display="AÑO!W24:Z24" xr:uid="{DB737FED-966E-415D-8C26-E437B7981E2F}"/>
    <hyperlink ref="B102" location="Trimestre!C25:F26" display="HIPOTECA" xr:uid="{00DC005D-247A-4D21-9061-866AE19681E9}"/>
    <hyperlink ref="B102:G103" location="AÑO!W25:Z25" display="AÑO!W25:Z25" xr:uid="{45082976-83C9-4CBF-B824-AB20B5E878BF}"/>
    <hyperlink ref="B122" location="Trimestre!C25:F26" display="HIPOTECA" xr:uid="{809A540D-9B15-442F-ABF4-E13063969D3E}"/>
    <hyperlink ref="B122:G123" location="AÑO!W26:Z26" display="AÑO!W26:Z26" xr:uid="{2D9C2949-2780-4310-BB08-8CD4C828FDB2}"/>
    <hyperlink ref="B142" location="Trimestre!C25:F26" display="HIPOTECA" xr:uid="{FC0831B9-AC1B-4953-B67A-43ACF9F36AFE}"/>
    <hyperlink ref="B142:G143" location="AÑO!W27:Z27" display="AÑO!W27:Z27" xr:uid="{1759BAC5-1B77-4325-86FE-75AFAAE070A1}"/>
    <hyperlink ref="B162" location="Trimestre!C25:F26" display="HIPOTECA" xr:uid="{E6D41C3D-713F-454C-8558-542C07EDE443}"/>
    <hyperlink ref="B162:G163" location="AÑO!W28:Z28" display="AÑO!W28:Z28" xr:uid="{B0A872C0-2891-4136-B00C-C496A1900AD5}"/>
    <hyperlink ref="B182" location="Trimestre!C25:F26" display="HIPOTECA" xr:uid="{B4B69845-9743-4992-8FAB-5756A8695DA3}"/>
    <hyperlink ref="B182:G183" location="AÑO!W29:Z29" display="AÑO!W29:Z29" xr:uid="{6E7DD210-E74D-4F40-8724-5EEE41D7DE5F}"/>
    <hyperlink ref="B202" location="Trimestre!C25:F26" display="HIPOTECA" xr:uid="{57DD9A53-8885-4936-B3AC-90A89FBE503C}"/>
    <hyperlink ref="B202:G203" location="AÑO!W30:Z30" display="AÑO!W30:Z30" xr:uid="{AD6A6C05-B994-4464-BADE-0A1EC792F45A}"/>
    <hyperlink ref="B222" location="Trimestre!C25:F26" display="HIPOTECA" xr:uid="{569ABEBF-CADC-4219-9F59-8E5F8A0DC5C1}"/>
    <hyperlink ref="B222:G223" location="AÑO!W31:Z31" display="AÑO!W31:Z31" xr:uid="{C2123514-2FBE-4B7E-9A27-FA2677AF659C}"/>
    <hyperlink ref="B242" location="Trimestre!C25:F26" display="HIPOTECA" xr:uid="{F960F257-9A31-4EA0-9C35-17BE03BF784F}"/>
    <hyperlink ref="B242:G243" location="AÑO!W32:Z32" display="AÑO!W32:Z32" xr:uid="{E8282D48-23D8-4ADF-93AD-D69651254A9C}"/>
    <hyperlink ref="B262" location="Trimestre!C25:F26" display="HIPOTECA" xr:uid="{ECF73BA6-20B2-4C63-A6D6-54240B32F4B1}"/>
    <hyperlink ref="B262:G263" location="AÑO!W33:Z33" display="AÑO!W33:Z33" xr:uid="{4A4EA5B9-9B9E-4434-B2AF-5F1F2954FD9C}"/>
    <hyperlink ref="B282" location="Trimestre!C25:F26" display="HIPOTECA" xr:uid="{72B1D4EE-306A-47AE-9D2E-35AC0C5F007C}"/>
    <hyperlink ref="B282:G283" location="AÑO!W34:Z34" display="AÑO!W34:Z34" xr:uid="{955679F8-C326-49B1-AEFD-ED6ACE44D8D1}"/>
    <hyperlink ref="B302" location="Trimestre!C25:F26" display="HIPOTECA" xr:uid="{0D3CB661-04D3-49A7-B08D-F1391433FB04}"/>
    <hyperlink ref="B302:G303" location="AÑO!W35:Z35" display="AÑO!W35:Z35" xr:uid="{3F49CD76-506D-4763-982B-B02227D65106}"/>
    <hyperlink ref="B322" location="Trimestre!C25:F26" display="HIPOTECA" xr:uid="{9D10FB17-6F1D-4F88-A3ED-5DD57BD8D0DE}"/>
    <hyperlink ref="B322:G323" location="AÑO!W36:Z36" display="AÑO!W36:Z36" xr:uid="{8644B60D-DD50-426B-858A-C94DD04F76DF}"/>
    <hyperlink ref="B342" location="Trimestre!C25:F26" display="HIPOTECA" xr:uid="{9218D1A0-BC4E-487A-9A38-2C4C7663C8B1}"/>
    <hyperlink ref="B342:G343" location="AÑO!W37:Z37" display="AÑO!W37:Z37" xr:uid="{A4D22A1A-AD19-442F-9D94-9B9D0F2048B0}"/>
    <hyperlink ref="B362" location="Trimestre!C25:F26" display="HIPOTECA" xr:uid="{9ED8BB8F-F32C-402A-B4F6-908DA76EA86D}"/>
    <hyperlink ref="B362:G363" location="AÑO!W38:Z38" display="AÑO!W38:Z38" xr:uid="{A5CD3ECA-0FCC-4E28-9E36-A188F7710686}"/>
    <hyperlink ref="B382" location="Trimestre!C25:F26" display="HIPOTECA" xr:uid="{B8668375-2FE4-477B-BE37-C33AFA8579A9}"/>
    <hyperlink ref="B382:G383" location="AÑO!W39:Z39" display="AÑO!W39:Z39" xr:uid="{317EDCAE-F153-444A-8C5B-BF5F1346012D}"/>
    <hyperlink ref="B402" location="Trimestre!C25:F26" display="HIPOTECA" xr:uid="{848E53AC-4FA4-485F-9786-CFBDC41CDCA6}"/>
    <hyperlink ref="B402:G403" location="AÑO!W40:Z40" display="AÑO!W40:Z40" xr:uid="{0407D3B1-89E8-4DA8-B417-A0D8D9DB6101}"/>
    <hyperlink ref="B422" location="Trimestre!C25:F26" display="HIPOTECA" xr:uid="{B323137B-9FEC-4589-9805-31276D7D178B}"/>
    <hyperlink ref="B422:G423" location="AÑO!W41:Z41" display="AÑO!W41:Z41" xr:uid="{17EAB0DC-C684-4FF4-B35A-DC054656CE62}"/>
    <hyperlink ref="B442" location="Trimestre!C25:F26" display="HIPOTECA" xr:uid="{17D2B360-577D-4D90-A0F2-19C70E498CDA}"/>
    <hyperlink ref="B442:G443" location="AÑO!W42:Z42" display="AÑO!W42:Z42" xr:uid="{7626C6B4-0DC5-4717-BAAC-22EC8A1567E6}"/>
    <hyperlink ref="B462" location="Trimestre!C25:F26" display="HIPOTECA" xr:uid="{0C07E8E6-F16E-41EF-8CEF-D3B172C71492}"/>
    <hyperlink ref="B462:G463" location="AÑO!W43:Z43" display="AÑO!W43:Z43" xr:uid="{49B14C1F-E19B-4E66-A339-BB6B1D7EB6B9}"/>
    <hyperlink ref="B482" location="Trimestre!C25:F26" display="HIPOTECA" xr:uid="{B1749E88-0C12-4EF3-98FF-E9B4169AB33A}"/>
    <hyperlink ref="B482:G483" location="AÑO!W44:Z44" display="AÑO!W44:Z44" xr:uid="{ACAF3C81-C442-4A76-969D-49B6EB1C885F}"/>
    <hyperlink ref="B502" location="Trimestre!C25:F26" display="HIPOTECA" xr:uid="{050C5B32-2449-4B2F-9583-532EE23527D7}"/>
    <hyperlink ref="B502:G503" location="AÑO!W45:Z45" display="AÑO!W45:Z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D14" sqref="D14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>
        <f>M5+2156.93</f>
        <v>2156.9299999999998</v>
      </c>
      <c r="L5" s="433"/>
      <c r="M5" s="1"/>
      <c r="N5" s="1"/>
      <c r="R5" s="3"/>
    </row>
    <row r="6" spans="1:22" ht="15.75">
      <c r="A6" s="112">
        <f>'06'!A6+(B6-SUM(D6:F6))</f>
        <v>812.16</v>
      </c>
      <c r="B6" s="133">
        <v>403.08</v>
      </c>
      <c r="C6" s="19" t="s">
        <v>377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620.1</v>
      </c>
      <c r="L6" s="417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6">
        <v>9234.42</v>
      </c>
      <c r="L7" s="417"/>
      <c r="M7" s="1"/>
      <c r="N7" s="1"/>
      <c r="R7" s="3"/>
    </row>
    <row r="8" spans="1:22" ht="15.75">
      <c r="A8" s="112">
        <f>'06'!A8+(B8-SUM(D8:F8))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6305.62</v>
      </c>
      <c r="L8" s="417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6">
        <v>169.67</v>
      </c>
      <c r="L9" s="417"/>
      <c r="M9" s="1"/>
      <c r="N9" s="1"/>
      <c r="R9" s="3"/>
    </row>
    <row r="10" spans="1:22" ht="15.75">
      <c r="A10" s="112">
        <f>'06'!A10+(B10-SUM(D10:F10))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1802.02</v>
      </c>
      <c r="L10" s="417"/>
      <c r="M10" s="1" t="s">
        <v>156</v>
      </c>
      <c r="N10" s="1"/>
      <c r="R10" s="3"/>
    </row>
    <row r="11" spans="1:22" ht="15.75">
      <c r="A11" s="112">
        <f>'06'!A11+(B11-SUM(D11:F11))</f>
        <v>60.45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6">
        <v>190</v>
      </c>
      <c r="L11" s="417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f>5092.08+4044.26</f>
        <v>9136.34</v>
      </c>
      <c r="L12" s="417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29615.1</v>
      </c>
      <c r="L19" s="442"/>
      <c r="M19" s="1"/>
      <c r="N19" s="1"/>
      <c r="R19" s="3"/>
    </row>
    <row r="20" spans="1:18" ht="16.5" thickBot="1">
      <c r="A20" s="112">
        <f>SUM(A6:A15)</f>
        <v>1322.6799999999998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18676.739999999998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231"/>
      <c r="M25" s="1"/>
      <c r="R25" s="3"/>
    </row>
    <row r="26" spans="1:18" ht="15.75">
      <c r="A26" s="112">
        <f>'06'!A26+(B26-SUM(D26:F26))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'06'!A27+(B27-SUM(D27:F27))</f>
        <v>406.02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'06'!A29+(B29-SUM(D29:F29))</f>
        <v>37.430000000000007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/>
      <c r="K30" s="425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2588.0299999999997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"/>
      <c r="B46" s="133">
        <f>239.2+54</f>
        <v>293.2</v>
      </c>
      <c r="C46" s="19"/>
      <c r="D46" s="137"/>
      <c r="E46" s="138"/>
      <c r="F46" s="138"/>
      <c r="G46" s="30"/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/>
      <c r="E47" s="138"/>
      <c r="F47" s="138"/>
      <c r="G47" s="16"/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 t="s">
        <v>486</v>
      </c>
      <c r="D48" s="137"/>
      <c r="E48" s="138"/>
      <c r="F48" s="138"/>
      <c r="G48" s="16"/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/>
      <c r="K50" s="425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"/>
      <c r="B66" s="133">
        <v>160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139.84000000000003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1139.8800000000001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45</v>
      </c>
      <c r="C246" s="27" t="s">
        <v>403</v>
      </c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>
        <v>5</v>
      </c>
      <c r="C256" s="16" t="s">
        <v>410</v>
      </c>
      <c r="D256" s="137"/>
      <c r="E256" s="138"/>
      <c r="F256" s="138"/>
      <c r="G256" s="16"/>
    </row>
    <row r="257" spans="2:7">
      <c r="B257" s="134">
        <v>25</v>
      </c>
      <c r="C257" s="16" t="s">
        <v>432</v>
      </c>
      <c r="D257" s="137"/>
      <c r="E257" s="138"/>
      <c r="F257" s="138"/>
      <c r="G257" s="16"/>
    </row>
    <row r="258" spans="2:7">
      <c r="B258" s="134">
        <v>25</v>
      </c>
      <c r="C258" s="16" t="s">
        <v>404</v>
      </c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02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02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02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02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'06'!A468+(B468-SUM(D468:F468))</f>
        <v>223.4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698.63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3DA59B46-24BF-496A-AC74-B5E756B39091}"/>
    <hyperlink ref="I2:L3" location="AÑO!W4:Z5" display="SALDO REAL" xr:uid="{1C99B46B-F75F-4CF4-941B-29448D0E9056}"/>
    <hyperlink ref="B2" location="Trimestre!C25:F26" display="HIPOTECA" xr:uid="{BADD0471-AF30-43D2-8EA5-E60BDEFE5F1C}"/>
    <hyperlink ref="B2:G3" location="AÑO!W20:Z20" display="AÑO!W20:Z20" xr:uid="{3057681A-CA1F-4D58-B8BA-DF741A2B1274}"/>
    <hyperlink ref="I22" location="Trimestre!C39:F40" display="TELÉFONO" xr:uid="{A7B1CA3C-6C16-4F87-906B-0189AFCA49D8}"/>
    <hyperlink ref="I22:L23" location="AÑO!W7:Z17" display="INGRESOS" xr:uid="{1D123B88-52F4-44CF-9F33-561082ACB86F}"/>
    <hyperlink ref="B22" location="Trimestre!C25:F26" display="HIPOTECA" xr:uid="{60522F7C-6887-45F8-B318-F8E5DD0DE5C1}"/>
    <hyperlink ref="B22:G23" location="AÑO!W21:Z21" display="AÑO!W21:Z21" xr:uid="{37CA243E-C24C-477C-AB53-3017018A162B}"/>
    <hyperlink ref="B42" location="Trimestre!C25:F26" display="HIPOTECA" xr:uid="{5207316D-A640-4860-A764-A83EC84CE6C8}"/>
    <hyperlink ref="B42:G43" location="AÑO!W22:Z22" display="AÑO!W22:Z22" xr:uid="{A0B15341-8BAF-49C0-A99F-D9D1B00EB752}"/>
    <hyperlink ref="B62" location="Trimestre!C25:F26" display="HIPOTECA" xr:uid="{93C5F979-580C-4ACE-A43F-93DC6F840BBD}"/>
    <hyperlink ref="B62:G63" location="AÑO!W23:Z23" display="AÑO!W23:Z23" xr:uid="{C4D3D43D-0E9C-40C1-99EA-17B461D12C96}"/>
    <hyperlink ref="B82" location="Trimestre!C25:F26" display="HIPOTECA" xr:uid="{5EBBD915-FEA2-4F40-B570-67F94158A468}"/>
    <hyperlink ref="B82:G83" location="AÑO!W24:Z24" display="AÑO!W24:Z24" xr:uid="{E0280DCF-ACC5-4AAA-9FD2-E154DCFD5ED6}"/>
    <hyperlink ref="B102" location="Trimestre!C25:F26" display="HIPOTECA" xr:uid="{67EFD860-C7E4-4B5F-B058-49A06628EEE9}"/>
    <hyperlink ref="B102:G103" location="AÑO!W25:Z25" display="AÑO!W25:Z25" xr:uid="{DB5F3B32-5E15-4155-B101-4B41E27F187D}"/>
    <hyperlink ref="B122" location="Trimestre!C25:F26" display="HIPOTECA" xr:uid="{3A863BCF-AA88-4C48-8168-A730026F5ABC}"/>
    <hyperlink ref="B122:G123" location="AÑO!W26:Z26" display="AÑO!W26:Z26" xr:uid="{E3D75CAD-36D9-4DC1-8EFB-A66ABD43FA40}"/>
    <hyperlink ref="B142" location="Trimestre!C25:F26" display="HIPOTECA" xr:uid="{728BB7A8-7122-42AF-9D15-017A2A18DA1A}"/>
    <hyperlink ref="B142:G143" location="AÑO!W27:Z27" display="AÑO!W27:Z27" xr:uid="{87A46773-A4E9-4200-A186-D56D18766AE0}"/>
    <hyperlink ref="B162" location="Trimestre!C25:F26" display="HIPOTECA" xr:uid="{7236FE79-7C96-407F-AE0D-405820599073}"/>
    <hyperlink ref="B162:G163" location="AÑO!W28:Z28" display="AÑO!W28:Z28" xr:uid="{2A68619A-E506-4939-B12B-60CBA6D5EF5B}"/>
    <hyperlink ref="B182" location="Trimestre!C25:F26" display="HIPOTECA" xr:uid="{C3AB852E-09A8-4786-8A6F-3F5423A7EC0F}"/>
    <hyperlink ref="B182:G183" location="AÑO!W29:Z29" display="AÑO!W29:Z29" xr:uid="{983EB5E9-7A1E-4BC4-B9B6-814A4588E9D2}"/>
    <hyperlink ref="B202" location="Trimestre!C25:F26" display="HIPOTECA" xr:uid="{BA11D855-272F-4155-9732-9DFBE21F5A19}"/>
    <hyperlink ref="B202:G203" location="AÑO!W30:Z30" display="AÑO!W30:Z30" xr:uid="{36659D0A-DDC9-45DF-90F6-A23087EAADDA}"/>
    <hyperlink ref="B222" location="Trimestre!C25:F26" display="HIPOTECA" xr:uid="{4435F2D0-29DD-4876-B6DB-7726A05A61E5}"/>
    <hyperlink ref="B222:G223" location="AÑO!W31:Z31" display="AÑO!W31:Z31" xr:uid="{168838DA-3A14-4CA5-8334-C30E4186DAA0}"/>
    <hyperlink ref="B242" location="Trimestre!C25:F26" display="HIPOTECA" xr:uid="{48C5BA37-70E0-45FD-980B-8CBCB481A8DE}"/>
    <hyperlink ref="B242:G243" location="AÑO!W32:Z32" display="AÑO!W32:Z32" xr:uid="{480C21D5-25CA-4F60-8658-6DA1F31AB336}"/>
    <hyperlink ref="B262" location="Trimestre!C25:F26" display="HIPOTECA" xr:uid="{48CA8D2B-855A-4F97-BAF5-C5B980177D86}"/>
    <hyperlink ref="B262:G263" location="AÑO!W33:Z33" display="AÑO!W33:Z33" xr:uid="{51E6FA47-DA4F-428D-8014-45897CE887DF}"/>
    <hyperlink ref="B282" location="Trimestre!C25:F26" display="HIPOTECA" xr:uid="{15F93B2B-A360-46C4-8AD6-308F0720753C}"/>
    <hyperlink ref="B282:G283" location="AÑO!W34:Z34" display="AÑO!W34:Z34" xr:uid="{7ED83263-2DFA-4FB8-88DD-9A9CC3CE9F93}"/>
    <hyperlink ref="B302" location="Trimestre!C25:F26" display="HIPOTECA" xr:uid="{2B3D0546-F3D5-4D50-9880-5FB3303AC49B}"/>
    <hyperlink ref="B302:G303" location="AÑO!W35:Z35" display="AÑO!W35:Z35" xr:uid="{645393BE-F25F-4DAA-8FCE-047D94F8DE95}"/>
    <hyperlink ref="B322" location="Trimestre!C25:F26" display="HIPOTECA" xr:uid="{A20CF20A-EF5F-4478-A3C0-0F23A1D425D8}"/>
    <hyperlink ref="B322:G323" location="AÑO!W36:Z36" display="AÑO!W36:Z36" xr:uid="{B5FF51E0-47DB-4944-8452-F3A9FDE18885}"/>
    <hyperlink ref="B342" location="Trimestre!C25:F26" display="HIPOTECA" xr:uid="{DA55FCE4-0075-47D6-BA98-312E9D71627A}"/>
    <hyperlink ref="B342:G343" location="AÑO!W37:Z37" display="AÑO!W37:Z37" xr:uid="{2B5BD012-1C4A-429B-919C-25F7BFBDBF03}"/>
    <hyperlink ref="B362" location="Trimestre!C25:F26" display="HIPOTECA" xr:uid="{B5975797-4862-4EEC-B82F-C21340E0D4C4}"/>
    <hyperlink ref="B362:G363" location="AÑO!W38:Z38" display="AÑO!W38:Z38" xr:uid="{0318A19A-B287-49D4-B84D-B819EB2D7CF8}"/>
    <hyperlink ref="B382" location="Trimestre!C25:F26" display="HIPOTECA" xr:uid="{F60E0A2F-6F8A-48E1-A244-A2C239F81ED9}"/>
    <hyperlink ref="B382:G383" location="AÑO!W39:Z39" display="AÑO!W39:Z39" xr:uid="{492C8721-49A4-44E6-AAA7-0E564AB05D12}"/>
    <hyperlink ref="B402" location="Trimestre!C25:F26" display="HIPOTECA" xr:uid="{B2C0E064-E038-4E74-B3D8-57DB56BC6F9A}"/>
    <hyperlink ref="B402:G403" location="AÑO!W40:Z40" display="AÑO!W40:Z40" xr:uid="{E994A42D-4CF2-4FBD-8B13-78F7DDD55F8D}"/>
    <hyperlink ref="B422" location="Trimestre!C25:F26" display="HIPOTECA" xr:uid="{FAE95387-1129-4A1C-AB30-A4DF74F8F183}"/>
    <hyperlink ref="B422:G423" location="AÑO!W41:Z41" display="AÑO!W41:Z41" xr:uid="{EEC2015C-4C9E-4C9B-B48F-382D46D48953}"/>
    <hyperlink ref="B442" location="Trimestre!C25:F26" display="HIPOTECA" xr:uid="{CE8E9C64-4271-4D09-B31D-2E23B34D3138}"/>
    <hyperlink ref="B442:G443" location="AÑO!W42:Z42" display="AÑO!W42:Z42" xr:uid="{443A7A85-77F2-402B-A45A-DEAAE876F03C}"/>
    <hyperlink ref="B462" location="Trimestre!C25:F26" display="HIPOTECA" xr:uid="{5AC07D4E-A774-4C30-BB1D-B17C2D30771F}"/>
    <hyperlink ref="B462:G463" location="AÑO!W43:Z43" display="AÑO!W43:Z43" xr:uid="{691DBB4E-F1CD-4903-956F-41C8EEA41A9D}"/>
    <hyperlink ref="B482" location="Trimestre!C25:F26" display="HIPOTECA" xr:uid="{36D9B82B-F0AE-4D72-8CCE-1CB8953394C6}"/>
    <hyperlink ref="B482:G483" location="AÑO!W44:Z44" display="AÑO!W44:Z44" xr:uid="{187E3BD1-DB97-415F-94D8-3479A10FD1E7}"/>
    <hyperlink ref="B502" location="Trimestre!C25:F26" display="HIPOTECA" xr:uid="{A2723532-735C-49F5-973C-6AB14FD8225A}"/>
    <hyperlink ref="B502:G503" location="AÑO!W45:Z45" display="AÑO!W45:Z45" xr:uid="{FFEEB5D1-08B6-4814-BEB8-3AB405E98EC4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/>
      <c r="L5" s="433"/>
      <c r="M5" s="1"/>
      <c r="N5" s="1"/>
      <c r="R5" s="3"/>
    </row>
    <row r="6" spans="1:22" ht="15.75">
      <c r="A6" s="112">
        <f>'07'!A6+(B6-SUM(D6:F6))</f>
        <v>1211.75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550</v>
      </c>
      <c r="L6" s="417"/>
      <c r="M6" s="1" t="s">
        <v>165</v>
      </c>
      <c r="N6" s="1"/>
      <c r="R6" s="3"/>
    </row>
    <row r="7" spans="1:22" ht="15.75">
      <c r="A7" s="112">
        <f>'07'!A7+(B7-SUM(D7:F7))</f>
        <v>240.20999999999998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6"/>
      <c r="L7" s="417"/>
      <c r="M7" s="1"/>
      <c r="N7" s="1"/>
      <c r="R7" s="3"/>
    </row>
    <row r="8" spans="1:22" ht="15.75">
      <c r="A8" s="112">
        <f>'07'!A8+(B8-SUM(D8:F8))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7000</v>
      </c>
      <c r="L8" s="417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6">
        <v>659.77</v>
      </c>
      <c r="L9" s="417"/>
      <c r="M9" s="1"/>
      <c r="N9" s="1"/>
      <c r="R9" s="3"/>
    </row>
    <row r="10" spans="1:22" ht="15.75">
      <c r="A10" s="112">
        <f>'07'!A10+(B10-SUM(D10:F10))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1800.04</v>
      </c>
      <c r="L10" s="417"/>
      <c r="M10" s="1" t="s">
        <v>156</v>
      </c>
      <c r="N10" s="1"/>
      <c r="R10" s="3"/>
    </row>
    <row r="11" spans="1:22" ht="15.75">
      <c r="A11" s="112">
        <f>'07'!A11+(B11-SUM(D11:F11))</f>
        <v>90.68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6"/>
      <c r="L11" s="417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'07'!A13+(B13-SUM(D13:F13))</f>
        <v>38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15101.890000000001</v>
      </c>
      <c r="L19" s="419"/>
      <c r="M19" s="1"/>
      <c r="N19" s="1"/>
      <c r="R19" s="3"/>
    </row>
    <row r="20" spans="1:18" ht="16.5" thickBot="1">
      <c r="A20" s="112">
        <f>SUM(A6:A15)</f>
        <v>1866.68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198"/>
      <c r="M25" s="1"/>
      <c r="R25" s="3"/>
    </row>
    <row r="26" spans="1:18" ht="15.75">
      <c r="A26" s="112">
        <f>'07'!A26+(B26-SUM(D26:F26))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'07'!A27+(B27-SUM(D27:F27))</f>
        <v>576.02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'07'!A28+(B28-SUM(D28:F28))</f>
        <v>198.3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'07'!A29+(B29-SUM(D29:F29))</f>
        <v>55.430000000000007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/>
      <c r="K30" s="42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3716.0299999999997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/>
      <c r="K50" s="42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210.84000000000003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2630.650000000001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1519.35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'07'!A467+(B467-SUM(D467:F467))</f>
        <v>495.22999999999996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'07'!A468+(B468-SUM(D468:F468))</f>
        <v>228.4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748.63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2019-05-31T15:33:15Z</dcterms:modified>
</cp:coreProperties>
</file>