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1C554CA-1D7D-4C9F-A7DB-94DF238A0B4F}" xr6:coauthVersionLast="41" xr6:coauthVersionMax="41" xr10:uidLastSave="{00000000-0000-0000-0000-000000000000}"/>
  <bookViews>
    <workbookView xWindow="-108" yWindow="12852" windowWidth="22320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9" i="2" l="1"/>
  <c r="A140" i="2"/>
  <c r="A140" i="3"/>
  <c r="A130" i="3"/>
  <c r="A129" i="3"/>
  <c r="A127" i="3"/>
  <c r="A126" i="3"/>
  <c r="F140" i="3"/>
  <c r="E140" i="3"/>
  <c r="D140" i="3"/>
  <c r="B140" i="3"/>
  <c r="A120" i="2"/>
  <c r="A12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B467" i="3" l="1"/>
  <c r="A428" i="3"/>
  <c r="F366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326" i="3" l="1"/>
  <c r="D367" i="3" l="1"/>
  <c r="B468" i="3" l="1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N41" i="1" l="1"/>
  <c r="H427" i="3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<sst xmlns="http://schemas.openxmlformats.org/spreadsheetml/2006/main" count="5788" uniqueCount="891">
  <si>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</si>
  <si>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</si>
  <si>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</si>
  <si>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</si>
  <si>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</si>
  <si>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</si>
  <si>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</si>
  <si>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</si>
  <si>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</si>
  <si>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</si>
  <si>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</si>
  <si>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</si>
  <si>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</si>
  <si>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</si>
  <si>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</si>
  <si>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</si>
  <si>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</si>
  <si>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</si>
  <si>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</si>
  <si>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</si>
  <si>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</si>
  <si>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</si>
  <si>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</si>
  <si>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</si>
  <si>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</si>
  <si>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</si>
  <si>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</si>
  <si>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</si>
  <si>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</si>
  <si>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</si>
  <si>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</si>
  <si>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</si>
  <si>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</si>
  <si>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</si>
  <si>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</si>
  <si>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</si>
  <si>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</si>
  <si>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</si>
  <si>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</si>
  <si>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</si>
  <si>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</si>
  <si>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</si>
  <si>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</si>
  <si>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</si>
  <si>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</si>
  <si>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</si>
  <si>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</si>
  <si>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</si>
  <si>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</si>
  <si>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</si>
  <si>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</si>
  <si>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</si>
  <si>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</si>
  <si>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</si>
  <si>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</si>
  <si>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</si>
  <si>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</si>
  <si>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</si>
  <si>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</si>
  <si>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</si>
  <si>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</si>
  <si>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</si>
  <si>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</si>
  <si>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</si>
  <si>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</si>
  <si>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</si>
  <si>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</si>
  <si>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</si>
  <si>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</si>
  <si>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</si>
  <si>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</si>
  <si>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</si>
  <si>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</si>
  <si>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</si>
  <si>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</si>
  <si>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</si>
  <si>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</si>
  <si>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</si>
  <si>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</si>
  <si>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</si>
  <si>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</si>
  <si>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</si>
  <si>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</si>
  <si>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</si>
  <si>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</si>
  <si>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</si>
  <si>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</si>
  <si>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</si>
  <si>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</si>
  <si>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</si>
  <si>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</si>
  <si>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</si>
  <si>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</si>
  <si>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</si>
  <si>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</si>
  <si>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</si>
  <si>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</si>
  <si>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</si>
  <si>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</si>
  <si>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</si>
  <si>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</si>
  <si>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</si>
  <si>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</si>
  <si>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</si>
  <si>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</si>
  <si>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</si>
  <si>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</si>
  <si>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</si>
  <si>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</si>
  <si>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</si>
  <si>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</si>
  <si>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</si>
  <si>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</si>
  <si>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</si>
  <si>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</si>
  <si>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</si>
  <si>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</si>
  <si>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</si>
  <si>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</si>
  <si>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</si>
  <si>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</si>
  <si>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</si>
  <si>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</si>
  <si>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</si>
  <si>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</si>
  <si>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</si>
  <si>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</si>
  <si>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</si>
  <si>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</si>
  <si>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</si>
  <si>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</si>
  <si>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</si>
  <si>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</si>
  <si>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</si>
  <si>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</si>
  <si>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</si>
  <si>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</si>
  <si>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</si>
  <si>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</si>
  <si>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</si>
  <si>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</si>
  <si>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</si>
  <si>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</si>
  <si>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</si>
  <si>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</si>
  <si>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</si>
  <si>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</si>
  <si>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</si>
  <si>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</si>
  <si>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</si>
  <si>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</si>
  <si>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</si>
  <si>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</si>
  <si>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</si>
  <si>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</si>
  <si>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</si>
  <si>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</si>
  <si>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</si>
  <si>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</si>
  <si>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</si>
  <si>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</si>
  <si>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</si>
  <si>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</si>
  <si>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</si>
  <si>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</si>
  <si>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</si>
  <si>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</si>
  <si>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</si>
  <si>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</si>
  <si>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</si>
  <si>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</si>
  <si>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</si>
  <si>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</si>
  <si>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</si>
  <si>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</si>
  <si>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</si>
  <si>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</si>
  <si>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</si>
  <si>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</si>
  <si>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</si>
  <si>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</si>
  <si>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</si>
  <si>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</si>
  <si>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</si>
  <si>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</si>
  <si>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</si>
  <si>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</si>
  <si>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</si>
  <si>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</si>
  <si>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</si>
  <si>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</si>
  <si>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</si>
  <si>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</si>
  <si>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</si>
  <si>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</si>
  <si>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</si>
  <si>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</si>
  <si>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</si>
  <si>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</si>
  <si>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</si>
  <si>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</si>
  <si>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</si>
  <si>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</si>
  <si>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</si>
  <si>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</si>
  <si>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</si>
  <si>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</si>
  <si>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</si>
  <si>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</si>
  <si>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</si>
  <si>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</si>
  <si>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</si>
  <si>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</si>
  <si>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</si>
  <si>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</si>
  <si>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</si>
  <si>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</si>
  <si>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</si>
  <si>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</si>
  <si>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</si>
  <si>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</si>
  <si>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</si>
  <si>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</si>
  <si>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</si>
  <si>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</si>
  <si>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</si>
  <si>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</si>
  <si>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</si>
  <si>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</si>
  <si>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</si>
  <si>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</si>
  <si>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Amotizacion de capital</t>
  </si>
  <si>
    <t>Fecha Ultima Cuota:</t>
  </si>
  <si>
    <t>alquiler+endesa</t>
  </si>
  <si>
    <t>Documentacion Master, consulado.</t>
  </si>
  <si>
    <t>06/02 Circulacion</t>
  </si>
  <si>
    <t>Kids &amp; us</t>
  </si>
  <si>
    <t>05/02 bpost Master</t>
  </si>
  <si>
    <t>Impuesto Basura (Hasta 79€)</t>
  </si>
  <si>
    <t>09/02 Action</t>
  </si>
  <si>
    <t>CAPAC</t>
  </si>
  <si>
    <t>12/02 Carrefour</t>
  </si>
  <si>
    <t>13/02 Medi-Market</t>
  </si>
  <si>
    <t>15/02 Media Markt</t>
  </si>
  <si>
    <t>M</t>
  </si>
  <si>
    <t>R</t>
  </si>
  <si>
    <t>15/02 Carrefour tinta</t>
  </si>
  <si>
    <t>19/02 Colruyt</t>
  </si>
  <si>
    <t>19/02 Pasaporte Martina</t>
  </si>
  <si>
    <t>21/02 Test</t>
  </si>
  <si>
    <t>21/02 Ryanair</t>
  </si>
  <si>
    <t>Fianza 550€</t>
  </si>
  <si>
    <t>22/02 Action</t>
  </si>
  <si>
    <t>23/02 Farmacia</t>
  </si>
  <si>
    <t>Tarxeta</t>
  </si>
  <si>
    <t>. 20 de abril del _; Cristo</t>
  </si>
  <si>
    <t>Limit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</si>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</sst>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1" zoomScaleNormal="100" workbookViewId="0">
      <pane xSplit="1" topLeftCell="B1" activePane="topRight" state="frozen"/>
      <selection pane="topRight" activeCell="C35" sqref="C3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8">
        <f>'01'!K19</f>
        <v>33579</v>
      </c>
      <c r="D5" s="359"/>
      <c r="E5" s="359"/>
      <c r="F5" s="360"/>
      <c r="G5" s="358">
        <f>'02'!K19</f>
        <v>34721.86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7.25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1" t="s">
        <v>220</v>
      </c>
      <c r="D7" s="362"/>
      <c r="E7" s="362"/>
      <c r="F7" s="363"/>
      <c r="G7" s="361" t="s">
        <v>220</v>
      </c>
      <c r="H7" s="362"/>
      <c r="I7" s="362"/>
      <c r="J7" s="363"/>
      <c r="K7" s="361" t="s">
        <v>220</v>
      </c>
      <c r="L7" s="362"/>
      <c r="M7" s="362"/>
      <c r="N7" s="363"/>
      <c r="O7" s="361" t="s">
        <v>220</v>
      </c>
      <c r="P7" s="362"/>
      <c r="Q7" s="362"/>
      <c r="R7" s="363"/>
      <c r="S7" s="361" t="s">
        <v>220</v>
      </c>
      <c r="T7" s="362"/>
      <c r="U7" s="362"/>
      <c r="V7" s="363"/>
      <c r="W7" s="361" t="s">
        <v>220</v>
      </c>
      <c r="X7" s="362"/>
      <c r="Y7" s="362"/>
      <c r="Z7" s="363"/>
      <c r="AA7" s="361" t="s">
        <v>220</v>
      </c>
      <c r="AB7" s="362"/>
      <c r="AC7" s="362"/>
      <c r="AD7" s="363"/>
      <c r="AE7" s="361" t="s">
        <v>220</v>
      </c>
      <c r="AF7" s="362"/>
      <c r="AG7" s="362"/>
      <c r="AH7" s="363"/>
      <c r="AI7" s="361" t="s">
        <v>220</v>
      </c>
      <c r="AJ7" s="362"/>
      <c r="AK7" s="362"/>
      <c r="AL7" s="363"/>
      <c r="AM7" s="361" t="s">
        <v>220</v>
      </c>
      <c r="AN7" s="362"/>
      <c r="AO7" s="362"/>
      <c r="AP7" s="363"/>
      <c r="AQ7" s="361" t="s">
        <v>220</v>
      </c>
      <c r="AR7" s="362"/>
      <c r="AS7" s="362"/>
      <c r="AT7" s="363"/>
      <c r="AU7" s="361" t="s">
        <v>220</v>
      </c>
      <c r="AV7" s="362"/>
      <c r="AW7" s="362"/>
      <c r="AX7" s="363"/>
      <c r="AZ7" s="9" t="s">
        <v>222</v>
      </c>
      <c r="BA7" s="13" t="s">
        <v>184</v>
      </c>
      <c r="BB7" s="1"/>
      <c r="BC7" s="1"/>
    </row>
    <row r="8" spans="1:55" ht="15.75">
      <c r="A8" s="206" t="s">
        <v>203</v>
      </c>
      <c r="B8" s="192">
        <v>35000.47</v>
      </c>
      <c r="C8" s="343">
        <f>SUM('01'!L25:'01'!L29)</f>
        <v>0</v>
      </c>
      <c r="D8" s="344"/>
      <c r="E8" s="344"/>
      <c r="F8" s="345"/>
      <c r="G8" s="343">
        <f>SUM('02'!L25:'02'!L29)</f>
        <v>0</v>
      </c>
      <c r="H8" s="344"/>
      <c r="I8" s="344"/>
      <c r="J8" s="345"/>
      <c r="K8" s="343">
        <f>SUM('03'!L25:'03'!L29)</f>
        <v>2526.87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204</v>
      </c>
      <c r="B9" s="193">
        <v>6335.2300000000014</v>
      </c>
      <c r="C9" s="346">
        <f>SUM('01'!L30:'01'!L34)</f>
        <v>70.400000000000006</v>
      </c>
      <c r="D9" s="347"/>
      <c r="E9" s="347"/>
      <c r="F9" s="348"/>
      <c r="G9" s="346">
        <f>SUM('02'!L30:'02'!L34)</f>
        <v>0</v>
      </c>
      <c r="H9" s="347"/>
      <c r="I9" s="347"/>
      <c r="J9" s="348"/>
      <c r="K9" s="346">
        <f>SUM('03'!L30:'03'!L34)</f>
        <v>516.44000000000005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209</v>
      </c>
      <c r="B10" s="194">
        <v>1156.51</v>
      </c>
      <c r="C10" s="346">
        <f>SUM('01'!L35:'01'!L39)</f>
        <v>0</v>
      </c>
      <c r="D10" s="347"/>
      <c r="E10" s="347"/>
      <c r="F10" s="348"/>
      <c r="G10" s="346">
        <f>SUM('02'!L35:'02'!L39)</f>
        <v>0</v>
      </c>
      <c r="H10" s="347"/>
      <c r="I10" s="347"/>
      <c r="J10" s="348"/>
      <c r="K10" s="346">
        <f>SUM('03'!L35:'03'!L39)</f>
        <v>91.73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205</v>
      </c>
      <c r="B11" s="193">
        <v>1224.4499999999998</v>
      </c>
      <c r="C11" s="346">
        <f>SUM('01'!L40:'01'!L44)</f>
        <v>2.61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0</v>
      </c>
      <c r="H12" s="347"/>
      <c r="I12" s="347"/>
      <c r="J12" s="348"/>
      <c r="K12" s="346">
        <f>SUM('03'!L45:'03'!L49)</f>
        <v>380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206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0</v>
      </c>
      <c r="H13" s="347"/>
      <c r="I13" s="347"/>
      <c r="J13" s="348"/>
      <c r="K13" s="346">
        <f>SUM('03'!L50:'03'!L54)</f>
        <v>4517.74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207</v>
      </c>
      <c r="B14" s="194">
        <v>768.34999999999991</v>
      </c>
      <c r="C14" s="346">
        <f>SUM('01'!L55:'01'!L59)</f>
        <v>146.94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9.44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740.99</v>
      </c>
      <c r="BA14" s="112">
        <f t="shared" ca="1" si="0"/>
        <v>740.99</v>
      </c>
      <c r="BB14" s="3"/>
      <c r="BC14" s="3"/>
    </row>
    <row r="15" spans="1:55" ht="15.75">
      <c r="A15" s="189" t="s">
        <v>208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0</v>
      </c>
      <c r="H15" s="347"/>
      <c r="I15" s="347"/>
      <c r="J15" s="348"/>
      <c r="K15" s="346">
        <f>SUM('03'!L60:'03'!L64)</f>
        <v>682.39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46">
        <f>SUM('01'!L65:'01'!L69)</f>
        <v>87.95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6">
        <f>SUM(C8:C16)</f>
        <v>1723.83</v>
      </c>
      <c r="D17" s="367"/>
      <c r="E17" s="367"/>
      <c r="F17" s="368"/>
      <c r="G17" s="366">
        <f>SUM(G8:G16)</f>
        <v>0</v>
      </c>
      <c r="H17" s="367"/>
      <c r="I17" s="367"/>
      <c r="J17" s="368"/>
      <c r="K17" s="366">
        <f>SUM(K8:K16)</f>
        <v>8724.6099999999988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46861.489999999991</v>
      </c>
      <c r="BA17" s="112">
        <f ca="1">AZ17/BC$17</f>
        <v>46861.489999999991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562337.87999999989</v>
      </c>
      <c r="BB18" s="1"/>
      <c r="BC18" s="1"/>
    </row>
    <row r="19" spans="1:62" ht="17.25" thickTop="1" thickBot="1">
      <c r="A19" s="24" t="s">
        <v>7</v>
      </c>
      <c r="B19" s="24" t="s">
        <v>843</v>
      </c>
      <c r="C19" s="178" t="s">
        <v>52</v>
      </c>
      <c r="D19" s="179" t="s">
        <v>202</v>
      </c>
      <c r="E19" s="179" t="s">
        <v>9</v>
      </c>
      <c r="F19" s="180" t="s">
        <v>10</v>
      </c>
      <c r="G19" s="178" t="s">
        <v>52</v>
      </c>
      <c r="H19" s="179" t="s">
        <v>202</v>
      </c>
      <c r="I19" s="179" t="s">
        <v>9</v>
      </c>
      <c r="J19" s="180" t="s">
        <v>10</v>
      </c>
      <c r="K19" s="178" t="s">
        <v>52</v>
      </c>
      <c r="L19" s="179" t="s">
        <v>202</v>
      </c>
      <c r="M19" s="179" t="s">
        <v>9</v>
      </c>
      <c r="N19" s="180" t="s">
        <v>10</v>
      </c>
      <c r="O19" s="178" t="s">
        <v>52</v>
      </c>
      <c r="P19" s="179" t="s">
        <v>202</v>
      </c>
      <c r="Q19" s="179" t="s">
        <v>9</v>
      </c>
      <c r="R19" s="180" t="s">
        <v>10</v>
      </c>
      <c r="S19" s="178" t="s">
        <v>52</v>
      </c>
      <c r="T19" s="179" t="s">
        <v>202</v>
      </c>
      <c r="U19" s="179" t="s">
        <v>9</v>
      </c>
      <c r="V19" s="180" t="s">
        <v>10</v>
      </c>
      <c r="W19" s="178" t="s">
        <v>52</v>
      </c>
      <c r="X19" s="179" t="s">
        <v>202</v>
      </c>
      <c r="Y19" s="179" t="s">
        <v>9</v>
      </c>
      <c r="Z19" s="180" t="s">
        <v>10</v>
      </c>
      <c r="AA19" s="178" t="s">
        <v>52</v>
      </c>
      <c r="AB19" s="179" t="s">
        <v>202</v>
      </c>
      <c r="AC19" s="179" t="s">
        <v>9</v>
      </c>
      <c r="AD19" s="180" t="s">
        <v>10</v>
      </c>
      <c r="AE19" s="178" t="s">
        <v>52</v>
      </c>
      <c r="AF19" s="179" t="s">
        <v>202</v>
      </c>
      <c r="AG19" s="179" t="s">
        <v>9</v>
      </c>
      <c r="AH19" s="180" t="s">
        <v>10</v>
      </c>
      <c r="AI19" s="178" t="s">
        <v>52</v>
      </c>
      <c r="AJ19" s="179" t="s">
        <v>202</v>
      </c>
      <c r="AK19" s="179" t="s">
        <v>9</v>
      </c>
      <c r="AL19" s="180" t="s">
        <v>10</v>
      </c>
      <c r="AM19" s="178" t="s">
        <v>52</v>
      </c>
      <c r="AN19" s="179" t="s">
        <v>202</v>
      </c>
      <c r="AO19" s="179" t="s">
        <v>9</v>
      </c>
      <c r="AP19" s="180" t="s">
        <v>10</v>
      </c>
      <c r="AQ19" s="178" t="s">
        <v>52</v>
      </c>
      <c r="AR19" s="179" t="s">
        <v>202</v>
      </c>
      <c r="AS19" s="179" t="s">
        <v>9</v>
      </c>
      <c r="AT19" s="180" t="s">
        <v>10</v>
      </c>
      <c r="AU19" s="178" t="s">
        <v>52</v>
      </c>
      <c r="AV19" s="179" t="s">
        <v>202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221</v>
      </c>
    </row>
    <row r="20" spans="1:62" ht="15.75">
      <c r="A20" s="141" t="s">
        <v>828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30.24</v>
      </c>
      <c r="F20" s="145">
        <f t="shared" ref="F20:F45" si="2">B20+D20-E20</f>
        <v>3018.2991905564922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3595.0791905564924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2993.8291905564924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2990.0691905564927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3191.1891905564926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3190.8591905564926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3388.6491905564926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3383.5691905564927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3585.9291905564928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3561.7291905564925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4122.5591905564925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4364.6991905564928</v>
      </c>
      <c r="AZ20" s="123">
        <f t="shared" ref="AZ20:AZ27" si="14">E20+I20+M20+Q20+U20+Y20+AC20+AG20+AK20+AO20+AS20+AW20</f>
        <v>4895.9299999999994</v>
      </c>
      <c r="BA20" s="21">
        <f t="shared" ref="BA20:BA45" si="15">AZ20/AZ$46</f>
        <v>0.11776252808205007</v>
      </c>
      <c r="BB20" s="22">
        <f>_xlfn.RANK.EQ(BA20,$BA$20:$BA$45,)</f>
        <v>2</v>
      </c>
      <c r="BC20" s="22">
        <f t="shared" ref="BC20:BC45" ca="1" si="16">AZ20/BC$17</f>
        <v>4895.9299999999994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0.89658174130667911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0</v>
      </c>
      <c r="F21" s="151">
        <f t="shared" si="2"/>
        <v>1464.7299999999993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2628.7299999999996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2261.4999999999995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2305.5599999999995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2181.7999999999993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2225.8599999999992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2269.9199999999992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2209.7899999999991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2253.849999999999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2193.7199999999989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2237.1099999999988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3390.1099999999988</v>
      </c>
      <c r="AZ21" s="152">
        <f t="shared" si="14"/>
        <v>10703.620000000003</v>
      </c>
      <c r="BA21" s="21">
        <f t="shared" si="15"/>
        <v>0.25745575423455669</v>
      </c>
      <c r="BB21" s="22">
        <f t="shared" ref="BB21:BB45" si="20">_xlfn.RANK.EQ(BA21,$BA$20:$BA$45,)</f>
        <v>1</v>
      </c>
      <c r="BC21" s="22">
        <f t="shared" ca="1" si="16"/>
        <v>10703.620000000003</v>
      </c>
      <c r="BE21" s="224">
        <f t="shared" ca="1" si="17"/>
        <v>1164</v>
      </c>
      <c r="BF21" s="21">
        <f t="shared" ca="1" si="18"/>
        <v>1.8093920504888767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1164</v>
      </c>
    </row>
    <row r="22" spans="1:62" ht="15.75">
      <c r="A22" s="153" t="s">
        <v>829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91.59</v>
      </c>
      <c r="F22" s="156">
        <f t="shared" si="2"/>
        <v>366.78999999999996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761.79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855.90999999999985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1014.4999999999999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983.24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990.02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990.0200000000001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990.02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1005.3199999999999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978.1099999999999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881.90999999999985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1196.9099999999999</v>
      </c>
      <c r="AZ22" s="157">
        <f t="shared" si="14"/>
        <v>2537.6999999999998</v>
      </c>
      <c r="BA22" s="21">
        <f t="shared" si="15"/>
        <v>6.1039673262039788E-2</v>
      </c>
      <c r="BB22" s="22">
        <f t="shared" si="20"/>
        <v>5</v>
      </c>
      <c r="BC22" s="22">
        <f t="shared" ca="1" si="16"/>
        <v>2537.6999999999998</v>
      </c>
      <c r="BE22" s="225">
        <f t="shared" ca="1" si="17"/>
        <v>395</v>
      </c>
      <c r="BF22" s="21">
        <f t="shared" ca="1" si="18"/>
        <v>0.61401190716761711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303.40999999999997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26.9</v>
      </c>
      <c r="F23" s="151">
        <f t="shared" si="2"/>
        <v>334.05000000000013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534.05000000000018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557.5300000000002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626.5300000000002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583.68000000000018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586.0300000000002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613.83000000000015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607.18000000000018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614.2800000000002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630.9000000000002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662.70000000000027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847.70000000000027</v>
      </c>
      <c r="AZ23" s="152">
        <f t="shared" si="14"/>
        <v>1643.2500000000002</v>
      </c>
      <c r="BA23" s="21">
        <f t="shared" si="15"/>
        <v>3.9525335180615087E-2</v>
      </c>
      <c r="BB23" s="22">
        <f t="shared" si="20"/>
        <v>9</v>
      </c>
      <c r="BC23" s="22">
        <f t="shared" ca="1" si="16"/>
        <v>1643.2500000000002</v>
      </c>
      <c r="BE23" s="224">
        <f t="shared" ca="1" si="17"/>
        <v>180</v>
      </c>
      <c r="BF23" s="21">
        <f t="shared" ca="1" si="18"/>
        <v>0.27980289440549638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153.10000000000002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53.92</v>
      </c>
      <c r="F24" s="156">
        <f t="shared" si="2"/>
        <v>382.7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582.70000000000005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646.61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693.22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677.74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644.88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749.78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765.96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761.30000000000007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701.12000000000012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807.84000000000015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957.84000000000015</v>
      </c>
      <c r="AZ24" s="157">
        <f t="shared" si="14"/>
        <v>1268.78</v>
      </c>
      <c r="BA24" s="21">
        <f t="shared" si="15"/>
        <v>3.0518152910671413E-2</v>
      </c>
      <c r="BB24" s="22">
        <f t="shared" si="20"/>
        <v>10</v>
      </c>
      <c r="BC24" s="22">
        <f t="shared" ca="1" si="16"/>
        <v>1268.78</v>
      </c>
      <c r="BE24" s="225">
        <f t="shared" ca="1" si="17"/>
        <v>200</v>
      </c>
      <c r="BF24" s="21">
        <f t="shared" ca="1" si="18"/>
        <v>0.31089210489499602</v>
      </c>
      <c r="BG24" s="22">
        <f t="shared" ca="1" si="21"/>
        <v>5</v>
      </c>
      <c r="BH24" s="22">
        <f t="shared" ca="1" si="19"/>
        <v>200</v>
      </c>
      <c r="BJ24" s="225">
        <f t="shared" ca="1" si="22"/>
        <v>146.07999999999996</v>
      </c>
    </row>
    <row r="25" spans="1:62" ht="15.75">
      <c r="A25" s="146" t="s">
        <v>844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328.83000000000004</v>
      </c>
      <c r="F25" s="151">
        <f t="shared" si="2"/>
        <v>5476.1615974244969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6000.8015974244972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4808.4215974244971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6350.3915974244965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5538.0115974244964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5655.6315974244962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5973.2515974244961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6640.871597424496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6758.4915974244959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7192.4431948489937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7322.5331948489938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7780.0031948489941</v>
      </c>
      <c r="AZ25" s="152">
        <f t="shared" si="14"/>
        <v>3668.0800000000008</v>
      </c>
      <c r="BA25" s="21">
        <f t="shared" si="15"/>
        <v>8.8228870512283952E-2</v>
      </c>
      <c r="BB25" s="22">
        <f t="shared" si="20"/>
        <v>4</v>
      </c>
      <c r="BC25" s="22">
        <f t="shared" ca="1" si="16"/>
        <v>3668.0800000000008</v>
      </c>
      <c r="BE25" s="224">
        <f t="shared" ca="1" si="17"/>
        <v>853.47</v>
      </c>
      <c r="BF25" s="21">
        <f t="shared" ca="1" si="18"/>
        <v>1.3266854238236612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524.64000000000033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1.2396992394394651E-2</v>
      </c>
      <c r="BB26" s="22">
        <f t="shared" si="20"/>
        <v>15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8.2386407797173933E-2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1.0011882255030715E-2</v>
      </c>
      <c r="BB27" s="22">
        <f t="shared" si="20"/>
        <v>18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6.2178420978999199E-2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1689.0000000000002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2079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1388.1399999999999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2438.14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2638.14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1474.86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1674.86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1830.86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2030.86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2230.8599999999997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2430.8599999999997</v>
      </c>
      <c r="AZ28" s="182">
        <f t="shared" ref="AZ28:AZ45" si="23">E28+I28+M28+Q28+U28+Y28+AC28+AG28+AK28+AO28+AS28+AW28</f>
        <v>2338.14</v>
      </c>
      <c r="BA28" s="21">
        <f t="shared" si="15"/>
        <v>5.6239627079995948E-2</v>
      </c>
      <c r="BB28" s="22">
        <f t="shared" si="20"/>
        <v>7</v>
      </c>
      <c r="BC28" s="22">
        <f t="shared" ca="1" si="16"/>
        <v>2338.14</v>
      </c>
      <c r="BE28" s="223">
        <f t="shared" ca="1" si="17"/>
        <v>200</v>
      </c>
      <c r="BF28" s="21">
        <f t="shared" ca="1" si="18"/>
        <v>0.31089210489499602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2.5796038927614461E-2</v>
      </c>
      <c r="BB29" s="22">
        <f t="shared" si="20"/>
        <v>11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0.22531905302264832</v>
      </c>
      <c r="BG29" s="22">
        <f t="shared" ca="1" si="21"/>
        <v>9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5.3924752132311548E-3</v>
      </c>
      <c r="BB30" s="22">
        <f t="shared" si="20"/>
        <v>19</v>
      </c>
      <c r="BC30" s="22">
        <f t="shared" ca="1" si="16"/>
        <v>224.19</v>
      </c>
      <c r="BE30" s="225">
        <f t="shared" ca="1" si="17"/>
        <v>35</v>
      </c>
      <c r="BF30" s="21">
        <f t="shared" ca="1" si="18"/>
        <v>5.4406118356624303E-2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4.5417153742910331E-3</v>
      </c>
      <c r="BB31" s="22">
        <f t="shared" si="20"/>
        <v>20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3.2643671013974578E-2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602.89999999999975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687.61999999999978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956.74999999999977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1461.5099999999998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1356.1899999999998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1131.7899999999997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1174.0199999999998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1017.6799999999996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940.47999999999956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1035.4799999999996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1285.4799999999996</v>
      </c>
      <c r="AZ32" s="157">
        <f t="shared" si="23"/>
        <v>1763.7500000000002</v>
      </c>
      <c r="BA32" s="21">
        <f t="shared" si="15"/>
        <v>4.2423739494787685E-2</v>
      </c>
      <c r="BB32" s="22">
        <f t="shared" si="20"/>
        <v>8</v>
      </c>
      <c r="BC32" s="22">
        <f t="shared" ca="1" si="16"/>
        <v>1763.7500000000002</v>
      </c>
      <c r="BE32" s="225">
        <f t="shared" ca="1" si="17"/>
        <v>50</v>
      </c>
      <c r="BF32" s="21">
        <f t="shared" ca="1" si="18"/>
        <v>7.7723026223749006E-2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576.68000000000029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1271.0200000000009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1310.5700000000008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1267.6800000000007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1126.1800000000007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1176.1800000000007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1245.1800000000007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1250.1800000000007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1288.1800000000007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1348.1800000000007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1388.1800000000007</v>
      </c>
      <c r="AZ33" s="152">
        <f t="shared" si="23"/>
        <v>3843.8499999999995</v>
      </c>
      <c r="BA33" s="21">
        <f t="shared" si="15"/>
        <v>9.245669230732223E-2</v>
      </c>
      <c r="BB33" s="22">
        <f t="shared" si="20"/>
        <v>3</v>
      </c>
      <c r="BC33" s="22">
        <f t="shared" ca="1" si="16"/>
        <v>3843.8499999999995</v>
      </c>
      <c r="BE33" s="224">
        <f t="shared" ca="1" si="17"/>
        <v>10</v>
      </c>
      <c r="BF33" s="21">
        <f t="shared" ca="1" si="18"/>
        <v>1.55446052447498E-2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82.2</v>
      </c>
      <c r="F34" s="161">
        <f t="shared" si="2"/>
        <v>130.57999999999981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220.57999999999981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310.57999999999981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356.57999999999981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120.93999999999977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220.93999999999971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127.67999999999972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203.38999999999973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222.38999999999976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266.48999999999978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356.48999999999978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451.48999999999978</v>
      </c>
      <c r="AZ34" s="152">
        <f t="shared" si="23"/>
        <v>1043.7</v>
      </c>
      <c r="BA34" s="21">
        <f t="shared" si="15"/>
        <v>2.5104270395866705E-2</v>
      </c>
      <c r="BB34" s="22">
        <f t="shared" si="20"/>
        <v>12</v>
      </c>
      <c r="BC34" s="22">
        <f t="shared" ca="1" si="16"/>
        <v>1043.7</v>
      </c>
      <c r="BE34" s="225">
        <f t="shared" ca="1" si="17"/>
        <v>197.95</v>
      </c>
      <c r="BF34" s="21">
        <f t="shared" ca="1" si="18"/>
        <v>0.30770546081982225</v>
      </c>
      <c r="BG34" s="22">
        <f t="shared" ca="1" si="21"/>
        <v>7</v>
      </c>
      <c r="BH34" s="22">
        <f t="shared" ca="1" si="19"/>
        <v>197.95</v>
      </c>
      <c r="BJ34" s="225">
        <f t="shared" ca="1" si="22"/>
        <v>115.75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130</v>
      </c>
      <c r="E35" s="186">
        <f>SUM('01'!D320:F320)</f>
        <v>357.62</v>
      </c>
      <c r="F35" s="187">
        <f t="shared" si="2"/>
        <v>1353.7400000000007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1490.1300000000008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1478.1500000000008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1450.7300000000007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1577.2200000000007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1554.6200000000008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1598.1500000000008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1640.9300000000007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1574.4200000000008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1256.7300000000007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1310.7000000000007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1440.7000000000007</v>
      </c>
      <c r="AZ35" s="188">
        <f t="shared" si="23"/>
        <v>2535.1900000000005</v>
      </c>
      <c r="BA35" s="21">
        <f t="shared" si="15"/>
        <v>6.0979299860972808E-2</v>
      </c>
      <c r="BB35" s="22">
        <f t="shared" si="20"/>
        <v>6</v>
      </c>
      <c r="BC35" s="22">
        <f t="shared" ca="1" si="16"/>
        <v>2535.1900000000005</v>
      </c>
      <c r="BE35" s="224">
        <f t="shared" ca="1" si="17"/>
        <v>130</v>
      </c>
      <c r="BF35" s="21">
        <f t="shared" ca="1" si="18"/>
        <v>0.20207986818174739</v>
      </c>
      <c r="BG35" s="22">
        <f t="shared" ca="1" si="21"/>
        <v>10</v>
      </c>
      <c r="BH35" s="22">
        <f t="shared" ca="1" si="19"/>
        <v>130</v>
      </c>
      <c r="BJ35" s="224">
        <f t="shared" ca="1" si="22"/>
        <v>-227.61999999999989</v>
      </c>
    </row>
    <row r="36" spans="1:62" ht="15.75">
      <c r="A36" s="163" t="s">
        <v>461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1262.4900000000002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1453.4000000000003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1543.4200000000003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1459.4200000000003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1467.4200000000003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1642.4200000000003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1304.8700000000003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1562.9900000000005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1647.9900000000005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2152.9900000000007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2242.9900000000007</v>
      </c>
      <c r="AZ36" s="182">
        <f t="shared" si="23"/>
        <v>1013.47</v>
      </c>
      <c r="BA36" s="21">
        <f t="shared" si="15"/>
        <v>2.4377143736800833E-2</v>
      </c>
      <c r="BB36" s="22">
        <f t="shared" si="20"/>
        <v>13</v>
      </c>
      <c r="BC36" s="22">
        <f t="shared" ca="1" si="16"/>
        <v>1013.47</v>
      </c>
      <c r="BE36" s="223">
        <f t="shared" ca="1" si="17"/>
        <v>90</v>
      </c>
      <c r="BF36" s="21">
        <f t="shared" ca="1" si="18"/>
        <v>0.13990144720274819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830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-34.919999999999959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-31.919999999999959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13.080000000000041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58.080000000000041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148.08000000000004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193.08000000000004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238.08000000000004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283.08000000000004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263.08000000000004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308.08000000000004</v>
      </c>
      <c r="AZ37" s="152">
        <f t="shared" si="23"/>
        <v>496.95</v>
      </c>
      <c r="BA37" s="21">
        <f t="shared" si="15"/>
        <v>1.1953211816830466E-2</v>
      </c>
      <c r="BB37" s="22">
        <f t="shared" si="20"/>
        <v>17</v>
      </c>
      <c r="BC37" s="22">
        <f t="shared" ca="1" si="16"/>
        <v>496.95</v>
      </c>
      <c r="BE37" s="224">
        <f t="shared" ca="1" si="17"/>
        <v>5</v>
      </c>
      <c r="BF37" s="21">
        <f t="shared" ca="1" si="18"/>
        <v>7.7723026223748999E-3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191.22000000000008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216.62000000000009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262.32000000000011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250.03000000000011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250.93000000000009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277.33000000000004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306.03000000000003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328.03000000000003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375.53000000000003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357.5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417.5</v>
      </c>
      <c r="AZ38" s="157">
        <f t="shared" si="23"/>
        <v>592.00000000000011</v>
      </c>
      <c r="BA38" s="21">
        <f t="shared" si="15"/>
        <v>1.4239463518590678E-2</v>
      </c>
      <c r="BB38" s="22">
        <f t="shared" si="20"/>
        <v>14</v>
      </c>
      <c r="BC38" s="22">
        <f t="shared" ca="1" si="16"/>
        <v>592.00000000000011</v>
      </c>
      <c r="BE38" s="225">
        <f t="shared" ca="1" si="17"/>
        <v>60</v>
      </c>
      <c r="BF38" s="21">
        <f t="shared" ca="1" si="18"/>
        <v>9.3267631468498799E-2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309.28078798099023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1660.5407879809902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325.54078798099022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345.54078798099022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305.54078798099022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320.54078798099022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335.54078798099022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1768.5615759619805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1783.5615759619805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1793.5615759619805</v>
      </c>
      <c r="AZ39" s="152">
        <f t="shared" si="23"/>
        <v>0</v>
      </c>
      <c r="BA39" s="21">
        <f t="shared" si="15"/>
        <v>0</v>
      </c>
      <c r="BB39" s="22">
        <f t="shared" si="20"/>
        <v>24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1.55446052447498E-2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7429.4861040380201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6493.0961040380207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7592.9761040380208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6597.1161040380211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6644.1361040380216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6542.0961040380216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6588.9861040380219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6635.8961040380218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7943.9322080760412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8034.462208076041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8084.462208076041</v>
      </c>
      <c r="AZ40" s="157">
        <f t="shared" si="23"/>
        <v>151.36000000000001</v>
      </c>
      <c r="BA40" s="21">
        <f t="shared" si="15"/>
        <v>3.6406844563748055E-3</v>
      </c>
      <c r="BB40" s="22">
        <f t="shared" si="20"/>
        <v>22</v>
      </c>
      <c r="BC40" s="22">
        <f t="shared" ca="1" si="16"/>
        <v>151.36000000000001</v>
      </c>
      <c r="BE40" s="225">
        <f t="shared" ca="1" si="17"/>
        <v>31.749999999999996</v>
      </c>
      <c r="BF40" s="21">
        <f t="shared" ca="1" si="18"/>
        <v>4.9354121652080613E-2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-3809.5899999999992</v>
      </c>
      <c r="E41" s="165">
        <f>SUM('01'!D440:F440)</f>
        <v>0</v>
      </c>
      <c r="F41" s="151">
        <f t="shared" si="2"/>
        <v>4765.5300000000034</v>
      </c>
      <c r="G41" s="148" t="s">
        <v>1</v>
      </c>
      <c r="H41" s="165">
        <f>'02'!B440</f>
        <v>-4701.6000000000004</v>
      </c>
      <c r="I41" s="165">
        <f>SUM('02'!D440:F440)</f>
        <v>0</v>
      </c>
      <c r="J41" s="151">
        <f t="shared" si="3"/>
        <v>63.93000000000302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-55.229999999998654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-55.229999999997204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-54.94999999999564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-55.779999999994658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409.67000000000519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108.77000000000601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108.77000000000601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71.310000000005971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-292.02999999999417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-4192.0299999999943</v>
      </c>
      <c r="AZ41" s="152">
        <f t="shared" si="23"/>
        <v>0</v>
      </c>
      <c r="BA41" s="21">
        <f t="shared" si="15"/>
        <v>0</v>
      </c>
      <c r="BB41" s="22">
        <f t="shared" si="20"/>
        <v>24</v>
      </c>
      <c r="BC41" s="22">
        <f t="shared" ca="1" si="16"/>
        <v>0</v>
      </c>
      <c r="BE41" s="224">
        <f t="shared" ca="1" si="17"/>
        <v>-3809.5899999999992</v>
      </c>
      <c r="BF41" s="21">
        <f t="shared" ca="1" si="18"/>
        <v>-5.9218572694346374</v>
      </c>
      <c r="BG41" s="22">
        <f t="shared" ca="1" si="21"/>
        <v>26</v>
      </c>
      <c r="BH41" s="22">
        <f t="shared" ca="1" si="19"/>
        <v>-3809.5899999999992</v>
      </c>
      <c r="BJ41" s="224">
        <f t="shared" ca="1" si="22"/>
        <v>-3809.5899999999992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4.76252327142053E-5</v>
      </c>
      <c r="BB42" s="22">
        <f t="shared" si="20"/>
        <v>23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110.53999999999999</v>
      </c>
      <c r="I43" s="149">
        <f>SUM('02'!D480:F480)</f>
        <v>500</v>
      </c>
      <c r="J43" s="151">
        <f t="shared" si="3"/>
        <v>-389.46000000000004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-794.46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-171.26999999999998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-571.27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-561.27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-496.27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-981.27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-916.27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284.2391905564923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370.58919055649233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514.97919055649231</v>
      </c>
      <c r="AZ43" s="152">
        <f t="shared" si="23"/>
        <v>500</v>
      </c>
      <c r="BA43" s="21">
        <f t="shared" si="15"/>
        <v>1.2026573917728612E-2</v>
      </c>
      <c r="BB43" s="22">
        <f t="shared" si="20"/>
        <v>16</v>
      </c>
      <c r="BC43" s="22">
        <f t="shared" ca="1" si="16"/>
        <v>500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22.540000000000035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-3.3999999999999666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-3.3999999999999666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-3.3999999999999666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-3.3999999999999666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-3.3999999999999666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-6.8299999999999663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-11.829999999999966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-93.809999999999974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-103.80999999999997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-98.809999999999974</v>
      </c>
      <c r="AZ45" s="177">
        <f t="shared" si="23"/>
        <v>159.74</v>
      </c>
      <c r="BA45" s="21">
        <f t="shared" si="15"/>
        <v>3.8422498352359371E-3</v>
      </c>
      <c r="BB45" s="22">
        <f t="shared" si="20"/>
        <v>21</v>
      </c>
      <c r="BC45" s="22">
        <f t="shared" ca="1" si="16"/>
        <v>159.74</v>
      </c>
      <c r="BE45" s="226">
        <f t="shared" ca="1" si="17"/>
        <v>5</v>
      </c>
      <c r="BF45" s="21">
        <f t="shared" ca="1" si="18"/>
        <v>7.7723026223748999E-3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643.3100000000004</v>
      </c>
      <c r="E46" s="219">
        <f>SUM(E20:E45)</f>
        <v>1113.5500000000002</v>
      </c>
      <c r="F46" s="220">
        <f>SUM(F20:F45)</f>
        <v>33108.757680000002</v>
      </c>
      <c r="G46" s="218"/>
      <c r="H46" s="219">
        <f>SUM(H20:H45)</f>
        <v>-21.700000000000699</v>
      </c>
      <c r="I46" s="219">
        <f>SUM(I20:I45)</f>
        <v>1490.0200000000002</v>
      </c>
      <c r="J46" s="220">
        <f>SUM(J20:J45)</f>
        <v>31597.037680000012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32466.037680000001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33185.36768000001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35036.357680000008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35305.237680000013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35189.12768000002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35280.537680000009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36111.747680000008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36125.655360000012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37788.535360000016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37763.665360000014</v>
      </c>
      <c r="AZ46" s="227">
        <f>SUM(AZ20:AZ45)</f>
        <v>41574.600000000006</v>
      </c>
      <c r="BA46" s="1"/>
      <c r="BB46" s="1"/>
      <c r="BC46" s="124">
        <f ca="1">SUM(BC20:BC45)</f>
        <v>41574.600000000006</v>
      </c>
      <c r="BE46" s="227">
        <f ca="1">SUM(BE20:BE45)</f>
        <v>643.3100000000004</v>
      </c>
      <c r="BF46" s="1"/>
      <c r="BG46" s="1"/>
      <c r="BH46" s="124">
        <f ca="1">SUM(BH20:BH45)</f>
        <v>643.3100000000004</v>
      </c>
      <c r="BJ46" s="227">
        <f ca="1">SUM(BJ20:BJ45)</f>
        <v>-470.23999999999842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1080.5199999999995</v>
      </c>
      <c r="E47" s="125">
        <f>C17-E46</f>
        <v>610.27999999999975</v>
      </c>
      <c r="F47" s="125"/>
      <c r="G47" s="125">
        <f>G5-F46</f>
        <v>1613.1023199999981</v>
      </c>
      <c r="H47" s="125">
        <f>G17-H46</f>
        <v>21.700000000000699</v>
      </c>
      <c r="I47" s="125">
        <f>G17-I46</f>
        <v>-1490.0200000000002</v>
      </c>
      <c r="J47" s="125"/>
      <c r="K47" s="125">
        <f>K5-J46</f>
        <v>-6022.2776800000102</v>
      </c>
      <c r="L47" s="125">
        <f>K17-L46</f>
        <v>0</v>
      </c>
      <c r="M47" s="125">
        <f>K17-M46</f>
        <v>868.99999999999818</v>
      </c>
      <c r="N47" s="125"/>
      <c r="O47" s="125">
        <f>O5-N46</f>
        <v>-6022.2776800000029</v>
      </c>
      <c r="P47" s="125">
        <f>O17-P46</f>
        <v>0</v>
      </c>
      <c r="Q47" s="125">
        <f>O17-Q46</f>
        <v>719.33000000000084</v>
      </c>
      <c r="R47" s="125"/>
      <c r="S47" s="125">
        <f>S5-R46</f>
        <v>-6022.2776800000065</v>
      </c>
      <c r="T47" s="125">
        <f>S17-T46</f>
        <v>0</v>
      </c>
      <c r="U47" s="125">
        <f>S17-U46</f>
        <v>1850.9900000000016</v>
      </c>
      <c r="V47" s="125"/>
      <c r="W47" s="125">
        <f>W5-V46</f>
        <v>-6022.2776800000102</v>
      </c>
      <c r="X47" s="125">
        <f>W17-X46</f>
        <v>0</v>
      </c>
      <c r="Y47" s="125">
        <f>W17-Y46</f>
        <v>268.88000000000056</v>
      </c>
      <c r="Z47" s="125"/>
      <c r="AA47" s="125">
        <f>AA5-Z46</f>
        <v>-6022.2776800000138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-6022.2776800000174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-6022.2776800000065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-6022.2776800000065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-6022.2753600000069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-7685.1553600000116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4350*12</f>
        <v>52200</v>
      </c>
      <c r="BA48" s="112"/>
      <c r="BB48" s="1" t="s">
        <v>192</v>
      </c>
      <c r="BC48" s="112">
        <f ca="1">12*BC46</f>
        <v>498895.20000000007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5.75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873</v>
      </c>
      <c r="E54" s="376"/>
      <c r="F54" s="98"/>
      <c r="G54" s="95"/>
      <c r="H54" s="375"/>
      <c r="I54" s="376"/>
      <c r="J54" s="100"/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/>
      <c r="H55" s="379"/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/>
      <c r="D56" s="379"/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5.75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2026.33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2573.7399999999998</v>
      </c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'08'!A27+(B27-SUM(D27:F27))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'08'!A29+(B29-SUM(D29:F29))</f>
        <v>38.789999999999992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240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688</v>
      </c>
      <c r="K35" s="42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2198.8499999999995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678</v>
      </c>
      <c r="K45" s="42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684</v>
      </c>
      <c r="H46" s="1"/>
      <c r="I46" s="422"/>
      <c r="J46" s="426" t="s">
        <v>720</v>
      </c>
      <c r="K46" s="42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689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675</v>
      </c>
      <c r="D48" s="137">
        <v>67.47</v>
      </c>
      <c r="E48" s="138"/>
      <c r="F48" s="138"/>
      <c r="G48" s="16" t="s">
        <v>693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694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695</v>
      </c>
      <c r="H50" s="1"/>
      <c r="I50" s="421" t="str">
        <f>AÑO!A13</f>
        <v>Gubernamental</v>
      </c>
      <c r="J50" s="424" t="s">
        <v>686</v>
      </c>
      <c r="K50" s="42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703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704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712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687</v>
      </c>
      <c r="K60" s="42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672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673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682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696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699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711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719</v>
      </c>
      <c r="D79" s="135">
        <v>122.95</v>
      </c>
      <c r="E79" s="139"/>
      <c r="F79" s="139"/>
      <c r="G79" s="17" t="s">
        <v>713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683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690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709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351.05999999999972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D127+D128+'08'!I127</f>
        <v>95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206</v>
      </c>
      <c r="D187" s="137">
        <v>20.98</v>
      </c>
      <c r="E187" s="138"/>
      <c r="F187" s="138"/>
      <c r="G187" s="16" t="s">
        <v>679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701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710</v>
      </c>
      <c r="H189" s="89">
        <f>9.99+8.99+6.99+3.99+7.99</f>
        <v>37.950000000000003</v>
      </c>
      <c r="I189" s="1" t="s">
        <v>708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714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715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718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299</v>
      </c>
      <c r="D246" s="137">
        <v>105.14</v>
      </c>
      <c r="E246" s="138"/>
      <c r="F246" s="138"/>
      <c r="G246" s="16" t="s">
        <v>676</v>
      </c>
    </row>
    <row r="247" spans="1:9" ht="15" customHeight="1">
      <c r="A247" s="112"/>
      <c r="B247" s="134">
        <v>343.08</v>
      </c>
      <c r="C247" s="16" t="s">
        <v>206</v>
      </c>
      <c r="D247" s="137">
        <v>203.92</v>
      </c>
      <c r="E247" s="138"/>
      <c r="F247" s="138"/>
      <c r="G247" s="16" t="s">
        <v>700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716</v>
      </c>
      <c r="H248" s="89">
        <f>33.98+1.99</f>
        <v>35.97</v>
      </c>
      <c r="I248" s="89" t="s">
        <v>708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718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625</v>
      </c>
      <c r="D257" s="137"/>
      <c r="E257" s="138">
        <f>100.67+100.67</f>
        <v>201.34</v>
      </c>
      <c r="F257" s="138"/>
      <c r="G257" s="16" t="s">
        <v>302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671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162.38999999999973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581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698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717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222.38999999999973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/>
      <c r="E306" s="138"/>
      <c r="F306" s="138">
        <v>60</v>
      </c>
      <c r="G306" s="16" t="s">
        <v>691</v>
      </c>
    </row>
    <row r="307" spans="2:7">
      <c r="B307" s="134"/>
      <c r="C307" s="27"/>
      <c r="D307" s="137">
        <v>35.96</v>
      </c>
      <c r="E307" s="138"/>
      <c r="F307" s="138"/>
      <c r="G307" s="16" t="s">
        <v>692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697</v>
      </c>
    </row>
    <row r="309" spans="2:7">
      <c r="B309" s="134"/>
      <c r="C309" s="16"/>
      <c r="D309" s="137"/>
      <c r="E309" s="138"/>
      <c r="F309" s="138">
        <v>60</v>
      </c>
      <c r="G309" s="16" t="s">
        <v>721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677</v>
      </c>
    </row>
    <row r="327" spans="2:9">
      <c r="B327" s="134">
        <v>100</v>
      </c>
      <c r="C327" s="16" t="s">
        <v>678</v>
      </c>
      <c r="D327" s="137">
        <v>15</v>
      </c>
      <c r="E327" s="138"/>
      <c r="F327" s="138"/>
      <c r="G327" s="16" t="s">
        <v>705</v>
      </c>
    </row>
    <row r="328" spans="2:9">
      <c r="B328" s="134">
        <v>155.97</v>
      </c>
      <c r="C328" s="16" t="s">
        <v>206</v>
      </c>
      <c r="D328" s="137"/>
      <c r="E328" s="138">
        <v>46.98</v>
      </c>
      <c r="F328" s="138"/>
      <c r="G328" s="16" t="s">
        <v>718</v>
      </c>
      <c r="H328" s="89">
        <f>9.99+34.99+2</f>
        <v>46.980000000000004</v>
      </c>
      <c r="I328" s="89" t="s">
        <v>708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680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'08'!A467+(B467-SUM(D467:F467))</f>
        <v>-534.67000000000007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-916.2700000000001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702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722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2002.13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'09'!A27+(B27-SUM(D27:F27))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'09'!A29+(B29-SUM(D29:F29))</f>
        <v>38.839999999999989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517</v>
      </c>
      <c r="K31" s="42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748</v>
      </c>
      <c r="K32" s="42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240</v>
      </c>
      <c r="K33" s="42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2138.7200000000003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321</v>
      </c>
      <c r="K40" s="42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751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726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729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730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737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744</v>
      </c>
      <c r="H50" s="1"/>
      <c r="I50" s="421" t="str">
        <f>AÑO!A13</f>
        <v>Gubernamental</v>
      </c>
      <c r="J50" s="424" t="s">
        <v>686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745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746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747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749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757</v>
      </c>
      <c r="H55" s="1"/>
      <c r="I55" s="421" t="str">
        <f>AÑO!A14</f>
        <v>Mutualite/DKV</v>
      </c>
      <c r="J55" s="424" t="s">
        <v>363</v>
      </c>
      <c r="K55" s="42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758</v>
      </c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728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738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743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775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225</v>
      </c>
      <c r="D79" s="135">
        <f>22.3+25.93</f>
        <v>48.230000000000004</v>
      </c>
      <c r="E79" s="139"/>
      <c r="F79" s="139"/>
      <c r="G79" s="17" t="s">
        <v>770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725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734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736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755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756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759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779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781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734.92159742449758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309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D127+D128+'09'!I127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773</v>
      </c>
      <c r="D130" s="137">
        <v>65</v>
      </c>
      <c r="E130" s="138"/>
      <c r="F130" s="138"/>
      <c r="G130" s="16" t="s">
        <v>774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731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739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742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766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767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771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299</v>
      </c>
      <c r="D246" s="137">
        <f>2.99+15.99-2.4</f>
        <v>16.580000000000002</v>
      </c>
      <c r="E246" s="138"/>
      <c r="F246" s="138"/>
      <c r="G246" s="16" t="s">
        <v>726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747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754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768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685</v>
      </c>
      <c r="D257" s="137"/>
      <c r="E257" s="138">
        <v>100.67</v>
      </c>
      <c r="F257" s="138"/>
      <c r="G257" s="16" t="s">
        <v>302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724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166.48999999999972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732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733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769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772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266.48999999999972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>
        <f>37.5+37.5</f>
        <v>75</v>
      </c>
      <c r="E306" s="138"/>
      <c r="F306" s="138"/>
      <c r="G306" s="16" t="s">
        <v>735</v>
      </c>
    </row>
    <row r="307" spans="2:7">
      <c r="B307" s="134">
        <f>28.54*2</f>
        <v>57.08</v>
      </c>
      <c r="C307" s="27" t="s">
        <v>363</v>
      </c>
      <c r="D307" s="137"/>
      <c r="E307" s="138"/>
      <c r="F307" s="138">
        <v>50</v>
      </c>
      <c r="G307" s="16" t="s">
        <v>740</v>
      </c>
    </row>
    <row r="308" spans="2:7">
      <c r="B308" s="134"/>
      <c r="C308" s="27"/>
      <c r="D308" s="137">
        <v>35.96</v>
      </c>
      <c r="E308" s="138"/>
      <c r="F308" s="138"/>
      <c r="G308" s="16" t="s">
        <v>741</v>
      </c>
    </row>
    <row r="309" spans="2:7">
      <c r="B309" s="134"/>
      <c r="C309" s="16"/>
      <c r="D309" s="137">
        <v>16.21</v>
      </c>
      <c r="E309" s="138"/>
      <c r="F309" s="138"/>
      <c r="G309" s="16" t="s">
        <v>761</v>
      </c>
    </row>
    <row r="310" spans="2:7">
      <c r="B310" s="134"/>
      <c r="C310" s="16"/>
      <c r="D310" s="137"/>
      <c r="E310" s="138"/>
      <c r="F310" s="138">
        <v>50</v>
      </c>
      <c r="G310" s="16" t="s">
        <v>760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762</v>
      </c>
    </row>
    <row r="312" spans="2:7">
      <c r="B312" s="134"/>
      <c r="C312" s="16"/>
      <c r="D312" s="137"/>
      <c r="E312" s="138"/>
      <c r="F312" s="138">
        <v>60</v>
      </c>
      <c r="G312" s="16" t="s">
        <v>763</v>
      </c>
    </row>
    <row r="313" spans="2:7">
      <c r="B313" s="134"/>
      <c r="C313" s="16"/>
      <c r="D313" s="137">
        <v>5.3</v>
      </c>
      <c r="E313" s="138"/>
      <c r="F313" s="138"/>
      <c r="G313" s="16" t="s">
        <v>765</v>
      </c>
    </row>
    <row r="314" spans="2:7">
      <c r="B314" s="134"/>
      <c r="C314" s="16"/>
      <c r="D314" s="137">
        <v>12.95</v>
      </c>
      <c r="E314" s="138"/>
      <c r="F314" s="138"/>
      <c r="G314" s="16" t="s">
        <v>778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776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777</v>
      </c>
    </row>
    <row r="317" spans="2:7">
      <c r="B317" s="134"/>
      <c r="C317" s="16"/>
      <c r="D317" s="137"/>
      <c r="E317" s="138"/>
      <c r="F317" s="138">
        <v>4.5</v>
      </c>
      <c r="G317" s="16" t="s">
        <v>782</v>
      </c>
    </row>
    <row r="318" spans="2:7">
      <c r="B318" s="134"/>
      <c r="C318" s="16"/>
      <c r="D318" s="137"/>
      <c r="E318" s="138"/>
      <c r="F318" s="138">
        <v>84.93</v>
      </c>
      <c r="G318" s="16" t="s">
        <v>783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309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751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723</v>
      </c>
    </row>
    <row r="407" spans="2:7">
      <c r="B407" s="134">
        <v>0.89</v>
      </c>
      <c r="C407" s="16" t="s">
        <v>321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309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751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309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100.83919055649221</v>
      </c>
      <c r="B467" s="134">
        <v>71.349999999999994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309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751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284.23919055649219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780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2562.96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2588.0700000000002</v>
      </c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'10'!A27+(B27-SUM(D27:F27))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'10'!A29+(B29-SUM(D29:F29))</f>
        <v>38.219999999999985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578</v>
      </c>
      <c r="K31" s="42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2182.11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786</v>
      </c>
      <c r="K40" s="42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792</v>
      </c>
      <c r="K45" s="42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791</v>
      </c>
      <c r="H46" s="1"/>
      <c r="I46" s="422"/>
      <c r="J46" s="426" t="s">
        <v>806</v>
      </c>
      <c r="K46" s="42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802</v>
      </c>
      <c r="H47" s="1"/>
      <c r="I47" s="422"/>
      <c r="J47" s="426" t="s">
        <v>807</v>
      </c>
      <c r="K47" s="42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804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810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815</v>
      </c>
      <c r="H50" s="1"/>
      <c r="I50" s="421" t="str">
        <f>AÑO!A13</f>
        <v>Gubernamental</v>
      </c>
      <c r="J50" s="424" t="s">
        <v>797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819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821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823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796</v>
      </c>
      <c r="K55" s="42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579</v>
      </c>
      <c r="K56" s="42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789</v>
      </c>
      <c r="K60" s="42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790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805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809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817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816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824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825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814.92159742449758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D127+D128+'10'!I127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773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812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753</v>
      </c>
      <c r="D257" s="137"/>
      <c r="E257" s="138"/>
      <c r="F257" s="138"/>
      <c r="G257" s="16" t="s">
        <v>302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216.48999999999972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356.48999999999972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612</v>
      </c>
      <c r="D306" s="137"/>
      <c r="E306" s="138"/>
      <c r="F306" s="138">
        <v>80</v>
      </c>
      <c r="G306" s="16" t="s">
        <v>795</v>
      </c>
    </row>
    <row r="307" spans="2:8">
      <c r="B307" s="134">
        <v>300</v>
      </c>
      <c r="C307" s="27" t="s">
        <v>799</v>
      </c>
      <c r="D307" s="137">
        <v>82.87</v>
      </c>
      <c r="E307" s="138"/>
      <c r="F307" s="138"/>
      <c r="G307" s="16" t="s">
        <v>798</v>
      </c>
    </row>
    <row r="308" spans="2:8">
      <c r="B308" s="134">
        <f>L56</f>
        <v>93.02</v>
      </c>
      <c r="C308" s="27" t="s">
        <v>363</v>
      </c>
      <c r="D308" s="137">
        <v>33</v>
      </c>
      <c r="E308" s="138"/>
      <c r="F308" s="138"/>
      <c r="G308" s="16" t="s">
        <v>801</v>
      </c>
    </row>
    <row r="309" spans="2:8">
      <c r="B309" s="134"/>
      <c r="C309" s="16"/>
      <c r="D309" s="137">
        <v>40.18</v>
      </c>
      <c r="E309" s="138"/>
      <c r="F309" s="138"/>
      <c r="G309" s="16" t="s">
        <v>803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808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811</v>
      </c>
    </row>
    <row r="312" spans="2:8">
      <c r="B312" s="134"/>
      <c r="C312" s="16"/>
      <c r="D312" s="137">
        <v>50</v>
      </c>
      <c r="E312" s="138"/>
      <c r="F312" s="138"/>
      <c r="G312" s="16" t="s">
        <v>814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794</v>
      </c>
    </row>
    <row r="327" spans="2:7">
      <c r="B327" s="134">
        <v>30</v>
      </c>
      <c r="C327" s="16" t="s">
        <v>793</v>
      </c>
      <c r="D327" s="137"/>
      <c r="E327" s="138"/>
      <c r="F327" s="138"/>
      <c r="G327" s="16"/>
    </row>
    <row r="328" spans="2:7">
      <c r="B328" s="134">
        <v>250</v>
      </c>
      <c r="C328" s="16" t="s">
        <v>806</v>
      </c>
      <c r="D328" s="137"/>
      <c r="E328" s="138"/>
      <c r="F328" s="138"/>
      <c r="G328" s="16"/>
    </row>
    <row r="329" spans="2:7">
      <c r="B329" s="134">
        <v>150</v>
      </c>
      <c r="C329" s="16" t="s">
        <v>807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752</v>
      </c>
      <c r="D359" s="135">
        <v>65</v>
      </c>
      <c r="E359" s="139"/>
      <c r="F359" s="139"/>
      <c r="G359" s="17" t="s">
        <v>785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813</v>
      </c>
    </row>
    <row r="368" spans="1:7">
      <c r="B368" s="134"/>
      <c r="C368" s="16"/>
      <c r="D368" s="137">
        <v>34</v>
      </c>
      <c r="E368" s="138"/>
      <c r="F368" s="138"/>
      <c r="G368" s="16" t="s">
        <v>820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784</v>
      </c>
    </row>
    <row r="407" spans="2:7">
      <c r="B407" s="134">
        <v>42.84</v>
      </c>
      <c r="C407" s="16" t="s">
        <v>786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224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'10'!A467+(B467-SUM(D467:F467))</f>
        <v>172.18919055649221</v>
      </c>
      <c r="B467" s="134">
        <v>71.349999999999994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370.58919055649221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822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2805.1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'11'!A27+(B27-SUM(D27:F27))</f>
        <v>656.16999999999985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'11'!A29+(B29-SUM(D29:F29))</f>
        <v>56.219999999999985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3335.11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797</v>
      </c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894.92159742449758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D127+D128+'11'!I127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773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841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827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800</v>
      </c>
      <c r="D257" s="137"/>
      <c r="E257" s="138"/>
      <c r="F257" s="138"/>
      <c r="G257" s="16" t="s">
        <v>302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266.48999999999972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451.48999999999972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752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'11'!A467+(B467-SUM(D467:F467))</f>
        <v>306.57919055649222</v>
      </c>
      <c r="B467" s="134">
        <f>71.35+63.04</f>
        <v>134.38999999999999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514.9791905564922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826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866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867</v>
      </c>
    </row>
    <row r="66" spans="2:7">
      <c r="C66" t="s">
        <v>846</v>
      </c>
      <c r="D66">
        <v>16420</v>
      </c>
    </row>
    <row r="67" spans="2:7">
      <c r="C67" t="s">
        <v>845</v>
      </c>
      <c r="D67">
        <f>D66*0.2</f>
        <v>3284</v>
      </c>
    </row>
    <row r="68" spans="2:7">
      <c r="B68" t="s">
        <v>837</v>
      </c>
      <c r="C68" t="s">
        <v>838</v>
      </c>
      <c r="D68" t="s">
        <v>840</v>
      </c>
      <c r="E68" t="s">
        <v>839</v>
      </c>
      <c r="F68" t="s">
        <v>93</v>
      </c>
      <c r="G68" t="s">
        <v>842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653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232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397</v>
      </c>
      <c r="B1" s="240"/>
      <c r="C1" s="241"/>
      <c r="D1" s="319"/>
      <c r="E1" s="242"/>
      <c r="F1" s="243" t="s">
        <v>398</v>
      </c>
      <c r="G1" s="244"/>
      <c r="H1" s="244"/>
      <c r="I1" s="244"/>
      <c r="J1" s="244"/>
      <c r="K1" s="245" t="s">
        <v>399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400</v>
      </c>
      <c r="B2" s="252" t="s">
        <v>401</v>
      </c>
      <c r="C2" s="252" t="s">
        <v>402</v>
      </c>
      <c r="D2" s="320" t="s">
        <v>457</v>
      </c>
      <c r="E2" s="252" t="s">
        <v>403</v>
      </c>
      <c r="F2" s="253" t="s">
        <v>404</v>
      </c>
      <c r="G2" s="254" t="s">
        <v>405</v>
      </c>
      <c r="H2" s="254" t="s">
        <v>406</v>
      </c>
      <c r="I2" s="254" t="s">
        <v>407</v>
      </c>
      <c r="J2" s="254" t="s">
        <v>7</v>
      </c>
      <c r="K2" s="255" t="s">
        <v>404</v>
      </c>
      <c r="L2" s="256" t="s">
        <v>405</v>
      </c>
      <c r="M2" s="256" t="s">
        <v>407</v>
      </c>
      <c r="N2" s="257" t="s">
        <v>7</v>
      </c>
      <c r="O2" s="258" t="s">
        <v>7</v>
      </c>
      <c r="P2" s="259" t="s">
        <v>408</v>
      </c>
      <c r="Q2" s="259" t="s">
        <v>750</v>
      </c>
      <c r="R2" s="259" t="s">
        <v>93</v>
      </c>
      <c r="S2" s="260" t="s">
        <v>409</v>
      </c>
      <c r="T2" s="261"/>
    </row>
    <row r="3" spans="1:27">
      <c r="A3" s="262" t="s">
        <v>410</v>
      </c>
      <c r="B3" s="262" t="s">
        <v>411</v>
      </c>
      <c r="C3" s="263">
        <v>5600</v>
      </c>
      <c r="D3" s="321">
        <f ca="1">_xlfn.DAYS(K3,F3)</f>
        <v>1630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43839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431</v>
      </c>
    </row>
    <row r="4" spans="1:27">
      <c r="A4" s="262" t="s">
        <v>412</v>
      </c>
      <c r="B4" s="262" t="s">
        <v>309</v>
      </c>
      <c r="C4" s="263">
        <v>4090</v>
      </c>
      <c r="D4" s="321">
        <f ca="1">_xlfn.DAYS(K4,F4)</f>
        <v>234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43839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431</v>
      </c>
      <c r="T4" s="339"/>
    </row>
    <row r="5" spans="1:27">
      <c r="A5" s="262" t="s">
        <v>412</v>
      </c>
      <c r="B5" s="262" t="s">
        <v>413</v>
      </c>
      <c r="C5" s="263">
        <v>5100</v>
      </c>
      <c r="D5" s="321">
        <f ca="1">_xlfn.DAYS(K5,F5)</f>
        <v>685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43839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431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414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400</v>
      </c>
      <c r="B12" s="290" t="s">
        <v>401</v>
      </c>
      <c r="C12" s="290" t="s">
        <v>402</v>
      </c>
      <c r="D12" s="323" t="s">
        <v>457</v>
      </c>
      <c r="E12" s="290" t="s">
        <v>403</v>
      </c>
      <c r="F12" s="291" t="s">
        <v>404</v>
      </c>
      <c r="G12" s="292" t="s">
        <v>405</v>
      </c>
      <c r="H12" s="292" t="s">
        <v>406</v>
      </c>
      <c r="I12" s="292" t="s">
        <v>407</v>
      </c>
      <c r="J12" s="292" t="s">
        <v>7</v>
      </c>
      <c r="K12" s="293" t="s">
        <v>404</v>
      </c>
      <c r="L12" s="294" t="s">
        <v>405</v>
      </c>
      <c r="M12" s="294" t="s">
        <v>407</v>
      </c>
      <c r="N12" s="295" t="s">
        <v>7</v>
      </c>
      <c r="O12" s="296" t="s">
        <v>7</v>
      </c>
      <c r="P12" s="297" t="s">
        <v>408</v>
      </c>
      <c r="Q12" s="297" t="s">
        <v>750</v>
      </c>
      <c r="R12" s="297" t="s">
        <v>93</v>
      </c>
      <c r="S12" s="298" t="s">
        <v>409</v>
      </c>
      <c r="T12" s="338" t="s">
        <v>496</v>
      </c>
      <c r="U12" s="338" t="s">
        <v>669</v>
      </c>
      <c r="X12" s="329" t="s">
        <v>427</v>
      </c>
      <c r="Y12" s="329" t="s">
        <v>428</v>
      </c>
      <c r="Z12" s="329" t="s">
        <v>429</v>
      </c>
      <c r="AA12" s="329" t="s">
        <v>430</v>
      </c>
    </row>
    <row r="13" spans="1:27">
      <c r="A13" s="262" t="s">
        <v>410</v>
      </c>
      <c r="B13" s="262" t="s">
        <v>415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415</v>
      </c>
      <c r="T13" s="59">
        <f>R13+R14</f>
        <v>-4.7120556421087471E-2</v>
      </c>
      <c r="X13" s="39">
        <f t="shared" ref="X13:X41" ca="1" si="1">D13/D$43</f>
        <v>3.5127478753541073E-2</v>
      </c>
      <c r="Y13" s="119">
        <f ca="1">X13*E13</f>
        <v>141.18678464589235</v>
      </c>
      <c r="Z13" s="38"/>
    </row>
    <row r="14" spans="1:27">
      <c r="A14" s="262" t="s">
        <v>410</v>
      </c>
      <c r="B14" s="262" t="s">
        <v>415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416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410</v>
      </c>
      <c r="B15" s="262" t="s">
        <v>417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417</v>
      </c>
      <c r="X15" s="39">
        <f t="shared" ca="1" si="1"/>
        <v>3.1161473087818695E-2</v>
      </c>
      <c r="Y15" s="119">
        <f t="shared" ca="1" si="3"/>
        <v>0</v>
      </c>
    </row>
    <row r="16" spans="1:27">
      <c r="A16" s="262" t="s">
        <v>410</v>
      </c>
      <c r="B16" s="262" t="s">
        <v>418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418</v>
      </c>
      <c r="X16" s="39">
        <f t="shared" ca="1" si="1"/>
        <v>7.9320113314447598E-3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419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420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410</v>
      </c>
      <c r="B19" s="262" t="s">
        <v>418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418</v>
      </c>
      <c r="T19" s="59">
        <f>R19+R21+R24</f>
        <v>0.24013324659263452</v>
      </c>
      <c r="X19" s="39">
        <f t="shared" ca="1" si="1"/>
        <v>0.49235127478753543</v>
      </c>
      <c r="Y19" s="119">
        <f t="shared" ca="1" si="3"/>
        <v>2177.8665895070826</v>
      </c>
    </row>
    <row r="20" spans="1:25">
      <c r="A20" s="262" t="s">
        <v>410</v>
      </c>
      <c r="B20" s="262" t="s">
        <v>418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458</v>
      </c>
      <c r="X20" s="39">
        <f t="shared" ca="1" si="1"/>
        <v>0.35807365439093486</v>
      </c>
      <c r="Y20" s="119">
        <f t="shared" ca="1" si="3"/>
        <v>215.05903682719548</v>
      </c>
    </row>
    <row r="21" spans="1:25">
      <c r="A21" s="262" t="s">
        <v>410</v>
      </c>
      <c r="B21" s="262" t="s">
        <v>418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421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419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422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410</v>
      </c>
      <c r="B24" s="262" t="s">
        <v>418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423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410</v>
      </c>
      <c r="B25" s="262" t="s">
        <v>418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418</v>
      </c>
      <c r="X25" s="39">
        <f t="shared" ca="1" si="1"/>
        <v>0.1631728045325779</v>
      </c>
      <c r="Y25" s="119">
        <f t="shared" ca="1" si="3"/>
        <v>99.203064639093483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424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424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412</v>
      </c>
      <c r="B28" s="262" t="s">
        <v>413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413</v>
      </c>
      <c r="T28" s="59">
        <f>R28+R29+R30+R34</f>
        <v>0.15363527784681297</v>
      </c>
      <c r="U28" s="59">
        <f>(L28/L5)-1</f>
        <v>0</v>
      </c>
      <c r="X28" s="39">
        <f t="shared" ca="1" si="1"/>
        <v>0.37167138810198302</v>
      </c>
      <c r="Y28" s="119">
        <f t="shared" ca="1" si="3"/>
        <v>1913.3988267875357</v>
      </c>
    </row>
    <row r="29" spans="1:25">
      <c r="A29" s="262" t="s">
        <v>412</v>
      </c>
      <c r="B29" s="262" t="s">
        <v>413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369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412</v>
      </c>
      <c r="B30" s="262" t="s">
        <v>413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369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412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425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412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426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412</v>
      </c>
      <c r="B33" s="262" t="s">
        <v>309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309</v>
      </c>
      <c r="X33" s="39">
        <f t="shared" ca="1" si="1"/>
        <v>1.2464589235127478E-2</v>
      </c>
      <c r="Y33" s="119">
        <f t="shared" ca="1" si="3"/>
        <v>51.467861983002827</v>
      </c>
    </row>
    <row r="34" spans="1:27">
      <c r="A34" s="262" t="s">
        <v>412</v>
      </c>
      <c r="B34" s="262" t="s">
        <v>413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369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412</v>
      </c>
      <c r="B35" s="262" t="s">
        <v>309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309</v>
      </c>
      <c r="U35" s="59"/>
      <c r="X35" s="39">
        <f t="shared" ca="1" si="1"/>
        <v>8.4419263456090646E-2</v>
      </c>
      <c r="Y35" s="119">
        <f t="shared" ca="1" si="3"/>
        <v>345.16899837960341</v>
      </c>
    </row>
    <row r="36" spans="1:27">
      <c r="A36" s="262" t="s">
        <v>412</v>
      </c>
      <c r="B36" s="262" t="s">
        <v>413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369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865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1.556373937677054</v>
      </c>
      <c r="Y42" s="327">
        <f ca="1">SUM(Y13:Y41)</f>
        <v>4943.3511627694052</v>
      </c>
      <c r="Z42" s="328">
        <f ca="1">P42/Y42</f>
        <v>0.88985891112287885</v>
      </c>
      <c r="AA42" s="328">
        <f ca="1">Z42/(D$43/365)</f>
        <v>0.18402181448150184</v>
      </c>
    </row>
    <row r="43" spans="1:27">
      <c r="C43" s="119" t="s">
        <v>460</v>
      </c>
      <c r="D43" s="46">
        <f ca="1">_xlfn.DAYS(TODAY(),F13)</f>
        <v>1765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432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433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434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435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436</v>
      </c>
      <c r="U62" s="41" t="s">
        <v>437</v>
      </c>
      <c r="V62" s="38"/>
    </row>
    <row r="63" spans="3:29" ht="15.75">
      <c r="G63" s="38"/>
      <c r="S63" t="s">
        <v>438</v>
      </c>
      <c r="T63" s="308" t="s">
        <v>439</v>
      </c>
      <c r="U63" s="309"/>
      <c r="V63" s="38"/>
    </row>
    <row r="64" spans="3:29">
      <c r="F64" s="38"/>
      <c r="G64" s="38"/>
      <c r="S64" t="s">
        <v>440</v>
      </c>
      <c r="T64" s="308" t="s">
        <v>441</v>
      </c>
      <c r="U64" t="s">
        <v>442</v>
      </c>
    </row>
    <row r="65" spans="6:22">
      <c r="F65" s="38"/>
      <c r="G65" s="38"/>
      <c r="H65" s="38"/>
      <c r="K65" t="s">
        <v>443</v>
      </c>
      <c r="T65" s="38"/>
      <c r="U65" t="s">
        <v>444</v>
      </c>
      <c r="V65" s="38"/>
    </row>
    <row r="66" spans="6:22">
      <c r="K66" s="310">
        <v>43587</v>
      </c>
      <c r="T66" s="305"/>
    </row>
    <row r="67" spans="6:22">
      <c r="K67" t="s">
        <v>445</v>
      </c>
      <c r="T67" s="311"/>
    </row>
    <row r="68" spans="6:22">
      <c r="K68" t="s">
        <v>446</v>
      </c>
      <c r="M68" t="s">
        <v>146</v>
      </c>
      <c r="T68" s="308"/>
      <c r="U68">
        <f>5000/12</f>
        <v>416.66666666666669</v>
      </c>
    </row>
    <row r="69" spans="6:22">
      <c r="K69" t="s">
        <v>447</v>
      </c>
      <c r="U69">
        <f>2.2/U68</f>
        <v>5.28E-3</v>
      </c>
    </row>
    <row r="70" spans="6:22">
      <c r="K70" t="s">
        <v>448</v>
      </c>
      <c r="U70">
        <f>100*U69</f>
        <v>0.52800000000000002</v>
      </c>
    </row>
    <row r="71" spans="6:22">
      <c r="K71" t="s">
        <v>449</v>
      </c>
      <c r="U71">
        <f>2.2*12</f>
        <v>26.400000000000002</v>
      </c>
    </row>
    <row r="72" spans="6:22">
      <c r="K72" t="s">
        <v>450</v>
      </c>
    </row>
    <row r="73" spans="6:22">
      <c r="K73" t="s">
        <v>451</v>
      </c>
    </row>
    <row r="74" spans="6:22">
      <c r="K74" t="s">
        <v>452</v>
      </c>
    </row>
    <row r="75" spans="6:22">
      <c r="K75" t="s">
        <v>453</v>
      </c>
    </row>
    <row r="76" spans="6:22">
      <c r="K76" t="s">
        <v>454</v>
      </c>
    </row>
    <row r="77" spans="6:22">
      <c r="K77" t="s">
        <v>455</v>
      </c>
    </row>
    <row r="78" spans="6:22">
      <c r="K78" t="s">
        <v>456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466</v>
      </c>
      <c r="B1" s="449"/>
      <c r="C1" s="449"/>
      <c r="D1" s="449"/>
      <c r="E1" s="449"/>
    </row>
    <row r="2" spans="1:5">
      <c r="A2" s="331" t="s">
        <v>462</v>
      </c>
      <c r="B2" s="332" t="s">
        <v>86</v>
      </c>
      <c r="C2" s="332" t="s">
        <v>463</v>
      </c>
      <c r="D2" s="332" t="s">
        <v>464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465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495</v>
      </c>
      <c r="B15" s="447"/>
      <c r="C15" s="447"/>
      <c r="D15" s="447"/>
      <c r="E15" s="447"/>
    </row>
    <row r="17" spans="1:4">
      <c r="A17" s="330" t="s">
        <v>467</v>
      </c>
    </row>
    <row r="19" spans="1:4">
      <c r="A19" t="s">
        <v>468</v>
      </c>
    </row>
    <row r="20" spans="1:4">
      <c r="A20" t="s">
        <v>469</v>
      </c>
    </row>
    <row r="21" spans="1:4">
      <c r="A21" t="s">
        <v>470</v>
      </c>
    </row>
    <row r="22" spans="1:4">
      <c r="A22" t="s">
        <v>471</v>
      </c>
    </row>
    <row r="23" spans="1:4">
      <c r="A23" t="s">
        <v>472</v>
      </c>
    </row>
    <row r="24" spans="1:4">
      <c r="A24" t="s">
        <v>473</v>
      </c>
    </row>
    <row r="25" spans="1:4">
      <c r="A25" t="s">
        <v>474</v>
      </c>
    </row>
    <row r="26" spans="1:4">
      <c r="A26" t="s">
        <v>835</v>
      </c>
    </row>
    <row r="27" spans="1:4">
      <c r="A27" t="s">
        <v>836</v>
      </c>
    </row>
    <row r="30" spans="1:4">
      <c r="A30" s="330" t="s">
        <v>475</v>
      </c>
      <c r="B30" s="330" t="s">
        <v>476</v>
      </c>
      <c r="C30" s="330" t="s">
        <v>477</v>
      </c>
      <c r="D30" s="330" t="s">
        <v>478</v>
      </c>
    </row>
    <row r="32" spans="1:4">
      <c r="A32" t="s">
        <v>479</v>
      </c>
      <c r="B32" t="s">
        <v>480</v>
      </c>
      <c r="C32" t="s">
        <v>481</v>
      </c>
      <c r="D32" t="s">
        <v>482</v>
      </c>
    </row>
    <row r="33" spans="1:4">
      <c r="A33" t="s">
        <v>483</v>
      </c>
      <c r="B33" t="s">
        <v>484</v>
      </c>
      <c r="C33" t="s">
        <v>485</v>
      </c>
      <c r="D33" t="s">
        <v>480</v>
      </c>
    </row>
    <row r="34" spans="1:4">
      <c r="A34" t="s">
        <v>486</v>
      </c>
      <c r="B34" t="s">
        <v>487</v>
      </c>
      <c r="C34" t="s">
        <v>488</v>
      </c>
      <c r="D34" t="s">
        <v>482</v>
      </c>
    </row>
    <row r="35" spans="1:4">
      <c r="A35" t="s">
        <v>489</v>
      </c>
      <c r="B35" t="s">
        <v>480</v>
      </c>
      <c r="C35" t="s">
        <v>485</v>
      </c>
      <c r="D35" t="s">
        <v>490</v>
      </c>
    </row>
    <row r="36" spans="1:4">
      <c r="A36" t="s">
        <v>321</v>
      </c>
      <c r="B36" t="s">
        <v>480</v>
      </c>
      <c r="C36" t="s">
        <v>481</v>
      </c>
      <c r="D36" t="s">
        <v>490</v>
      </c>
    </row>
    <row r="37" spans="1:4">
      <c r="A37" t="s">
        <v>491</v>
      </c>
      <c r="B37" t="s">
        <v>482</v>
      </c>
      <c r="C37" t="s">
        <v>488</v>
      </c>
      <c r="D37" t="s">
        <v>487</v>
      </c>
    </row>
    <row r="38" spans="1:4">
      <c r="A38" t="s">
        <v>492</v>
      </c>
      <c r="B38" t="s">
        <v>480</v>
      </c>
      <c r="C38" t="s">
        <v>488</v>
      </c>
      <c r="D38" t="s">
        <v>480</v>
      </c>
    </row>
    <row r="39" spans="1:4">
      <c r="A39" t="s">
        <v>493</v>
      </c>
      <c r="B39" t="s">
        <v>482</v>
      </c>
      <c r="C39" t="s">
        <v>481</v>
      </c>
      <c r="D39" t="s">
        <v>480</v>
      </c>
    </row>
    <row r="40" spans="1:4">
      <c r="A40" t="s">
        <v>494</v>
      </c>
      <c r="B40" t="s">
        <v>482</v>
      </c>
      <c r="C40" t="s">
        <v>481</v>
      </c>
      <c r="D40" t="s">
        <v>487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37" workbookViewId="0">
      <selection activeCell="S46" sqref="S46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244</v>
      </c>
      <c r="I7" t="s">
        <v>245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254</v>
      </c>
      <c r="I10" t="s">
        <v>255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189</v>
      </c>
      <c r="B51" t="s">
        <v>165</v>
      </c>
    </row>
    <row r="52" spans="1:3">
      <c r="A52" t="s">
        <v>198</v>
      </c>
      <c r="B52" t="s">
        <v>197</v>
      </c>
    </row>
    <row r="53" spans="1:3">
      <c r="A53" t="s">
        <v>200</v>
      </c>
      <c r="B53" t="s">
        <v>201</v>
      </c>
    </row>
    <row r="54" spans="1:3">
      <c r="A54" t="s">
        <v>33</v>
      </c>
      <c r="B54" t="s">
        <v>166</v>
      </c>
    </row>
    <row r="55" spans="1:3">
      <c r="A55" t="s">
        <v>706</v>
      </c>
      <c r="B55" t="s">
        <v>707</v>
      </c>
    </row>
    <row r="56" spans="1:3">
      <c r="A56" t="s">
        <v>834</v>
      </c>
      <c r="B56" t="s">
        <v>166</v>
      </c>
    </row>
    <row r="58" spans="1:3">
      <c r="A58" t="s">
        <v>787</v>
      </c>
      <c r="B58" t="s">
        <v>788</v>
      </c>
    </row>
    <row r="59" spans="1:3">
      <c r="A59" t="s">
        <v>869</v>
      </c>
      <c r="B59" t="s">
        <v>871</v>
      </c>
      <c r="C59" t="s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79" workbookViewId="0">
      <selection activeCell="J88" sqref="J88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32">
        <f>6296.48-M5</f>
        <v>5153.62</v>
      </c>
      <c r="L5" s="433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238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251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350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182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33579</v>
      </c>
      <c r="L19" s="419"/>
      <c r="M19" s="1"/>
      <c r="N19" s="1"/>
      <c r="R19" s="3"/>
    </row>
    <row r="20" spans="1:18" ht="16.5" thickBot="1">
      <c r="A20" s="112">
        <f>SUM(A6:A15)</f>
        <v>3030.2991905564922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21" t="str">
        <f>AÑO!A8</f>
        <v>Manolo Salario</v>
      </c>
      <c r="J25" s="424" t="s">
        <v>298</v>
      </c>
      <c r="K25" s="42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327</v>
      </c>
      <c r="K30" s="425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752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1464.73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321</v>
      </c>
      <c r="K40" s="42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849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868</v>
      </c>
      <c r="K45" s="425"/>
      <c r="L45" s="231">
        <v>1142.8599999999999</v>
      </c>
      <c r="M45" s="112" t="s">
        <v>879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877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888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21" t="str">
        <f>AÑO!A13</f>
        <v>Gubernamental</v>
      </c>
      <c r="J50" s="424" t="s">
        <v>797</v>
      </c>
      <c r="K50" s="425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21" t="str">
        <f>AÑO!A14</f>
        <v>Mutualite/DKV</v>
      </c>
      <c r="J55" s="424" t="s">
        <v>889</v>
      </c>
      <c r="K55" s="425"/>
      <c r="L55" s="231">
        <v>146.94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91.59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 t="s">
        <v>885</v>
      </c>
      <c r="K65" s="425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874</v>
      </c>
      <c r="H66" s="112"/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876</v>
      </c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21</v>
      </c>
      <c r="M72" s="1" t="s">
        <v>861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864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863</v>
      </c>
      <c r="K74">
        <f ca="1">DAY(TODAY())</f>
        <v>9</v>
      </c>
      <c r="L74">
        <f ca="1">K74*L73</f>
        <v>29.032258064516128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8.0322580645161281</v>
      </c>
      <c r="M75" s="1" t="s">
        <v>862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26.9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852</v>
      </c>
      <c r="D86" s="137"/>
      <c r="E86" s="138">
        <v>4.9000000000000004</v>
      </c>
      <c r="F86" s="138"/>
      <c r="G86" s="16" t="s">
        <v>883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883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890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47.02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855</v>
      </c>
      <c r="D106" s="137">
        <v>258.47000000000003</v>
      </c>
      <c r="E106" s="138"/>
      <c r="F106" s="138"/>
      <c r="G106" s="31" t="s">
        <v>853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854</v>
      </c>
      <c r="D107" s="137">
        <v>70.36</v>
      </c>
      <c r="E107" s="138"/>
      <c r="F107" s="138"/>
      <c r="G107" s="31" t="s">
        <v>854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856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40</v>
      </c>
      <c r="B109" s="134">
        <v>40</v>
      </c>
      <c r="C109" s="18" t="s">
        <v>857</v>
      </c>
      <c r="D109" s="137"/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183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858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5276.1615974244987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180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764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859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860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831</v>
      </c>
      <c r="D186" s="137">
        <v>64.95</v>
      </c>
      <c r="E186" s="138"/>
      <c r="F186" s="138"/>
      <c r="G186" s="16" t="s">
        <v>875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878</v>
      </c>
      <c r="D187" s="137">
        <v>25.99</v>
      </c>
      <c r="E187" s="138"/>
      <c r="F187" s="138"/>
      <c r="G187" s="16" t="s">
        <v>881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882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180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299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306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832</v>
      </c>
      <c r="D257" s="137"/>
      <c r="E257" s="138"/>
      <c r="F257" s="138"/>
      <c r="G257" s="16" t="s">
        <v>302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180</v>
      </c>
    </row>
    <row r="286" spans="1:8" ht="15.75">
      <c r="A286" s="112">
        <f>H286+(SUM(B286:B298)-SUM(D286:F298))</f>
        <v>80.579999999999771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884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885</v>
      </c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833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130.57999999999976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223</v>
      </c>
      <c r="D306" s="137">
        <v>170.25</v>
      </c>
      <c r="E306" s="138"/>
      <c r="F306" s="138"/>
      <c r="G306" s="16" t="s">
        <v>872</v>
      </c>
      <c r="H306" s="112"/>
    </row>
    <row r="307" spans="2:8" ht="15.75">
      <c r="B307" s="134"/>
      <c r="C307" s="27"/>
      <c r="D307" s="137">
        <v>32.369999999999997</v>
      </c>
      <c r="E307" s="138"/>
      <c r="F307" s="138"/>
      <c r="G307" s="16" t="s">
        <v>880</v>
      </c>
      <c r="H307" s="112"/>
    </row>
    <row r="308" spans="2:8" ht="15.75">
      <c r="B308" s="134"/>
      <c r="C308" s="27"/>
      <c r="D308" s="137"/>
      <c r="E308" s="138"/>
      <c r="F308" s="138">
        <v>80</v>
      </c>
      <c r="G308" s="16" t="s">
        <v>886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887</v>
      </c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277.62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847</v>
      </c>
      <c r="H406" s="112"/>
    </row>
    <row r="407" spans="2:8" ht="15.75">
      <c r="B407" s="134">
        <v>0.63</v>
      </c>
      <c r="C407" s="16" t="s">
        <v>850</v>
      </c>
      <c r="D407" s="137">
        <v>4.45</v>
      </c>
      <c r="E407" s="138"/>
      <c r="F407" s="138"/>
      <c r="G407" s="16" t="s">
        <v>851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113">
        <f>AÑO!C17</f>
        <v>1723.83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-3809.5899999999992</v>
      </c>
      <c r="C426" s="19" t="s">
        <v>224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-3809.5899999999992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848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826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39" zoomScaleNormal="100" workbookViewId="0">
      <selection activeCell="D228" sqref="D22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6296.48-M5</f>
        <v>6296.48</v>
      </c>
      <c r="L5" s="433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238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350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182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34721.86</v>
      </c>
      <c r="L19" s="419"/>
      <c r="M19" s="1"/>
      <c r="N19" s="1"/>
      <c r="R19" s="3"/>
    </row>
    <row r="20" spans="1:18" ht="16.5" thickBot="1">
      <c r="A20" s="112">
        <f>SUM(A6:A15)</f>
        <v>3607.0791905564924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198"/>
      <c r="M25" s="1"/>
      <c r="R25" s="3"/>
    </row>
    <row r="26" spans="1:18" ht="15.75">
      <c r="A26" s="112">
        <f>'01'!A26+(B26-SUM(D26:F26))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434.08999999999992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38.440000000000005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240</v>
      </c>
      <c r="K30" s="425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752</v>
      </c>
      <c r="D31" s="137"/>
      <c r="E31" s="138"/>
      <c r="F31" s="138"/>
      <c r="G31" s="16"/>
      <c r="H31" s="1"/>
      <c r="I31" s="422"/>
      <c r="J31" s="426" t="s">
        <v>236</v>
      </c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258</v>
      </c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2628.7300000000005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797</v>
      </c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233</v>
      </c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852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855</v>
      </c>
      <c r="D106" s="137">
        <v>258.47000000000003</v>
      </c>
      <c r="E106" s="138"/>
      <c r="F106" s="138"/>
      <c r="G106" s="31" t="s">
        <v>853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854</v>
      </c>
      <c r="D107" s="137">
        <v>70.36</v>
      </c>
      <c r="E107" s="138"/>
      <c r="F107" s="138"/>
      <c r="G107" s="31" t="s">
        <v>854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856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80</v>
      </c>
      <c r="B109" s="134">
        <v>40</v>
      </c>
      <c r="C109" s="18" t="s">
        <v>857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488.53</v>
      </c>
      <c r="B110" s="134">
        <v>100</v>
      </c>
      <c r="C110" s="18" t="s">
        <v>183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858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5800.8015974245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D127+D128+'01'!I127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859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230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239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247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831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252</v>
      </c>
    </row>
    <row r="247" spans="2:7" ht="15" customHeight="1">
      <c r="B247" s="134">
        <v>40</v>
      </c>
      <c r="C247" s="16" t="s">
        <v>260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234</v>
      </c>
    </row>
    <row r="267" spans="2:7">
      <c r="B267" s="134"/>
      <c r="C267" s="16"/>
      <c r="D267" s="137">
        <v>10.45</v>
      </c>
      <c r="E267" s="138"/>
      <c r="F267" s="138"/>
      <c r="G267" s="16" t="s">
        <v>237</v>
      </c>
    </row>
    <row r="268" spans="2:7">
      <c r="B268" s="134"/>
      <c r="C268" s="16"/>
      <c r="D268" s="137"/>
      <c r="E268" s="138">
        <v>57.96</v>
      </c>
      <c r="F268" s="138"/>
      <c r="G268" s="16" t="s">
        <v>250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242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249</v>
      </c>
    </row>
    <row r="308" spans="2:7">
      <c r="B308" s="134">
        <v>61.11</v>
      </c>
      <c r="C308" s="27" t="s">
        <v>259</v>
      </c>
      <c r="D308" s="137">
        <v>11.12</v>
      </c>
      <c r="E308" s="138"/>
      <c r="F308" s="138"/>
      <c r="G308" s="16" t="s">
        <v>253</v>
      </c>
    </row>
    <row r="309" spans="2:7">
      <c r="B309" s="134"/>
      <c r="C309" s="16"/>
      <c r="D309" s="137">
        <v>6</v>
      </c>
      <c r="E309" s="138"/>
      <c r="F309" s="138"/>
      <c r="G309" s="16" t="s">
        <v>252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241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235</v>
      </c>
    </row>
    <row r="347" spans="2:7">
      <c r="B347" s="134"/>
      <c r="C347" s="16"/>
      <c r="D347" s="137"/>
      <c r="E347" s="138"/>
      <c r="F347" s="138">
        <v>30</v>
      </c>
      <c r="G347" s="16" t="s">
        <v>248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239</v>
      </c>
    </row>
    <row r="368" spans="2:7">
      <c r="B368" s="134"/>
      <c r="C368" s="16"/>
      <c r="D368" s="137">
        <v>60</v>
      </c>
      <c r="E368" s="138"/>
      <c r="F368" s="138"/>
      <c r="G368" s="16" t="s">
        <v>243</v>
      </c>
    </row>
    <row r="369" spans="2:7">
      <c r="B369" s="134"/>
      <c r="C369" s="16"/>
      <c r="D369" s="137">
        <v>26.58</v>
      </c>
      <c r="E369" s="138"/>
      <c r="F369" s="138"/>
      <c r="G369" s="16" t="s">
        <v>246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228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256</v>
      </c>
    </row>
    <row r="426" spans="1:8" ht="15.75">
      <c r="A426" s="112">
        <v>3900</v>
      </c>
      <c r="B426" s="134">
        <f>A425-SUM(A426:A439)</f>
        <v>-4701.6000000000004</v>
      </c>
      <c r="C426" s="19" t="s">
        <v>224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-8056.069999999997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-4701.6000000000004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-409.67</v>
      </c>
      <c r="B467" s="134">
        <f>399.59-B6+50+30</f>
        <v>90.329999999999984</v>
      </c>
      <c r="C467" s="16" t="s">
        <v>181</v>
      </c>
      <c r="D467" s="137"/>
      <c r="E467" s="138">
        <v>500</v>
      </c>
      <c r="F467" s="138"/>
      <c r="G467" s="16" t="s">
        <v>231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-389.46000000000004</v>
      </c>
      <c r="B480" s="135">
        <f>SUM(B466:B479)</f>
        <v>110.53999999999999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238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1434.23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434.08999999999992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38.490000000000009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261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226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2206.5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278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262</v>
      </c>
      <c r="H46" s="1"/>
      <c r="I46" s="422"/>
      <c r="J46" s="426" t="s">
        <v>157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263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270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274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273</v>
      </c>
      <c r="H50" s="1"/>
      <c r="I50" s="421" t="str">
        <f>AÑO!A13</f>
        <v>Gubernamental</v>
      </c>
      <c r="J50" s="424" t="s">
        <v>227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280</v>
      </c>
      <c r="H51" s="1"/>
      <c r="I51" s="422"/>
      <c r="J51" s="426" t="s">
        <v>314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284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285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304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318</v>
      </c>
      <c r="H55" s="1"/>
      <c r="I55" s="421" t="str">
        <f>AÑO!A14</f>
        <v>Mutualite/DKV</v>
      </c>
      <c r="J55" s="439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265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264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272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276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286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287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317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319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266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289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290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291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295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-1162.47</v>
      </c>
      <c r="B109" s="134">
        <f>37.53-1370+80+10</f>
        <v>-1242.47</v>
      </c>
      <c r="C109" s="18" t="s">
        <v>311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764</v>
      </c>
      <c r="I127" s="113">
        <f>D127+D128+'02'!I127</f>
        <v>15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284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307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305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296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306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302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300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301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267</v>
      </c>
    </row>
    <row r="267" spans="1:7">
      <c r="B267" s="134">
        <v>4021.94</v>
      </c>
      <c r="C267" s="16" t="s">
        <v>314</v>
      </c>
      <c r="D267" s="137"/>
      <c r="E267" s="138"/>
      <c r="F267" s="138">
        <v>15</v>
      </c>
      <c r="G267" s="16" t="s">
        <v>320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292</v>
      </c>
    </row>
    <row r="308" spans="2:7">
      <c r="B308" s="134">
        <f>L55</f>
        <v>9.44</v>
      </c>
      <c r="C308" s="27" t="s">
        <v>303</v>
      </c>
      <c r="D308" s="137">
        <v>8.27</v>
      </c>
      <c r="E308" s="138"/>
      <c r="F308" s="138"/>
      <c r="G308" s="16" t="s">
        <v>293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313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315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288</v>
      </c>
    </row>
    <row r="327" spans="2:7">
      <c r="B327" s="134">
        <v>100</v>
      </c>
      <c r="C327" s="16" t="s">
        <v>278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269</v>
      </c>
    </row>
    <row r="348" spans="2:7">
      <c r="B348" s="134"/>
      <c r="C348" s="16"/>
      <c r="D348" s="137">
        <v>16</v>
      </c>
      <c r="E348" s="138"/>
      <c r="F348" s="138"/>
      <c r="G348" s="16" t="s">
        <v>282</v>
      </c>
    </row>
    <row r="349" spans="2:7">
      <c r="B349" s="134"/>
      <c r="C349" s="16"/>
      <c r="D349" s="137">
        <v>10</v>
      </c>
      <c r="E349" s="138"/>
      <c r="F349" s="138"/>
      <c r="G349" s="16" t="s">
        <v>283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294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309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228</v>
      </c>
    </row>
    <row r="407" spans="2:7">
      <c r="B407" s="134">
        <v>-984.2</v>
      </c>
      <c r="C407" s="16" t="s">
        <v>309</v>
      </c>
      <c r="D407" s="137">
        <v>44.93</v>
      </c>
      <c r="E407" s="138"/>
      <c r="F407" s="138"/>
      <c r="G407" s="16" t="s">
        <v>308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310</v>
      </c>
      <c r="D466" s="137"/>
      <c r="E466" s="138"/>
      <c r="F466" s="138"/>
      <c r="G466" s="16"/>
    </row>
    <row r="467" spans="1:9" ht="15.75">
      <c r="A467" s="112">
        <f>'02'!A467+(B467-SUM(D467:F467))</f>
        <v>-334.67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-794.46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316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1430.4700000000003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438.09999999999991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38.540000000000006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261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327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2250.56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321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341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342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348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326</v>
      </c>
      <c r="D48" s="137">
        <v>5.35</v>
      </c>
      <c r="E48" s="138"/>
      <c r="F48" s="138"/>
      <c r="G48" s="16" t="s">
        <v>353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358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361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330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2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345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349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361</v>
      </c>
      <c r="D67" s="137">
        <v>41</v>
      </c>
      <c r="E67" s="138"/>
      <c r="F67" s="138"/>
      <c r="G67" s="31" t="s">
        <v>355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339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356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362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351</v>
      </c>
      <c r="H108" s="1"/>
      <c r="M108" s="1"/>
      <c r="R108" s="3"/>
    </row>
    <row r="109" spans="1:18" ht="15.75">
      <c r="A109" s="112">
        <f>'03'!A109+(B109+B110+B111-SUM(D110:F119))</f>
        <v>393.40999999999985</v>
      </c>
      <c r="B109" s="134">
        <v>67.53</v>
      </c>
      <c r="C109" s="18" t="s">
        <v>352</v>
      </c>
      <c r="D109" s="137">
        <v>11</v>
      </c>
      <c r="E109" s="138"/>
      <c r="F109" s="138">
        <v>3</v>
      </c>
      <c r="G109" s="31" t="s">
        <v>357</v>
      </c>
      <c r="H109" s="1"/>
      <c r="M109" s="1"/>
      <c r="R109" s="3"/>
    </row>
    <row r="110" spans="1:18" ht="15.75">
      <c r="B110" s="134">
        <v>1370</v>
      </c>
      <c r="C110" s="18" t="s">
        <v>340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341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D127+D128+'03'!I127</f>
        <v>35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331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334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337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343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347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360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325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332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328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300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301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324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329</v>
      </c>
    </row>
    <row r="287" spans="2:8">
      <c r="B287" s="134"/>
      <c r="C287" s="16"/>
      <c r="D287" s="137">
        <v>9.65</v>
      </c>
      <c r="E287" s="138"/>
      <c r="F287" s="138"/>
      <c r="G287" s="16" t="s">
        <v>335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344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>
        <f>37.5+37.5</f>
        <v>75</v>
      </c>
      <c r="E306" s="138"/>
      <c r="F306" s="138"/>
      <c r="G306" s="16" t="s">
        <v>359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338</v>
      </c>
    </row>
    <row r="308" spans="2:7">
      <c r="B308" s="134">
        <f>L55+L56+L57</f>
        <v>37.980000000000004</v>
      </c>
      <c r="C308" s="27" t="s">
        <v>363</v>
      </c>
      <c r="D308" s="137"/>
      <c r="E308" s="138"/>
      <c r="F308" s="138">
        <v>50</v>
      </c>
      <c r="G308" s="16" t="s">
        <v>345</v>
      </c>
    </row>
    <row r="309" spans="2:7">
      <c r="B309" s="134"/>
      <c r="C309" s="16"/>
      <c r="D309" s="137">
        <v>63.9</v>
      </c>
      <c r="E309" s="138"/>
      <c r="F309" s="138"/>
      <c r="G309" s="16" t="s">
        <v>365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340</v>
      </c>
      <c r="D387" s="137"/>
      <c r="E387" s="138"/>
      <c r="F387" s="138"/>
      <c r="G387" s="16"/>
    </row>
    <row r="388" spans="2:7">
      <c r="B388" s="134">
        <v>106.26</v>
      </c>
      <c r="C388" s="27" t="s">
        <v>341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322</v>
      </c>
    </row>
    <row r="407" spans="2:7">
      <c r="B407" s="134">
        <v>3.75</v>
      </c>
      <c r="C407" s="16" t="s">
        <v>321</v>
      </c>
      <c r="D407" s="137"/>
      <c r="E407" s="138">
        <f>10+10</f>
        <v>20</v>
      </c>
      <c r="F407" s="138"/>
      <c r="G407" s="16" t="s">
        <v>346</v>
      </c>
    </row>
    <row r="408" spans="2:7">
      <c r="B408" s="134">
        <v>984.2</v>
      </c>
      <c r="C408" s="18" t="s">
        <v>340</v>
      </c>
      <c r="D408" s="137"/>
      <c r="E408" s="138"/>
      <c r="F408" s="138"/>
      <c r="G408" s="16"/>
    </row>
    <row r="409" spans="2:7">
      <c r="B409" s="134">
        <v>85.02</v>
      </c>
      <c r="C409" s="27" t="s">
        <v>341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364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340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'03'!A467+(B467-SUM(D467:F467))</f>
        <v>-284.67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340</v>
      </c>
      <c r="D469" s="137"/>
      <c r="E469" s="138"/>
      <c r="F469" s="138"/>
      <c r="G469" s="16"/>
    </row>
    <row r="470" spans="1:7">
      <c r="B470" s="134">
        <v>43.19</v>
      </c>
      <c r="C470" s="27" t="s">
        <v>341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-171.27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1631.5900000000001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38.590000000000003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261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2126.7999999999997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369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368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371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354</v>
      </c>
      <c r="D48" s="137">
        <v>27.34</v>
      </c>
      <c r="E48" s="138"/>
      <c r="F48" s="138"/>
      <c r="G48" s="16" t="s">
        <v>377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378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385</v>
      </c>
      <c r="H50" s="1"/>
      <c r="I50" s="421" t="str">
        <f>AÑO!A13</f>
        <v>Gubernamental</v>
      </c>
      <c r="J50" s="424" t="s">
        <v>379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386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390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393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498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499</v>
      </c>
      <c r="H55" s="1"/>
      <c r="I55" s="421" t="str">
        <f>AÑO!A14</f>
        <v>Mutualite/DKV</v>
      </c>
      <c r="J55" s="424" t="s">
        <v>373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367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375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376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383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384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391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500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372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387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396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501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-469.06000000000017</v>
      </c>
      <c r="B109" s="134">
        <f>67.53+120</f>
        <v>187.53</v>
      </c>
      <c r="C109" s="18" t="s">
        <v>505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309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D127+D128+'04'!I127</f>
        <v>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389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459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392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388</v>
      </c>
    </row>
    <row r="207" spans="2:12">
      <c r="B207" s="134">
        <v>15</v>
      </c>
      <c r="C207" s="16" t="s">
        <v>459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299</v>
      </c>
      <c r="D246" s="137">
        <v>15</v>
      </c>
      <c r="E246" s="138"/>
      <c r="F246" s="138"/>
      <c r="G246" s="16" t="s">
        <v>386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394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328</v>
      </c>
      <c r="D257" s="137"/>
      <c r="E257" s="138">
        <f>100.67</f>
        <v>100.67</v>
      </c>
      <c r="F257" s="138"/>
      <c r="G257" s="16" t="s">
        <v>503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300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374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381</v>
      </c>
    </row>
    <row r="287" spans="2:8">
      <c r="B287" s="134">
        <v>35</v>
      </c>
      <c r="C287" s="16" t="s">
        <v>504</v>
      </c>
      <c r="D287" s="137">
        <v>54.8</v>
      </c>
      <c r="E287" s="138"/>
      <c r="F287" s="138"/>
      <c r="G287" s="16" t="s">
        <v>506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524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>
        <v>4.4000000000000004</v>
      </c>
      <c r="E306" s="138"/>
      <c r="F306" s="138"/>
      <c r="G306" s="16" t="s">
        <v>366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373</v>
      </c>
    </row>
    <row r="308" spans="2:7">
      <c r="B308" s="134">
        <v>17.45</v>
      </c>
      <c r="C308" s="27" t="s">
        <v>382</v>
      </c>
      <c r="D308" s="137">
        <f>51.89+44.67</f>
        <v>96.56</v>
      </c>
      <c r="E308" s="138"/>
      <c r="F308" s="138"/>
      <c r="G308" s="16" t="s">
        <v>497</v>
      </c>
    </row>
    <row r="309" spans="2:7">
      <c r="B309" s="134">
        <v>170</v>
      </c>
      <c r="C309" s="16" t="s">
        <v>459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380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525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309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370</v>
      </c>
    </row>
    <row r="407" spans="2:7">
      <c r="B407" s="134">
        <v>45.86</v>
      </c>
      <c r="C407" s="16" t="s">
        <v>369</v>
      </c>
      <c r="D407" s="137"/>
      <c r="E407" s="138"/>
      <c r="F407" s="138"/>
      <c r="G407" s="16"/>
    </row>
    <row r="408" spans="2:7">
      <c r="B408" s="134">
        <v>-1094.26</v>
      </c>
      <c r="C408" s="16" t="s">
        <v>309</v>
      </c>
      <c r="D408" s="137">
        <v>44.48</v>
      </c>
      <c r="E408" s="138"/>
      <c r="F408" s="138"/>
      <c r="G408" s="16" t="s">
        <v>395</v>
      </c>
    </row>
    <row r="409" spans="2:7">
      <c r="B409" s="134">
        <f>29.29+20</f>
        <v>49.29</v>
      </c>
      <c r="C409" s="16" t="s">
        <v>459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309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310</v>
      </c>
      <c r="D466" s="137"/>
      <c r="E466" s="138"/>
      <c r="F466" s="138"/>
      <c r="G466" s="16"/>
    </row>
    <row r="467" spans="1:7" ht="15.75">
      <c r="A467" s="112">
        <f>'04'!A467+(B467-SUM(D467:F467))</f>
        <v>-184.67000000000002</v>
      </c>
      <c r="B467" s="134">
        <f>50+50</f>
        <v>100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-571.2700000000001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502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1631.26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38.64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517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327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258</v>
      </c>
      <c r="K35" s="42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2170.8599999999997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509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521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510</v>
      </c>
      <c r="D48" s="137">
        <v>27.2</v>
      </c>
      <c r="E48" s="138"/>
      <c r="F48" s="138"/>
      <c r="G48" s="16" t="s">
        <v>534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535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539</v>
      </c>
      <c r="H50" s="1"/>
      <c r="I50" s="421" t="str">
        <f>AÑO!A13</f>
        <v>Gubernamental</v>
      </c>
      <c r="J50" s="424" t="s">
        <v>530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546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548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554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559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563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518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531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519</v>
      </c>
      <c r="D67" s="137">
        <v>36.049999999999997</v>
      </c>
      <c r="E67" s="138"/>
      <c r="F67" s="138"/>
      <c r="G67" s="31" t="s">
        <v>542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543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545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549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550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557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513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515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532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533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553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555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556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561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-401.5300000000002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D127+D128+'05'!I127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562</v>
      </c>
      <c r="H146" s="1"/>
      <c r="M146" s="1"/>
      <c r="R146" s="3"/>
    </row>
    <row r="147" spans="1:22" ht="15.75">
      <c r="A147" s="1"/>
      <c r="B147" s="134">
        <v>-60</v>
      </c>
      <c r="C147" s="16" t="s">
        <v>511</v>
      </c>
      <c r="D147" s="137"/>
      <c r="E147" s="138"/>
      <c r="F147" s="138"/>
      <c r="G147" s="16" t="s">
        <v>512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544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546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547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564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299</v>
      </c>
      <c r="D246" s="137"/>
      <c r="E246" s="138">
        <v>21.08</v>
      </c>
      <c r="F246" s="138"/>
      <c r="G246" s="16" t="s">
        <v>538</v>
      </c>
    </row>
    <row r="247" spans="1:7" ht="15" customHeight="1">
      <c r="A247" s="112"/>
      <c r="B247" s="134">
        <f>-10</f>
        <v>-10</v>
      </c>
      <c r="C247" s="16" t="s">
        <v>566</v>
      </c>
      <c r="D247" s="137">
        <v>12.99</v>
      </c>
      <c r="E247" s="138"/>
      <c r="F247" s="138"/>
      <c r="G247" s="16" t="s">
        <v>546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559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328</v>
      </c>
      <c r="D257" s="137"/>
      <c r="E257" s="138">
        <v>100.67</v>
      </c>
      <c r="F257" s="138"/>
      <c r="G257" s="16" t="s">
        <v>302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300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523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552</v>
      </c>
      <c r="H267" s="89" t="s">
        <v>551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558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526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537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507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/>
      <c r="E306" s="138"/>
      <c r="F306" s="138">
        <v>50</v>
      </c>
      <c r="G306" s="16" t="s">
        <v>516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528</v>
      </c>
    </row>
    <row r="308" spans="2:7">
      <c r="B308" s="134"/>
      <c r="C308" s="27"/>
      <c r="D308" s="137"/>
      <c r="E308" s="138"/>
      <c r="F308" s="138">
        <v>50</v>
      </c>
      <c r="G308" s="16" t="s">
        <v>529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508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520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541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559</v>
      </c>
    </row>
    <row r="369" spans="2:7">
      <c r="B369" s="134"/>
      <c r="C369" s="16"/>
      <c r="D369" s="137">
        <v>11</v>
      </c>
      <c r="E369" s="138"/>
      <c r="F369" s="138"/>
      <c r="G369" s="16" t="s">
        <v>560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522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'05'!A467+(B467-SUM(D467:F467))</f>
        <v>-134.67000000000002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514</v>
      </c>
      <c r="D469" s="137"/>
      <c r="E469" s="138"/>
      <c r="F469" s="138"/>
      <c r="G469" s="16" t="s">
        <v>229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-561.2700000000001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1829.0500000000002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2568.54</v>
      </c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38.69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517</v>
      </c>
      <c r="K31" s="42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578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2214.92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565</v>
      </c>
      <c r="K40" s="42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570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576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510</v>
      </c>
      <c r="D48" s="137">
        <v>8.1</v>
      </c>
      <c r="E48" s="138"/>
      <c r="F48" s="138"/>
      <c r="G48" s="16" t="s">
        <v>595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573</v>
      </c>
      <c r="D49" s="137">
        <v>2.5499999999999998</v>
      </c>
      <c r="E49" s="138"/>
      <c r="F49" s="138"/>
      <c r="G49" s="16" t="s">
        <v>604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600</v>
      </c>
      <c r="D50" s="137">
        <v>69.97</v>
      </c>
      <c r="E50" s="138"/>
      <c r="F50" s="138"/>
      <c r="G50" s="16" t="s">
        <v>615</v>
      </c>
      <c r="H50" s="1"/>
      <c r="I50" s="421" t="str">
        <f>AÑO!A13</f>
        <v>Gubernamental</v>
      </c>
      <c r="J50" s="424" t="s">
        <v>530</v>
      </c>
      <c r="K50" s="42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618</v>
      </c>
      <c r="D51" s="137">
        <v>5.29</v>
      </c>
      <c r="E51" s="138"/>
      <c r="F51" s="138"/>
      <c r="G51" s="16" t="s">
        <v>617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579</v>
      </c>
      <c r="K55" s="42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579</v>
      </c>
      <c r="K56" s="42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579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594</v>
      </c>
      <c r="K60" s="42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602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601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614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603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609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-334.00000000000023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620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D127+D128+'06'!I127</f>
        <v>65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575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583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587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589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597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590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591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592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605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616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570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588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299</v>
      </c>
      <c r="D246" s="137">
        <v>33.729999999999997</v>
      </c>
      <c r="E246" s="138"/>
      <c r="F246" s="138"/>
      <c r="G246" s="16" t="s">
        <v>613</v>
      </c>
    </row>
    <row r="247" spans="1:7" ht="15" customHeight="1">
      <c r="A247" s="112"/>
      <c r="B247" s="134">
        <v>-5</v>
      </c>
      <c r="C247" s="16" t="s">
        <v>600</v>
      </c>
      <c r="D247" s="137">
        <v>20</v>
      </c>
      <c r="E247" s="138"/>
      <c r="F247" s="138"/>
      <c r="G247" s="16" t="s">
        <v>615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598</v>
      </c>
      <c r="D257" s="137"/>
      <c r="E257" s="138">
        <v>100.67</v>
      </c>
      <c r="F257" s="138"/>
      <c r="G257" s="16" t="s">
        <v>624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607</v>
      </c>
      <c r="D258" s="137">
        <v>349</v>
      </c>
      <c r="E258" s="138"/>
      <c r="F258" s="138"/>
      <c r="G258" s="16" t="s">
        <v>574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576</v>
      </c>
    </row>
    <row r="287" spans="2:8">
      <c r="B287" s="134"/>
      <c r="C287" s="16"/>
      <c r="D287" s="137"/>
      <c r="E287" s="138"/>
      <c r="F287" s="138">
        <v>50</v>
      </c>
      <c r="G287" s="16" t="s">
        <v>585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586</v>
      </c>
    </row>
    <row r="289" spans="2:8">
      <c r="B289" s="134"/>
      <c r="C289" s="16"/>
      <c r="D289" s="137">
        <v>26.31</v>
      </c>
      <c r="E289" s="138"/>
      <c r="F289" s="138"/>
      <c r="G289" s="16" t="s">
        <v>588</v>
      </c>
    </row>
    <row r="290" spans="2:8">
      <c r="B290" s="134"/>
      <c r="C290" s="16"/>
      <c r="D290" s="137"/>
      <c r="E290" s="138">
        <v>31.95</v>
      </c>
      <c r="F290" s="138"/>
      <c r="G290" s="16" t="s">
        <v>606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/>
      <c r="E306" s="138"/>
      <c r="F306" s="138">
        <v>50</v>
      </c>
      <c r="G306" s="16" t="s">
        <v>567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569</v>
      </c>
    </row>
    <row r="308" spans="2:7">
      <c r="B308" s="134">
        <f>37.49+14.27+14.27</f>
        <v>66.03</v>
      </c>
      <c r="C308" s="27" t="s">
        <v>579</v>
      </c>
      <c r="D308" s="137">
        <f>37.5+37.5</f>
        <v>75</v>
      </c>
      <c r="E308" s="138"/>
      <c r="F308" s="138"/>
      <c r="G308" s="16" t="s">
        <v>596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593</v>
      </c>
    </row>
    <row r="327" spans="2:7">
      <c r="B327" s="134">
        <v>100</v>
      </c>
      <c r="C327" s="16" t="s">
        <v>584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610</v>
      </c>
      <c r="D358" s="137">
        <v>64.3</v>
      </c>
      <c r="E358" s="138"/>
      <c r="F358" s="138"/>
      <c r="G358" s="16" t="s">
        <v>608</v>
      </c>
    </row>
    <row r="359" spans="1:7" ht="16.5" thickBot="1">
      <c r="A359" s="112"/>
      <c r="B359" s="135">
        <f>12.64+6.66</f>
        <v>19.3</v>
      </c>
      <c r="C359" s="17" t="s">
        <v>618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572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619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568</v>
      </c>
    </row>
    <row r="407" spans="2:7">
      <c r="B407" s="134">
        <v>1</v>
      </c>
      <c r="C407" s="16" t="s">
        <v>565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619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'06'!A467+(B467-SUM(D467:F467))</f>
        <v>-84.670000000000016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-496.2700000000001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626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1823.9700000000003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2571.5500000000002</v>
      </c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'07'!A27+(B27-SUM(D27:F27))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'07'!A29+(B29-SUM(D29:F29))</f>
        <v>38.739999999999995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240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294</v>
      </c>
      <c r="K35" s="42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2154.7899999999995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665</v>
      </c>
      <c r="K45" s="42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633</v>
      </c>
      <c r="H46" s="1"/>
      <c r="I46" s="422"/>
      <c r="J46" s="426" t="s">
        <v>666</v>
      </c>
      <c r="K46" s="42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630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611</v>
      </c>
      <c r="D48" s="137">
        <v>22.34</v>
      </c>
      <c r="E48" s="138"/>
      <c r="F48" s="138"/>
      <c r="G48" s="16" t="s">
        <v>634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75">
      <c r="A49" s="1"/>
      <c r="B49" s="134">
        <v>23.87</v>
      </c>
      <c r="C49" s="16" t="s">
        <v>618</v>
      </c>
      <c r="D49" s="137">
        <v>49.31</v>
      </c>
      <c r="E49" s="138"/>
      <c r="F49" s="138"/>
      <c r="G49" s="16" t="s">
        <v>640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647</v>
      </c>
      <c r="H50" s="1"/>
      <c r="I50" s="421" t="str">
        <f>AÑO!A13</f>
        <v>Gubernamental</v>
      </c>
      <c r="J50" s="424" t="s">
        <v>530</v>
      </c>
      <c r="K50" s="42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648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639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638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 t="s">
        <v>618</v>
      </c>
      <c r="D68" s="137">
        <v>19.5</v>
      </c>
      <c r="E68" s="138"/>
      <c r="F68" s="138">
        <v>5.5</v>
      </c>
      <c r="G68" s="16" t="s">
        <v>644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645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657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667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637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650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662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283.52999999999975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D127+D128+'07'!I127</f>
        <v>85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670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582</v>
      </c>
    </row>
    <row r="207" spans="2:12">
      <c r="B207" s="134"/>
      <c r="C207" s="16"/>
      <c r="D207" s="137">
        <v>23</v>
      </c>
      <c r="E207" s="138"/>
      <c r="F207" s="138"/>
      <c r="G207" s="16" t="s">
        <v>651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299</v>
      </c>
      <c r="D246" s="137">
        <f>55.4-D327</f>
        <v>45.4</v>
      </c>
      <c r="E246" s="138"/>
      <c r="F246" s="138"/>
      <c r="G246" s="16" t="s">
        <v>631</v>
      </c>
    </row>
    <row r="247" spans="1:7" ht="15" customHeight="1">
      <c r="A247" s="112"/>
      <c r="B247" s="134">
        <v>12.12</v>
      </c>
      <c r="C247" s="16" t="s">
        <v>618</v>
      </c>
      <c r="D247" s="137">
        <v>16.52</v>
      </c>
      <c r="E247" s="138"/>
      <c r="F247" s="138"/>
      <c r="G247" s="16" t="s">
        <v>646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652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599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627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183.38999999999973</v>
      </c>
      <c r="B286" s="133">
        <v>70</v>
      </c>
      <c r="C286" s="19" t="s">
        <v>31</v>
      </c>
      <c r="D286" s="137"/>
      <c r="E286" s="138"/>
      <c r="F286" s="138"/>
      <c r="G286" s="16" t="s">
        <v>581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658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203.38999999999973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>
        <v>35.96</v>
      </c>
      <c r="E306" s="138"/>
      <c r="F306" s="138"/>
      <c r="G306" s="16" t="s">
        <v>641</v>
      </c>
    </row>
    <row r="307" spans="2:7">
      <c r="B307" s="134">
        <v>13.15</v>
      </c>
      <c r="C307" s="27" t="s">
        <v>649</v>
      </c>
      <c r="D307" s="137"/>
      <c r="E307" s="138"/>
      <c r="F307" s="138">
        <v>70</v>
      </c>
      <c r="G307" s="16" t="s">
        <v>643</v>
      </c>
    </row>
    <row r="308" spans="2:7">
      <c r="B308" s="134">
        <v>14.27</v>
      </c>
      <c r="C308" s="27" t="s">
        <v>661</v>
      </c>
      <c r="D308" s="137">
        <v>8.68</v>
      </c>
      <c r="E308" s="138"/>
      <c r="F308" s="138"/>
      <c r="G308" s="16" t="s">
        <v>656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629</v>
      </c>
    </row>
    <row r="327" spans="2:7">
      <c r="B327" s="134">
        <v>192.98</v>
      </c>
      <c r="C327" s="16" t="s">
        <v>668</v>
      </c>
      <c r="D327" s="137">
        <v>10</v>
      </c>
      <c r="E327" s="138"/>
      <c r="F327" s="138"/>
      <c r="G327" s="16" t="s">
        <v>631</v>
      </c>
    </row>
    <row r="328" spans="2:7">
      <c r="B328" s="134"/>
      <c r="C328" s="16"/>
      <c r="D328" s="137">
        <v>187.13</v>
      </c>
      <c r="E328" s="138"/>
      <c r="F328" s="138"/>
      <c r="G328" s="16" t="s">
        <v>635</v>
      </c>
    </row>
    <row r="329" spans="2:7">
      <c r="B329" s="134"/>
      <c r="C329" s="16"/>
      <c r="D329" s="137">
        <v>32.14</v>
      </c>
      <c r="E329" s="138"/>
      <c r="F329" s="138"/>
      <c r="G329" s="16" t="s">
        <v>659</v>
      </c>
    </row>
    <row r="330" spans="2:7">
      <c r="B330" s="134"/>
      <c r="C330" s="16"/>
      <c r="D330" s="137">
        <v>7.49</v>
      </c>
      <c r="E330" s="138"/>
      <c r="F330" s="138"/>
      <c r="G330" s="16" t="s">
        <v>660</v>
      </c>
    </row>
    <row r="331" spans="2:7">
      <c r="B331" s="134"/>
      <c r="C331" s="16"/>
      <c r="D331" s="137"/>
      <c r="E331" s="138">
        <v>192.98</v>
      </c>
      <c r="F331" s="138"/>
      <c r="G331" s="16" t="s">
        <v>663</v>
      </c>
    </row>
    <row r="332" spans="2:7">
      <c r="B332" s="134"/>
      <c r="C332" s="16"/>
      <c r="D332" s="137"/>
      <c r="E332" s="138">
        <v>96.65</v>
      </c>
      <c r="F332" s="138"/>
      <c r="G332" s="16" t="s">
        <v>664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628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'07'!A467+(B467-SUM(D467:F467))+B476</f>
        <v>-584.67000000000007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619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-981.2700000000001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618</v>
      </c>
      <c r="D506" s="137">
        <v>23.43</v>
      </c>
      <c r="E506" s="138"/>
      <c r="F506" s="138"/>
      <c r="G506" s="16" t="s">
        <v>642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2020-01-09T16:39:47Z</dcterms:modified>
</cp:coreProperties>
</file>