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95E53064-8CCB-499D-A4E1-EF38AC456D74}" xr6:coauthVersionLast="41" xr6:coauthVersionMax="41" xr10:uidLastSave="{00000000-0000-0000-0000-000000000000}"/>
  <bookViews>
    <workbookView xWindow="-108" yWindow="12852" windowWidth="22164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9" l="1"/>
  <c r="F366" i="13"/>
  <c r="B3" i="19"/>
  <c r="P32" i="18"/>
  <c r="A109" i="13"/>
  <c r="L56" i="12"/>
  <c r="F366" i="12" l="1"/>
  <c r="B299" i="13" l="1"/>
  <c r="B130" i="13"/>
  <c r="B467" i="13"/>
  <c r="B256" i="13"/>
  <c r="B257" i="13"/>
  <c r="A359" i="13" l="1"/>
  <c r="A358" i="13"/>
  <c r="A346" i="13"/>
  <c r="A299" i="13"/>
  <c r="A286" i="13"/>
  <c r="A256" i="13"/>
  <c r="A246" i="13"/>
  <c r="A130" i="13"/>
  <c r="A129" i="13"/>
  <c r="A126" i="13"/>
  <c r="A79" i="13"/>
  <c r="A360" i="13" l="1"/>
  <c r="A300" i="13"/>
  <c r="B308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40" i="13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80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8" i="13" s="1"/>
  <c r="A109" i="11"/>
  <c r="A109" i="12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60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<sst xmlns="http://schemas.openxmlformats.org/spreadsheetml/2006/main" count="5885" uniqueCount="954">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</sst>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zoomScaleNormal="100" workbookViewId="0">
      <pane xSplit="1" topLeftCell="AP1" activePane="topRight" state="frozen"/>
      <selection pane="topRight" activeCell="AX36" sqref="AX36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30685.880000000005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229</v>
      </c>
      <c r="D7" s="360"/>
      <c r="E7" s="360"/>
      <c r="F7" s="361"/>
      <c r="G7" s="359" t="s">
        <v>229</v>
      </c>
      <c r="H7" s="360"/>
      <c r="I7" s="360"/>
      <c r="J7" s="361"/>
      <c r="K7" s="359" t="s">
        <v>229</v>
      </c>
      <c r="L7" s="360"/>
      <c r="M7" s="360"/>
      <c r="N7" s="361"/>
      <c r="O7" s="359" t="s">
        <v>229</v>
      </c>
      <c r="P7" s="360"/>
      <c r="Q7" s="360"/>
      <c r="R7" s="361"/>
      <c r="S7" s="359" t="s">
        <v>229</v>
      </c>
      <c r="T7" s="360"/>
      <c r="U7" s="360"/>
      <c r="V7" s="361"/>
      <c r="W7" s="359" t="s">
        <v>229</v>
      </c>
      <c r="X7" s="360"/>
      <c r="Y7" s="360"/>
      <c r="Z7" s="361"/>
      <c r="AA7" s="359" t="s">
        <v>229</v>
      </c>
      <c r="AB7" s="360"/>
      <c r="AC7" s="360"/>
      <c r="AD7" s="361"/>
      <c r="AE7" s="359" t="s">
        <v>229</v>
      </c>
      <c r="AF7" s="360"/>
      <c r="AG7" s="360"/>
      <c r="AH7" s="361"/>
      <c r="AI7" s="359" t="s">
        <v>229</v>
      </c>
      <c r="AJ7" s="360"/>
      <c r="AK7" s="360"/>
      <c r="AL7" s="361"/>
      <c r="AM7" s="359" t="s">
        <v>229</v>
      </c>
      <c r="AN7" s="360"/>
      <c r="AO7" s="360"/>
      <c r="AP7" s="361"/>
      <c r="AQ7" s="359" t="s">
        <v>229</v>
      </c>
      <c r="AR7" s="360"/>
      <c r="AS7" s="360"/>
      <c r="AT7" s="361"/>
      <c r="AU7" s="359" t="s">
        <v>229</v>
      </c>
      <c r="AV7" s="360"/>
      <c r="AW7" s="360"/>
      <c r="AX7" s="361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2588.0700000000002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75">
      <c r="A9" s="189" t="s">
        <v>212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6264.2300000000014</v>
      </c>
      <c r="BA9" s="112">
        <f t="shared" ca="1" si="0"/>
        <v>522.01916666666682</v>
      </c>
      <c r="BB9" s="1"/>
      <c r="BC9" s="1"/>
    </row>
    <row r="10" spans="1:55" ht="15.75">
      <c r="A10" s="190" t="s">
        <v>217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503.15</v>
      </c>
      <c r="BA11" s="112">
        <f t="shared" ca="1" si="0"/>
        <v>41.929166666666667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75">
      <c r="A13" s="189" t="s">
        <v>214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6473.5000000000009</v>
      </c>
      <c r="BA13" s="112">
        <f t="shared" ca="1" si="0"/>
        <v>539.45833333333337</v>
      </c>
      <c r="BB13" s="1"/>
      <c r="BC13" s="1"/>
    </row>
    <row r="14" spans="1:55" ht="15.75">
      <c r="A14" s="190" t="s">
        <v>215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466.40999999999997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667.43999999999994</v>
      </c>
      <c r="BA14" s="112">
        <f t="shared" ca="1" si="0"/>
        <v>55.62</v>
      </c>
      <c r="BB14" s="3"/>
      <c r="BC14" s="3"/>
    </row>
    <row r="15" spans="1:55" ht="15.75">
      <c r="A15" s="189" t="s">
        <v>216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511.3058333333334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4573.79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53724.29</v>
      </c>
      <c r="BA17" s="112">
        <f ca="1">AZ17/BC$17</f>
        <v>4477.024166666667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53724.290000000008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982.75999999999965</v>
      </c>
      <c r="AZ20" s="123">
        <f t="shared" ref="AZ20:AZ27" si="14">E20+I20+M20+Q20+U20+Y20+AC20+AG20+AK20+AO20+AS20+AW20</f>
        <v>6137.68</v>
      </c>
      <c r="BA20" s="21">
        <f t="shared" ref="BA20:BA45" si="15">AZ20/AZ$46</f>
        <v>0.12378280450634851</v>
      </c>
      <c r="BB20" s="22">
        <f>_xlfn.RANK.EQ(BA20,$BA$20:$BA$45,)</f>
        <v>2</v>
      </c>
      <c r="BC20" s="22">
        <f t="shared" ref="BC20:BC45" ca="1" si="16">AZ20/BC$17</f>
        <v>511.47333333333336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6671.6600000000008</v>
      </c>
      <c r="BF20" s="21">
        <f t="shared" ref="BF20:BF45" ca="1" si="18">BE20/BE$46</f>
        <v>0.12431543906829887</v>
      </c>
      <c r="BG20" s="22">
        <f ca="1">_xlfn.RANK.EQ(BF20,$BF$20:$BF$45,)</f>
        <v>2</v>
      </c>
      <c r="BH20" s="22">
        <f t="shared" ref="BH20:BH45" ca="1" si="19">BE20/BC$17</f>
        <v>555.97166666666669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533.98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0.26134336554717863</v>
      </c>
      <c r="BB21" s="22">
        <f t="shared" ref="BB21:BB45" si="20">_xlfn.RANK.EQ(BA21,$BA$20:$BA$45,)</f>
        <v>1</v>
      </c>
      <c r="BC21" s="22">
        <f t="shared" ca="1" si="16"/>
        <v>1079.8766666666668</v>
      </c>
      <c r="BE21" s="224">
        <f t="shared" ca="1" si="17"/>
        <v>13806</v>
      </c>
      <c r="BF21" s="21">
        <f t="shared" ca="1" si="18"/>
        <v>0.25725216089802749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847.47999999999956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108.6</v>
      </c>
      <c r="AX22" s="156">
        <f t="shared" si="13"/>
        <v>484.44999999999993</v>
      </c>
      <c r="AZ22" s="157">
        <f t="shared" si="14"/>
        <v>3562.8499999999995</v>
      </c>
      <c r="BA22" s="21">
        <f t="shared" si="15"/>
        <v>7.1854440934594782E-2</v>
      </c>
      <c r="BB22" s="22">
        <f t="shared" si="20"/>
        <v>5</v>
      </c>
      <c r="BC22" s="22">
        <f t="shared" ca="1" si="16"/>
        <v>296.90416666666664</v>
      </c>
      <c r="BE22" s="225">
        <f t="shared" ca="1" si="17"/>
        <v>3801.23</v>
      </c>
      <c r="BF22" s="21">
        <f t="shared" ca="1" si="18"/>
        <v>7.0829685033348466E-2</v>
      </c>
      <c r="BG22" s="22">
        <f t="shared" ca="1" si="21"/>
        <v>6</v>
      </c>
      <c r="BH22" s="22">
        <f t="shared" ca="1" si="19"/>
        <v>316.76916666666665</v>
      </c>
      <c r="BJ22" s="225">
        <f t="shared" ca="1" si="22"/>
        <v>238.37999999999977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3.9504060461109949E-2</v>
      </c>
      <c r="BB23" s="22">
        <f t="shared" si="20"/>
        <v>8</v>
      </c>
      <c r="BC23" s="22">
        <f t="shared" ca="1" si="16"/>
        <v>163.23166666666665</v>
      </c>
      <c r="BE23" s="224">
        <f t="shared" ca="1" si="17"/>
        <v>2280</v>
      </c>
      <c r="BF23" s="21">
        <f t="shared" ca="1" si="18"/>
        <v>4.2484059600717272E-2</v>
      </c>
      <c r="BG23" s="22">
        <f t="shared" ca="1" si="21"/>
        <v>9</v>
      </c>
      <c r="BH23" s="22">
        <f t="shared" ca="1" si="19"/>
        <v>190</v>
      </c>
      <c r="BJ23" s="224">
        <f t="shared" ca="1" si="22"/>
        <v>321.22000000000003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0</v>
      </c>
      <c r="AX24" s="156">
        <f t="shared" si="13"/>
        <v>402.97</v>
      </c>
      <c r="AZ24" s="157">
        <f t="shared" si="14"/>
        <v>1507.0300000000002</v>
      </c>
      <c r="BA24" s="21">
        <f t="shared" si="15"/>
        <v>3.0393308200362748E-2</v>
      </c>
      <c r="BB24" s="22">
        <f t="shared" si="20"/>
        <v>10</v>
      </c>
      <c r="BC24" s="22">
        <f t="shared" ca="1" si="16"/>
        <v>125.58583333333335</v>
      </c>
      <c r="BE24" s="225">
        <f t="shared" ca="1" si="17"/>
        <v>1910</v>
      </c>
      <c r="BF24" s="21">
        <f t="shared" ca="1" si="18"/>
        <v>3.558971659533771E-2</v>
      </c>
      <c r="BG24" s="22">
        <f t="shared" ca="1" si="21"/>
        <v>11</v>
      </c>
      <c r="BH24" s="22">
        <f t="shared" ca="1" si="19"/>
        <v>159.16666666666666</v>
      </c>
      <c r="BJ24" s="225">
        <f t="shared" ca="1" si="22"/>
        <v>402.97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50</v>
      </c>
      <c r="AX25" s="151">
        <f t="shared" si="13"/>
        <v>4652.4215974244962</v>
      </c>
      <c r="AZ25" s="152">
        <f t="shared" si="14"/>
        <v>4109.7500000000009</v>
      </c>
      <c r="BA25" s="21">
        <f t="shared" si="15"/>
        <v>8.2884148541462879E-2</v>
      </c>
      <c r="BB25" s="22">
        <f t="shared" si="20"/>
        <v>4</v>
      </c>
      <c r="BC25" s="22">
        <f t="shared" ca="1" si="16"/>
        <v>342.47916666666674</v>
      </c>
      <c r="BE25" s="224">
        <f t="shared" ca="1" si="17"/>
        <v>5599.6215974244988</v>
      </c>
      <c r="BF25" s="21">
        <f t="shared" ca="1" si="18"/>
        <v>0.1043397621431781</v>
      </c>
      <c r="BG25" s="22">
        <f t="shared" ca="1" si="21"/>
        <v>3</v>
      </c>
      <c r="BH25" s="22">
        <f t="shared" ca="1" si="19"/>
        <v>466.63513311870821</v>
      </c>
      <c r="BJ25" s="224">
        <f t="shared" ca="1" si="22"/>
        <v>1489.8715974244978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40.579999999999977</v>
      </c>
      <c r="AZ26" s="157">
        <f t="shared" si="14"/>
        <v>625.41000000000008</v>
      </c>
      <c r="BA26" s="21">
        <f t="shared" si="15"/>
        <v>1.2613072653888021E-2</v>
      </c>
      <c r="BB26" s="22">
        <f t="shared" si="20"/>
        <v>15</v>
      </c>
      <c r="BC26" s="22">
        <f t="shared" ca="1" si="16"/>
        <v>52.117500000000007</v>
      </c>
      <c r="BE26" s="225">
        <f t="shared" ca="1" si="17"/>
        <v>646.45000000000005</v>
      </c>
      <c r="BF26" s="21">
        <f t="shared" ca="1" si="18"/>
        <v>1.2045535231966527E-2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21.040000000000028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8.3703964987283282E-3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1.0062014115959353E-2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6.8571948321514073E-2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7.6024851988294076E-2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0</v>
      </c>
      <c r="AX29" s="160">
        <f t="shared" si="13"/>
        <v>47.049999999999983</v>
      </c>
      <c r="AZ29" s="152">
        <f t="shared" si="23"/>
        <v>1021.9399999999999</v>
      </c>
      <c r="BA29" s="21">
        <f t="shared" si="15"/>
        <v>2.0610165280239078E-2</v>
      </c>
      <c r="BB29" s="22">
        <f t="shared" si="20"/>
        <v>13</v>
      </c>
      <c r="BC29" s="22">
        <f t="shared" ca="1" si="16"/>
        <v>85.161666666666662</v>
      </c>
      <c r="BE29" s="224">
        <f t="shared" ca="1" si="17"/>
        <v>1115.6600000000001</v>
      </c>
      <c r="BF29" s="21">
        <f t="shared" ca="1" si="18"/>
        <v>2.0788493830761506E-2</v>
      </c>
      <c r="BG29" s="22">
        <f t="shared" ca="1" si="21"/>
        <v>14</v>
      </c>
      <c r="BH29" s="22">
        <f t="shared" ca="1" si="19"/>
        <v>92.971666666666678</v>
      </c>
      <c r="BJ29" s="224">
        <f t="shared" ca="1" si="22"/>
        <v>93.719999999999914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5.3696464624769114E-3</v>
      </c>
      <c r="BB30" s="22">
        <f t="shared" si="20"/>
        <v>19</v>
      </c>
      <c r="BC30" s="22">
        <f t="shared" ca="1" si="16"/>
        <v>22.1875</v>
      </c>
      <c r="BE30" s="225">
        <f t="shared" ca="1" si="17"/>
        <v>460</v>
      </c>
      <c r="BF30" s="21">
        <f t="shared" ca="1" si="18"/>
        <v>8.5713453580394498E-3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193.75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4.8660593369631135E-3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4.4720062737597125E-3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3.8846392212691663E-2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4.8117483170491325E-2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9.0428879965360004E-2</v>
      </c>
      <c r="BB33" s="22">
        <f t="shared" si="20"/>
        <v>3</v>
      </c>
      <c r="BC33" s="22">
        <f t="shared" ca="1" si="16"/>
        <v>373.6541666666667</v>
      </c>
      <c r="BE33" s="224">
        <f t="shared" ca="1" si="17"/>
        <v>4671.9400000000005</v>
      </c>
      <c r="BF33" s="21">
        <f t="shared" ca="1" si="18"/>
        <v>8.7053937460953981E-2</v>
      </c>
      <c r="BG33" s="22">
        <f t="shared" ca="1" si="21"/>
        <v>4</v>
      </c>
      <c r="BH33" s="22">
        <f t="shared" ca="1" si="19"/>
        <v>389.32833333333338</v>
      </c>
      <c r="BJ33" s="224">
        <f t="shared" ca="1" si="22"/>
        <v>188.09000000000026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0</v>
      </c>
      <c r="AX34" s="161">
        <f t="shared" si="13"/>
        <v>313.45999999999981</v>
      </c>
      <c r="AZ34" s="152">
        <f t="shared" si="23"/>
        <v>1297.5500000000002</v>
      </c>
      <c r="BA34" s="21">
        <f t="shared" si="15"/>
        <v>2.6168581285960255E-2</v>
      </c>
      <c r="BB34" s="22">
        <f t="shared" si="20"/>
        <v>11</v>
      </c>
      <c r="BC34" s="22">
        <f t="shared" ca="1" si="16"/>
        <v>108.12916666666668</v>
      </c>
      <c r="BE34" s="225">
        <f t="shared" ca="1" si="17"/>
        <v>1509.4099999999999</v>
      </c>
      <c r="BF34" s="21">
        <f t="shared" ca="1" si="18"/>
        <v>2.8125379123648531E-2</v>
      </c>
      <c r="BG34" s="22">
        <f t="shared" ca="1" si="21"/>
        <v>12</v>
      </c>
      <c r="BH34" s="22">
        <f t="shared" ca="1" si="19"/>
        <v>125.78416666666665</v>
      </c>
      <c r="BJ34" s="225">
        <f t="shared" ca="1" si="22"/>
        <v>211.8599999999999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130</v>
      </c>
      <c r="AW35" s="186">
        <f>SUM('12'!D320:F320)</f>
        <v>50</v>
      </c>
      <c r="AX35" s="187">
        <f t="shared" si="13"/>
        <v>1589.9500000000005</v>
      </c>
      <c r="AZ35" s="188">
        <f t="shared" si="23"/>
        <v>2352.5699999999997</v>
      </c>
      <c r="BA35" s="21">
        <f t="shared" si="15"/>
        <v>4.7445893627152326E-2</v>
      </c>
      <c r="BB35" s="22">
        <f t="shared" si="20"/>
        <v>7</v>
      </c>
      <c r="BC35" s="22">
        <f t="shared" ca="1" si="16"/>
        <v>196.04749999999999</v>
      </c>
      <c r="BE35" s="224">
        <f t="shared" ca="1" si="17"/>
        <v>2452.92</v>
      </c>
      <c r="BF35" s="21">
        <f t="shared" ca="1" si="18"/>
        <v>4.5706140120961143E-2</v>
      </c>
      <c r="BG35" s="22">
        <f t="shared" ca="1" si="21"/>
        <v>8</v>
      </c>
      <c r="BH35" s="22">
        <f t="shared" ca="1" si="19"/>
        <v>204.41</v>
      </c>
      <c r="BJ35" s="224">
        <f t="shared" ca="1" si="22"/>
        <v>100.35000000000014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2.5703111087447696E-2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4.0415197698319187E-2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894.5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1.0022331678978032E-2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1.1446472724877463E-2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8.5</v>
      </c>
      <c r="AX38" s="156">
        <f t="shared" si="13"/>
        <v>196.20000000000007</v>
      </c>
      <c r="AZ38" s="157">
        <f t="shared" si="23"/>
        <v>688</v>
      </c>
      <c r="BA38" s="21">
        <f t="shared" si="15"/>
        <v>1.3875368135902779E-2</v>
      </c>
      <c r="BB38" s="22">
        <f t="shared" si="20"/>
        <v>14</v>
      </c>
      <c r="BC38" s="22">
        <f t="shared" ca="1" si="16"/>
        <v>57.333333333333336</v>
      </c>
      <c r="BE38" s="225">
        <f t="shared" ca="1" si="17"/>
        <v>845</v>
      </c>
      <c r="BF38" s="21">
        <f t="shared" ca="1" si="18"/>
        <v>1.5745188755528987E-2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157.00000000000006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5.6697733034814053E-3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2.3199999999999998</v>
      </c>
      <c r="AX40" s="156">
        <f t="shared" si="13"/>
        <v>1520.9861040380199</v>
      </c>
      <c r="AZ40" s="157">
        <f t="shared" si="23"/>
        <v>175.10000000000002</v>
      </c>
      <c r="BA40" s="21">
        <f t="shared" si="15"/>
        <v>3.5313618613322341E-3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891.57610403801925</v>
      </c>
      <c r="BF40" s="21">
        <f t="shared" ca="1" si="18"/>
        <v>1.6613058044967769E-2</v>
      </c>
      <c r="BG40" s="22">
        <f t="shared" ca="1" si="21"/>
        <v>15</v>
      </c>
      <c r="BH40" s="22">
        <f t="shared" ca="1" si="19"/>
        <v>74.298008669834942</v>
      </c>
      <c r="BJ40" s="225">
        <f t="shared" ca="1" si="22"/>
        <v>716.47610403801946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3806.9400000000014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-4743.0599999999968</v>
      </c>
      <c r="BF41" s="21">
        <f t="shared" ca="1" si="18"/>
        <v>-8.8379141986744694E-2</v>
      </c>
      <c r="BG41" s="22">
        <f t="shared" ca="1" si="21"/>
        <v>26</v>
      </c>
      <c r="BH41" s="22">
        <f t="shared" ca="1" si="19"/>
        <v>-395.25499999999971</v>
      </c>
      <c r="BJ41" s="224">
        <f t="shared" ca="1" si="22"/>
        <v>-4743.0599999999968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3.6894051758517966E-5</v>
      </c>
      <c r="BG42" s="22">
        <f t="shared" ca="1" si="21"/>
        <v>24</v>
      </c>
      <c r="BH42" s="22">
        <f t="shared" ca="1" si="19"/>
        <v>0.16500000000000151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1.008384312202237E-2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2.2208713407217837E-2</v>
      </c>
      <c r="BG43" s="22">
        <f t="shared" ca="1" si="21"/>
        <v>13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3.7308202782858364E-3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4.6583398684997004E-4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-3.4106051316484809E-13</v>
      </c>
      <c r="AW46" s="219">
        <f>SUM(AW20:AW45)</f>
        <v>219.42</v>
      </c>
      <c r="AX46" s="220">
        <f>SUM(AX20:AX45)</f>
        <v>30466.45768</v>
      </c>
      <c r="AZ46" s="227">
        <f>SUM(AZ20:AZ45)</f>
        <v>49584.26999999999</v>
      </c>
      <c r="BA46" s="1"/>
      <c r="BB46" s="1"/>
      <c r="BC46" s="124">
        <f ca="1">SUM(BC20:BC45)</f>
        <v>4132.0225000000009</v>
      </c>
      <c r="BE46" s="227">
        <f ca="1">SUM(BE20:BE45)</f>
        <v>53667.18768000001</v>
      </c>
      <c r="BF46" s="1"/>
      <c r="BG46" s="1"/>
      <c r="BH46" s="124">
        <f ca="1">SUM(BH20:BH45)</f>
        <v>4472.2656400000005</v>
      </c>
      <c r="BJ46" s="227">
        <f ca="1">SUM(BJ20:BJ45)</f>
        <v>4082.9176800000041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3.4106051316484809E-13</v>
      </c>
      <c r="AW47" s="125">
        <f>AU17-AW46</f>
        <v>-219.42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49584.270000000011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108.6</v>
      </c>
      <c r="AX50" s="119" t="s">
        <v>834</v>
      </c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234</v>
      </c>
      <c r="E54" s="374"/>
      <c r="F54" s="98"/>
      <c r="G54" s="95">
        <v>43497</v>
      </c>
      <c r="H54" s="373" t="s">
        <v>269</v>
      </c>
      <c r="I54" s="374"/>
      <c r="J54" s="100">
        <v>500</v>
      </c>
      <c r="K54" s="95">
        <v>43539</v>
      </c>
      <c r="L54" s="379" t="s">
        <v>256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242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475</v>
      </c>
      <c r="AC54" s="387"/>
      <c r="AD54" s="239">
        <v>15</v>
      </c>
      <c r="AE54" s="95"/>
      <c r="AF54" s="386" t="s">
        <v>475</v>
      </c>
      <c r="AG54" s="387"/>
      <c r="AH54" s="239">
        <v>14</v>
      </c>
      <c r="AI54" s="95"/>
      <c r="AJ54" s="386" t="s">
        <v>475</v>
      </c>
      <c r="AK54" s="387"/>
      <c r="AL54" s="239">
        <v>15</v>
      </c>
      <c r="AM54" s="95"/>
      <c r="AN54" s="386" t="s">
        <v>475</v>
      </c>
      <c r="AO54" s="387"/>
      <c r="AP54" s="239">
        <v>11</v>
      </c>
      <c r="AQ54" s="95"/>
      <c r="AR54" s="386" t="s">
        <v>475</v>
      </c>
      <c r="AS54" s="387"/>
      <c r="AT54" s="239">
        <v>7</v>
      </c>
      <c r="AU54" s="95"/>
      <c r="AV54" s="386" t="s">
        <v>475</v>
      </c>
      <c r="AW54" s="387"/>
      <c r="AX54" s="239">
        <v>2</v>
      </c>
    </row>
    <row r="55" spans="1:62">
      <c r="C55" s="96"/>
      <c r="D55" s="377" t="s">
        <v>235</v>
      </c>
      <c r="E55" s="378"/>
      <c r="F55" s="98">
        <v>121.4</v>
      </c>
      <c r="G55" s="96">
        <v>43516</v>
      </c>
      <c r="H55" s="377" t="s">
        <v>310</v>
      </c>
      <c r="I55" s="378"/>
      <c r="J55" s="100"/>
      <c r="K55" s="96">
        <v>43553</v>
      </c>
      <c r="L55" s="377" t="s">
        <v>296</v>
      </c>
      <c r="M55" s="378"/>
      <c r="N55" s="100">
        <v>4421.9399999999996</v>
      </c>
      <c r="O55" s="96">
        <v>43565</v>
      </c>
      <c r="P55" s="377" t="s">
        <v>322</v>
      </c>
      <c r="Q55" s="378"/>
      <c r="R55" s="100">
        <v>10</v>
      </c>
      <c r="S55" s="96">
        <v>43607</v>
      </c>
      <c r="T55" s="377" t="s">
        <v>310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234</v>
      </c>
      <c r="AC55" s="378"/>
      <c r="AD55" s="100"/>
      <c r="AE55" s="96">
        <v>43682</v>
      </c>
      <c r="AF55" s="377" t="s">
        <v>322</v>
      </c>
      <c r="AG55" s="378"/>
      <c r="AH55" s="100">
        <v>10</v>
      </c>
      <c r="AI55" s="96">
        <v>43711</v>
      </c>
      <c r="AJ55" s="377" t="s">
        <v>322</v>
      </c>
      <c r="AK55" s="378"/>
      <c r="AL55" s="100" t="s">
        <v>779</v>
      </c>
      <c r="AM55" s="96">
        <v>43740</v>
      </c>
      <c r="AN55" s="388" t="s">
        <v>153</v>
      </c>
      <c r="AO55" s="389"/>
      <c r="AP55" s="100">
        <v>10</v>
      </c>
      <c r="AQ55" s="96">
        <v>43798</v>
      </c>
      <c r="AR55" s="377" t="s">
        <v>153</v>
      </c>
      <c r="AS55" s="378"/>
      <c r="AT55" s="100">
        <v>10</v>
      </c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322</v>
      </c>
      <c r="I56" s="378"/>
      <c r="J56" s="100">
        <v>10</v>
      </c>
      <c r="K56" s="96">
        <v>43529</v>
      </c>
      <c r="L56" s="377" t="s">
        <v>324</v>
      </c>
      <c r="M56" s="378"/>
      <c r="N56" s="100">
        <v>3362.6</v>
      </c>
      <c r="O56" s="96">
        <v>43576</v>
      </c>
      <c r="P56" s="386" t="s">
        <v>234</v>
      </c>
      <c r="Q56" s="387"/>
      <c r="R56" s="102"/>
      <c r="S56" s="96">
        <v>43615</v>
      </c>
      <c r="T56" s="377" t="s">
        <v>234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234</v>
      </c>
      <c r="AK56" s="389"/>
      <c r="AL56" s="100"/>
      <c r="AM56" s="96">
        <v>43769</v>
      </c>
      <c r="AN56" s="388" t="s">
        <v>153</v>
      </c>
      <c r="AO56" s="389"/>
      <c r="AP56" s="100" t="s">
        <v>779</v>
      </c>
      <c r="AQ56" s="96">
        <v>43791</v>
      </c>
      <c r="AR56" s="377" t="s">
        <v>933</v>
      </c>
      <c r="AS56" s="378"/>
      <c r="AT56" s="100">
        <v>10</v>
      </c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351</v>
      </c>
      <c r="I57" s="378"/>
      <c r="J57" s="100"/>
      <c r="K57" s="96">
        <v>43533</v>
      </c>
      <c r="L57" s="377" t="s">
        <v>234</v>
      </c>
      <c r="M57" s="378"/>
      <c r="N57" s="100"/>
      <c r="O57" s="96">
        <v>43578</v>
      </c>
      <c r="P57" s="381" t="s">
        <v>388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779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242</v>
      </c>
      <c r="E58" s="378"/>
      <c r="F58" s="98"/>
      <c r="G58" s="96"/>
      <c r="H58" s="377"/>
      <c r="I58" s="378"/>
      <c r="J58" s="100"/>
      <c r="K58" s="96">
        <v>43536</v>
      </c>
      <c r="L58" s="377" t="s">
        <v>242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234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270</v>
      </c>
      <c r="E59" s="378"/>
      <c r="F59" s="98">
        <v>50</v>
      </c>
      <c r="G59" s="96"/>
      <c r="H59" s="377"/>
      <c r="I59" s="378"/>
      <c r="J59" s="100"/>
      <c r="K59" s="96"/>
      <c r="L59" s="377" t="s">
        <v>384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289</v>
      </c>
      <c r="E60" s="378"/>
      <c r="F60" s="98"/>
      <c r="G60" s="96"/>
      <c r="H60" s="377"/>
      <c r="I60" s="378"/>
      <c r="J60" s="100"/>
      <c r="K60" s="235">
        <v>43549</v>
      </c>
      <c r="L60" s="381" t="s">
        <v>388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291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564</v>
      </c>
      <c r="U70" s="378"/>
      <c r="V70" s="100">
        <v>3742.92</v>
      </c>
      <c r="W70" s="96"/>
      <c r="X70" s="377" t="s">
        <v>562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565</v>
      </c>
      <c r="U71" s="393"/>
      <c r="V71" s="101">
        <v>1872.17</v>
      </c>
      <c r="W71" s="97"/>
      <c r="X71" s="392" t="s">
        <v>563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12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2</v>
      </c>
      <c r="D75">
        <f>C75*D74</f>
        <v>6.4516129032258061</v>
      </c>
      <c r="Z75" s="111"/>
    </row>
    <row r="76" spans="1:50">
      <c r="D76">
        <f>D75-D73</f>
        <v>-5.5483870967741939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799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789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20"/>
      <c r="J46" s="424" t="s">
        <v>831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9" t="str">
        <f>AÑO!A13</f>
        <v>Gubernamental</v>
      </c>
      <c r="J50" s="422" t="s">
        <v>797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798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860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327</v>
      </c>
      <c r="K33" s="425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863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9" t="str">
        <f>AÑO!A13</f>
        <v>Gubernamental</v>
      </c>
      <c r="J50" s="422" t="s">
        <v>797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9" t="str">
        <f>AÑO!A14</f>
        <v>Mutualite/DKV</v>
      </c>
      <c r="J55" s="422" t="s">
        <v>465</v>
      </c>
      <c r="K55" s="423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359" workbookViewId="0">
      <selection activeCell="B302" sqref="B302:G3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687</v>
      </c>
      <c r="K31" s="425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899</v>
      </c>
      <c r="K40" s="423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905</v>
      </c>
      <c r="K45" s="423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20"/>
      <c r="J46" s="424" t="s">
        <v>920</v>
      </c>
      <c r="K46" s="425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20"/>
      <c r="J47" s="424" t="s">
        <v>921</v>
      </c>
      <c r="K47" s="425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9" t="str">
        <f>AÑO!A13</f>
        <v>Gubernamental</v>
      </c>
      <c r="J50" s="422" t="s">
        <v>910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19" t="str">
        <f>AÑO!A14</f>
        <v>Mutualite/DKV</v>
      </c>
      <c r="J55" s="422" t="s">
        <v>909</v>
      </c>
      <c r="K55" s="423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20"/>
      <c r="J56" s="424" t="s">
        <v>688</v>
      </c>
      <c r="K56" s="425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902</v>
      </c>
      <c r="K60" s="423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5609</v>
      </c>
      <c r="L5" s="431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6749.51</v>
      </c>
      <c r="L7" s="41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'11'!A9+(B9-SUM(D9:F9))</f>
        <v>-24.17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4335.62</v>
      </c>
      <c r="L9" s="415"/>
      <c r="M9" s="1"/>
      <c r="N9" s="1"/>
      <c r="R9" s="3"/>
    </row>
    <row r="10" spans="1:22" ht="15.75">
      <c r="A10" s="112">
        <f>'11'!A10+(B10-SUM(D10:F10))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v>170</v>
      </c>
      <c r="L11" s="415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30685.880000000005</v>
      </c>
      <c r="L19" s="440"/>
      <c r="M19" s="1"/>
      <c r="N19" s="1"/>
      <c r="R19" s="3"/>
    </row>
    <row r="20" spans="1:18" ht="16.5" thickBot="1">
      <c r="A20" s="112">
        <f>SUM(A6:A15)</f>
        <v>994.7600000000001</v>
      </c>
      <c r="B20" s="135">
        <f>SUM(B6:B19)</f>
        <v>242.14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1500.34</v>
      </c>
      <c r="B40" s="135">
        <f>SUM(B26:B39)</f>
        <v>1153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108.6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338.52999999999992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3784.0415974244993</v>
      </c>
      <c r="B109" s="134">
        <v>80</v>
      </c>
      <c r="C109" s="18" t="s">
        <v>454</v>
      </c>
      <c r="D109" s="137">
        <v>50</v>
      </c>
      <c r="E109" s="138"/>
      <c r="F109" s="138"/>
      <c r="G109" s="31" t="s">
        <v>950</v>
      </c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668.38</v>
      </c>
      <c r="B120" s="135">
        <f>SUM(B106:B119)</f>
        <v>457.47</v>
      </c>
      <c r="C120" s="17" t="s">
        <v>53</v>
      </c>
      <c r="D120" s="135">
        <f>SUM(D106:D119)</f>
        <v>50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313.45999999999981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>
        <f>4.5+4</f>
        <v>8.5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8.5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233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13" workbookViewId="0">
      <selection activeCell="P33" sqref="P3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1593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43802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197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43802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648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43802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3.5879629629629629E-2</v>
      </c>
      <c r="Y13" s="119">
        <f ca="1">X13*E13</f>
        <v>144.20988130787038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3.1828703703703706E-2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8.1018518518518514E-3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0.50289351851851849</v>
      </c>
      <c r="Y19" s="119">
        <f t="shared" ca="1" si="3"/>
        <v>2224.4991495833337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0.36574074074074076</v>
      </c>
      <c r="Y20" s="119">
        <f t="shared" ca="1" si="3"/>
        <v>219.66388888888892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0.16666666666666666</v>
      </c>
      <c r="Y25" s="119">
        <f t="shared" ca="1" si="3"/>
        <v>101.32720433333333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648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43802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0.375</v>
      </c>
      <c r="Y28" s="119">
        <f t="shared" ca="1" si="3"/>
        <v>1930.5348300000001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1.2731481481481481E-2</v>
      </c>
      <c r="Y33" s="119">
        <f t="shared" ca="1" si="3"/>
        <v>52.569893749999991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8.6226851851851846E-2</v>
      </c>
      <c r="Y35" s="119">
        <f t="shared" ca="1" si="3"/>
        <v>352.55976975694443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2739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4211.4295229999998</v>
      </c>
      <c r="Q42" s="315"/>
      <c r="R42" s="326">
        <f ca="1">SUM(R13:R41)</f>
        <v>4.0363722784209823</v>
      </c>
      <c r="S42" s="317"/>
      <c r="X42" s="327">
        <f ca="1">SUM(X13:X41)</f>
        <v>1.5850694444444444</v>
      </c>
      <c r="Y42" s="328">
        <f ca="1">SUM(Y13:Y41)</f>
        <v>5025.3646176203711</v>
      </c>
      <c r="Z42" s="329">
        <f ca="1">P42/Y42</f>
        <v>0.83803461906694665</v>
      </c>
      <c r="AA42" s="329">
        <f ca="1">Z42/(D$43/365)</f>
        <v>0.17701541432837703</v>
      </c>
    </row>
    <row r="43" spans="1:27">
      <c r="C43" s="119" t="s">
        <v>567</v>
      </c>
      <c r="D43" s="46">
        <f ca="1">_xlfn.DAYS(TODAY(),F13)</f>
        <v>1728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H13" sqref="H1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1520</f>
        <v>1520</v>
      </c>
      <c r="C3" s="305">
        <f>B3/B$7</f>
        <v>0.42768711311198648</v>
      </c>
      <c r="D3" s="335">
        <f>D$7*C3</f>
        <v>0</v>
      </c>
      <c r="E3" s="275"/>
    </row>
    <row r="4" spans="1:5">
      <c r="A4" s="334" t="s">
        <v>26</v>
      </c>
      <c r="B4" s="335">
        <v>1484</v>
      </c>
      <c r="C4" s="305">
        <f t="shared" ref="C4:C6" si="0">B4/B$7</f>
        <v>0.41755768148564998</v>
      </c>
      <c r="D4" s="335">
        <f t="shared" ref="D4:D6" si="1">D$7*C4</f>
        <v>0</v>
      </c>
      <c r="E4" s="275"/>
    </row>
    <row r="5" spans="1:5">
      <c r="A5" s="334" t="s">
        <v>171</v>
      </c>
      <c r="B5" s="335">
        <v>550</v>
      </c>
      <c r="C5" s="305">
        <f t="shared" si="0"/>
        <v>0.15475520540236354</v>
      </c>
      <c r="D5" s="335">
        <f t="shared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si="1"/>
        <v>0</v>
      </c>
      <c r="E6" s="275"/>
    </row>
    <row r="7" spans="1:5">
      <c r="A7" s="334" t="s">
        <v>5</v>
      </c>
      <c r="B7" s="335">
        <f>SUM(B3:B6)</f>
        <v>3554</v>
      </c>
      <c r="C7" s="305">
        <f>SUM(C3:C6)</f>
        <v>1</v>
      </c>
      <c r="D7" s="276">
        <f>0</f>
        <v>0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43"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290</v>
      </c>
      <c r="K25" s="423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9" t="str">
        <f>AÑO!A9</f>
        <v>Rocío Salario</v>
      </c>
      <c r="J30" s="422" t="s">
        <v>237</v>
      </c>
      <c r="K30" s="423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255</v>
      </c>
      <c r="K31" s="425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266</v>
      </c>
      <c r="K32" s="425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217</v>
      </c>
      <c r="J35" s="422" t="s">
        <v>305</v>
      </c>
      <c r="K35" s="423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238</v>
      </c>
      <c r="K40" s="423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239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268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298</v>
      </c>
      <c r="K45" s="423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9" t="str">
        <f>AÑO!A13</f>
        <v>Gubernamental</v>
      </c>
      <c r="J50" s="422" t="s">
        <v>258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295</v>
      </c>
      <c r="K65" s="423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5"/>
      <c r="J69" s="436"/>
      <c r="K69" s="437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313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318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313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314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5"/>
      <c r="J69" s="436"/>
      <c r="K69" s="437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237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378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20"/>
      <c r="J51" s="424" t="s">
        <v>416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365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5"/>
      <c r="J69" s="436"/>
      <c r="K69" s="437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447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361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471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9" t="str">
        <f>AÑO!A13</f>
        <v>Gubernamental</v>
      </c>
      <c r="J50" s="422" t="s">
        <v>482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9" t="str">
        <f>AÑO!A14</f>
        <v>Mutualite/DKV</v>
      </c>
      <c r="J55" s="422" t="s">
        <v>476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625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626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674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688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703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396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775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20"/>
      <c r="J46" s="424" t="s">
        <v>776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9" t="str">
        <f>AÑO!A13</f>
        <v>Gubernamental</v>
      </c>
      <c r="J50" s="422" t="s">
        <v>638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2019-12-03T15:33:57Z</dcterms:modified>
</cp:coreProperties>
</file>