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defaultThemeVersion="124226"/>
  <xr:revisionPtr revIDLastSave="0" documentId="13_ncr:1_{BBF22DED-16A9-441B-BA33-F4A7A5B04A46}" xr6:coauthVersionLast="36" xr6:coauthVersionMax="36" xr10:uidLastSave="{00000000-0000-0000-0000-000000000000}"/>
  <bookViews>
    <workbookView xWindow="0" yWindow="0" windowWidth="27330" windowHeight="5790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6" i="6" l="1"/>
  <c r="E366" i="6"/>
  <c r="D51" i="6"/>
  <c r="A429" i="6" l="1"/>
  <c r="A256" i="6" l="1"/>
  <c r="A257" i="6"/>
  <c r="A258" i="6"/>
  <c r="A259" i="6"/>
  <c r="G22" i="17" l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21" i="17"/>
  <c r="G20" i="17"/>
  <c r="D47" i="6"/>
  <c r="D146" i="6"/>
  <c r="B257" i="5" l="1"/>
  <c r="B468" i="5"/>
  <c r="K11" i="6"/>
  <c r="A430" i="5" l="1"/>
  <c r="B308" i="5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8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A66" i="5"/>
  <c r="F366" i="5" l="1"/>
  <c r="A109" i="5" l="1"/>
  <c r="A108" i="5"/>
  <c r="M25" i="5" l="1"/>
  <c r="E407" i="5" l="1"/>
  <c r="A256" i="7" l="1"/>
  <c r="A258" i="7"/>
  <c r="A259" i="7"/>
  <c r="A246" i="6"/>
  <c r="A246" i="7" s="1"/>
  <c r="A260" i="7" s="1"/>
  <c r="A468" i="5" l="1"/>
  <c r="A466" i="5"/>
  <c r="D167" i="5" l="1"/>
  <c r="D186" i="5"/>
  <c r="D306" i="5"/>
  <c r="J56" i="5" l="1"/>
  <c r="J55" i="5"/>
  <c r="B109" i="4" l="1"/>
  <c r="K10" i="1"/>
  <c r="L24" i="15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A79" i="6" l="1"/>
  <c r="A79" i="7" s="1"/>
  <c r="F520" i="6"/>
  <c r="E520" i="6"/>
  <c r="D520" i="6"/>
  <c r="B520" i="6"/>
  <c r="B502" i="6"/>
  <c r="F500" i="6"/>
  <c r="E500" i="6"/>
  <c r="D500" i="6"/>
  <c r="B500" i="6"/>
  <c r="B482" i="6"/>
  <c r="F480" i="6"/>
  <c r="E480" i="6"/>
  <c r="D480" i="6"/>
  <c r="B468" i="6"/>
  <c r="B480" i="6" s="1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9" i="5"/>
  <c r="A129" i="6" s="1"/>
  <c r="A129" i="7" s="1"/>
  <c r="A126" i="5"/>
  <c r="A126" i="6" s="1"/>
  <c r="A126" i="7" s="1"/>
  <c r="A140" i="7" s="1"/>
  <c r="A140" i="6" l="1"/>
  <c r="A140" i="5"/>
  <c r="B308" i="4" l="1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4" l="1"/>
  <c r="A166" i="4"/>
  <c r="A180" i="4" s="1"/>
  <c r="A173" i="2"/>
  <c r="A166" i="2"/>
  <c r="D74" i="1"/>
  <c r="A78" i="4" l="1"/>
  <c r="A66" i="4"/>
  <c r="B3" i="14" l="1"/>
  <c r="B25" i="15"/>
  <c r="C25" i="15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A66" i="3" l="1"/>
  <c r="A66" i="6" s="1"/>
  <c r="M24" i="15"/>
  <c r="A80" i="6" l="1"/>
  <c r="A66" i="7"/>
  <c r="A80" i="7" s="1"/>
  <c r="A82" i="15"/>
  <c r="I82" i="15" s="1"/>
  <c r="D187" i="3"/>
  <c r="D326" i="3"/>
  <c r="D367" i="3" l="1"/>
  <c r="B468" i="3" l="1"/>
  <c r="A24" i="15" l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79" i="4" l="1"/>
  <c r="A79" i="5" s="1"/>
  <c r="A80" i="5" s="1"/>
  <c r="D47" i="3" l="1"/>
  <c r="D146" i="3"/>
  <c r="K7" i="3" l="1"/>
  <c r="K5" i="3"/>
  <c r="K11" i="3"/>
  <c r="D366" i="2"/>
  <c r="F366" i="2"/>
  <c r="A426" i="2" l="1"/>
  <c r="M45" i="2" l="1"/>
  <c r="A66" i="2" l="1"/>
  <c r="D57" i="2" l="1"/>
  <c r="D58" i="2" l="1"/>
  <c r="D56" i="2" l="1"/>
  <c r="D55" i="2"/>
  <c r="D54" i="2"/>
  <c r="B467" i="2" l="1"/>
  <c r="A79" i="3" l="1"/>
  <c r="A80" i="2"/>
  <c r="A79" i="2"/>
  <c r="D53" i="2" l="1"/>
  <c r="D306" i="2"/>
  <c r="F72" i="1"/>
  <c r="F73" i="1" s="1"/>
  <c r="D75" i="1"/>
  <c r="D76" i="1" s="1"/>
  <c r="K11" i="2" l="1"/>
  <c r="A80" i="3" l="1"/>
  <c r="A80" i="4"/>
  <c r="AZ18" i="1"/>
  <c r="K16" i="1" l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L20" i="13"/>
  <c r="F20" i="13"/>
  <c r="E20" i="13"/>
  <c r="D20" i="13"/>
  <c r="B20" i="13"/>
  <c r="K19" i="13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9" i="10"/>
  <c r="L20" i="10" s="1"/>
  <c r="B2" i="10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9" i="9"/>
  <c r="L20" i="9" s="1"/>
  <c r="B2" i="9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I65" i="8"/>
  <c r="B62" i="8"/>
  <c r="I60" i="8"/>
  <c r="F60" i="8"/>
  <c r="E60" i="8"/>
  <c r="D60" i="8"/>
  <c r="B60" i="8"/>
  <c r="I55" i="8"/>
  <c r="I50" i="8"/>
  <c r="I45" i="8"/>
  <c r="B42" i="8"/>
  <c r="I40" i="8"/>
  <c r="F40" i="8"/>
  <c r="E40" i="8"/>
  <c r="D40" i="8"/>
  <c r="B40" i="8"/>
  <c r="I30" i="8"/>
  <c r="I25" i="8"/>
  <c r="B22" i="8"/>
  <c r="F20" i="8"/>
  <c r="E20" i="8"/>
  <c r="D20" i="8"/>
  <c r="B20" i="8"/>
  <c r="K19" i="8"/>
  <c r="L20" i="8" s="1"/>
  <c r="B2" i="8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9" s="1"/>
  <c r="A467" i="10" s="1"/>
  <c r="A467" i="11" s="1"/>
  <c r="A467" i="12" s="1"/>
  <c r="A467" i="13" s="1"/>
  <c r="A468" i="3"/>
  <c r="A468" i="4" s="1"/>
  <c r="A468" i="6" s="1"/>
  <c r="A468" i="7" s="1"/>
  <c r="A468" i="8" s="1"/>
  <c r="A468" i="9" s="1"/>
  <c r="A468" i="10" s="1"/>
  <c r="A468" i="11" s="1"/>
  <c r="A468" i="12" s="1"/>
  <c r="A468" i="13" s="1"/>
  <c r="A466" i="3"/>
  <c r="A466" i="4" s="1"/>
  <c r="A466" i="6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8" i="6" s="1"/>
  <c r="A108" i="7" s="1"/>
  <c r="A108" i="8" s="1"/>
  <c r="A108" i="9" s="1"/>
  <c r="A108" i="10" s="1"/>
  <c r="A108" i="11" s="1"/>
  <c r="A108" i="12" s="1"/>
  <c r="A108" i="13" s="1"/>
  <c r="A109" i="3"/>
  <c r="A109" i="4" s="1"/>
  <c r="A109" i="6" s="1"/>
  <c r="A109" i="7" s="1"/>
  <c r="A109" i="8" s="1"/>
  <c r="A109" i="9" s="1"/>
  <c r="A109" i="10" s="1"/>
  <c r="A109" i="11" s="1"/>
  <c r="A109" i="12" s="1"/>
  <c r="A109" i="13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O9" i="1"/>
  <c r="O10" i="1"/>
  <c r="O11" i="1"/>
  <c r="A120" i="3" l="1"/>
  <c r="A466" i="7"/>
  <c r="A480" i="6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480" i="5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0" i="1"/>
  <c r="W11" i="1"/>
  <c r="W12" i="1"/>
  <c r="W13" i="1"/>
  <c r="W14" i="1"/>
  <c r="W15" i="1"/>
  <c r="W16" i="1"/>
  <c r="S8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L20" i="2" l="1"/>
  <c r="N22" i="2"/>
  <c r="A40" i="4"/>
  <c r="A40" i="5"/>
  <c r="A40" i="6"/>
  <c r="A466" i="8"/>
  <c r="A480" i="7"/>
  <c r="A120" i="4"/>
  <c r="A106" i="5"/>
  <c r="A26" i="8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26" i="9"/>
  <c r="A40" i="8"/>
  <c r="A6" i="9"/>
  <c r="A20" i="8"/>
  <c r="A466" i="10" l="1"/>
  <c r="A480" i="9"/>
  <c r="A106" i="7"/>
  <c r="A120" i="6"/>
  <c r="A40" i="9"/>
  <c r="A26" i="10"/>
  <c r="A6" i="10"/>
  <c r="A20" i="9"/>
  <c r="A466" i="11" l="1"/>
  <c r="A480" i="10"/>
  <c r="A106" i="8"/>
  <c r="A120" i="7"/>
  <c r="A26" i="11"/>
  <c r="A40" i="10"/>
  <c r="A6" i="11"/>
  <c r="A20" i="10"/>
  <c r="BC17" i="1"/>
  <c r="A466" i="12" l="1"/>
  <c r="A480" i="11"/>
  <c r="A106" i="9"/>
  <c r="A120" i="8"/>
  <c r="A26" i="12"/>
  <c r="A40" i="11"/>
  <c r="A6" i="12"/>
  <c r="A20" i="11"/>
  <c r="O5" i="11"/>
  <c r="A466" i="13" l="1"/>
  <c r="A480" i="13" s="1"/>
  <c r="A480" i="12"/>
  <c r="A106" i="10"/>
  <c r="A120" i="9"/>
  <c r="A26" i="13"/>
  <c r="A40" i="13" s="1"/>
  <c r="A40" i="12"/>
  <c r="A6" i="13"/>
  <c r="A20" i="13" s="1"/>
  <c r="A20" i="12"/>
  <c r="A106" i="11" l="1"/>
  <c r="A120" i="10"/>
  <c r="G41" i="14"/>
  <c r="G42" i="14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C23" i="14"/>
  <c r="G22" i="14"/>
  <c r="G21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I22" i="15"/>
  <c r="I23" i="15" l="1"/>
  <c r="I24" i="15" l="1"/>
  <c r="B5" i="14" s="1"/>
  <c r="I25" i="15" l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25" i="15" s="1"/>
  <c r="E25" i="15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AD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N41" i="1" l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B15" i="14"/>
  <c r="K6" i="14" s="1"/>
  <c r="L7" i="14" s="1"/>
  <c r="M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R32" i="1" l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K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A260" i="6" l="1"/>
  <c r="A246" i="5"/>
  <c r="AX21" i="1"/>
  <c r="BJ21" i="1"/>
  <c r="AX22" i="1"/>
  <c r="BJ22" i="1"/>
  <c r="L9" i="14"/>
  <c r="M9" i="14" s="1"/>
  <c r="M8" i="14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K9" i="14" l="1"/>
  <c r="L10" i="14" s="1"/>
  <c r="K10" i="14" s="1"/>
  <c r="L11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B22" i="14" l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K11" i="14"/>
  <c r="M11" i="14"/>
  <c r="M10" i="14"/>
  <c r="L13" i="14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AX20" i="1" l="1"/>
  <c r="BJ20" i="1"/>
  <c r="AX40" i="1"/>
  <c r="BJ40" i="1"/>
  <c r="M13" i="14"/>
  <c r="B23" i="14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80" i="3" s="1"/>
  <c r="A173" i="3"/>
  <c r="A256" i="5" l="1"/>
  <c r="A258" i="5"/>
  <c r="A259" i="5"/>
  <c r="A257" i="5"/>
  <c r="A257" i="7" l="1"/>
  <c r="A260" i="5"/>
</calcChain>
</file>

<file path=xl/sharedStrings.xml><?xml version="1.0" encoding="utf-8"?>
<sst xmlns="http://schemas.openxmlformats.org/spreadsheetml/2006/main" count="5129" uniqueCount="503">
  <si>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</si>
  <si>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</si>
  <si>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</si>
  <si>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</si>
  <si>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</si>
  <si>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</si>
  <si>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</si>
  <si>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</si>
  <si>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</si>
  <si>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</si>
  <si>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</si>
  <si>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</si>
  <si>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</si>
  <si>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</si>
  <si>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</si>
  <si>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</si>
  <si>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</si>
  <si>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</si>
  <si>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</si>
  <si>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</si>
  <si>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</si>
  <si>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</si>
  <si>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</si>
  <si>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</si>
  <si>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</si>
  <si>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</si>
  <si>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</si>
  <si>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</si>
  <si>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</si>
  <si>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</si>
  <si>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</si>
  <si>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</si>
  <si>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</si>
  <si>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</si>
  <si>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</si>
  <si>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</si>
  <si>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</si>
  <si>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</si>
  <si>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</si>
  <si>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</si>
  <si>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</si>
  <si>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</si>
  <si>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</si>
  <si>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</si>
  <si>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</si>
  <si>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</si>
  <si>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</si>
  <si>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</si>
  <si>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</si>
  <si>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</si>
  <si>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</si>
  <si>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</si>
  <si>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</si>
  <si>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</si>
  <si>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</si>
  <si>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</si>
  <si>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</si>
  <si>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</si>
  <si>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</si>
  <si>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</si>
  <si>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</si>
  <si>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</si>
  <si>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</si>
  <si>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</si>
  <si>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</si>
  <si>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</si>
  <si>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</si>
  <si>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</si>
  <si>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</si>
  <si>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</si>
  <si>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</si>
  <si>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</si>
  <si>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</si>
  <si>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</si>
  <si>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</si>
  <si>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</si>
  <si>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</si>
  <si>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</si>
  <si>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</si>
  <si>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</si>
  <si>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</si>
  <si>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</si>
  <si>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</si>
  <si>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</si>
  <si>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</si>
  <si>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</si>
  <si>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</si>
  <si>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</si>
  <si>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</si>
  <si>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</si>
  <si>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</si>
  <si>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</si>
  <si>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</si>
  <si>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</si>
  <si>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</si>
  <si>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</si>
  <si>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</si>
  <si>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</si>
  <si>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</si>
  <si>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</si>
  <si>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</si>
  <si>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</si>
  <si>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</si>
  <si>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</si>
  <si>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</si>
  <si>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</si>
  <si>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</si>
  <si>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</si>
  <si>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</si>
  <si>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</si>
  <si>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</si>
  <si>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</si>
  <si>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</si>
  <si>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</si>
  <si>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</si>
  <si>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</si>
  <si>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</si>
  <si>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</si>
  <si>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</si>
  <si>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</si>
  <si>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</si>
  <si>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</si>
  <si>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</si>
  <si>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</si>
  <si>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</si>
  <si>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</si>
  <si>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</si>
  <si>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</si>
  <si>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</si>
  <si>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</si>
  <si>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</si>
  <si>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</si>
  <si>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</si>
  <si>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</si>
  <si>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</si>
  <si>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</si>
  <si>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</si>
  <si>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</si>
  <si>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</si>
  <si>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</si>
  <si>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</si>
  <si>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</si>
  <si>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</si>
  <si>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</si>
  <si>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</si>
  <si>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</si>
  <si>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</si>
  <si>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</si>
  <si>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</si>
  <si>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</si>
  <si>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</si>
  <si>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</si>
  <si>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</si>
  <si>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</si>
  <si>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</si>
  <si>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</si>
  <si>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</si>
  <si>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</si>
  <si>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</si>
  <si>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</si>
  <si>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</si>
  <si>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</si>
  <si>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</si>
  <si>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</si>
  <si>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Martina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</si>
  <si>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</si>
  <si>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</si>
  <si>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</si>
  <si>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</si>
  <si>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</si>
  <si>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</si>
  <si>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</si>
  <si>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Paga Extra bruto</t>
  </si>
  <si>
    <t>Paga Extra neto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</si>
  <si>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</si>
  <si>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</si>
  <si>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</si>
  <si>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</si>
  <si>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</si>
  <si>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</si>
  <si>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</si>
  <si>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</si>
  <si>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</si>
  <si>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</si>
  <si>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</si>
  <si>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</si>
  <si>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</si>
  <si>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</si>
  <si>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</si>
  <si>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</si>
  <si>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</si>
  <si>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</si>
  <si>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</si>
  <si>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</si>
  <si>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</si>
  <si>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</si>
  <si>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</si>
  <si>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</si>
  <si>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</si>
  <si>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</si>
  <si>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</si>
  <si>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</si>
  <si>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</si>
  <si>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</si>
  <si>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</si>
  <si>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</si>
  <si>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</si>
  <si>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</si>
  <si>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</si>
  <si>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</si>
  <si>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</si>
  <si>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</si>
  <si>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</si>
  <si>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</si>
  <si>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</si>
  <si>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</si>
  <si>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</si>
  <si>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</si>
  <si>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</si>
  <si>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</si>
  <si>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</si>
  <si>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</si>
  <si>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</si>
  <si>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</si>
  <si>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</si>
  <si>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</si>
  <si>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</si>
  <si>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</si>
  <si>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</si>
  <si>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</si>
  <si>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</si>
  <si>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</si>
  <si>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</si>
  <si>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</si>
  <si>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</si>
  <si>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</si>
  <si>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</si>
  <si>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</si>
  <si>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</si>
  <si>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</si>
  <si>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</si>
  <si>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</si>
  <si>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</si>
  <si>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</si>
  <si>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</si>
  <si>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</si>
  <si>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</si>
  <si>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</si>
  <si>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</si>
  <si>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</si>
  <si>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</si>
  <si>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</si>
  <si>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</si>
  <si>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</si>
  <si>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</si>
  <si>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</si>
  <si>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</si>
  <si>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</si>
  <si>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</si>
  <si>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</si>
  <si>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</si>
  <si>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</si>
  <si>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</si>
  <si>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</si>
  <si>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</si>
  <si>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</si>
  <si>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</si>
  <si>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</si>
  <si>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</si>
  <si>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</si>
  <si>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</si>
  <si>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</si>
  <si>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</si>
  <si>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</si>
  <si>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</si>
  <si>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</si>
  <si>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</si>
  <si>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</si>
  <si>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</si>
  <si>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</si>
  <si>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</si>
  <si>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</si>
  <si>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</si>
  <si>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</si>
  <si>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</si>
  <si>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</si>
  <si>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</si>
  <si>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</si>
  <si>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</si>
  <si>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</si>
  <si>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</si>
  <si>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</si>
  <si>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</si>
  <si>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</si>
  <si>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</si>
  <si>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</si>
  <si>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</si>
  <si>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</si>
  <si>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</si>
  <si>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</si>
  <si>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</si>
  <si>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</si>
  <si>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</si>
  <si>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</si>
  <si>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</si>
  <si>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</si>
  <si>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</si>
  <si>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</si>
  <si>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</si>
  <si>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</si>
  <si>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</si>
  <si>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</si>
  <si>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</si>
  <si>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</si>
  <si>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</si>
  <si>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</si>
  <si>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</si>
  <si>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</si>
  <si>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</si>
  <si>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</si>
  <si>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</si>
  <si>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</si>
  <si>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</si>
  <si>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</si>
  <si>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</si>
  <si>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</si>
  <si>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</si>
  <si>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</si>
  <si>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</si>
  <si>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</si>
  <si>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</si>
  <si>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</si>
  <si>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</si>
  <si>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</si>
  <si>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</si>
  <si>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</si>
  <si>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</si>
  <si>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</si>
  <si>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</si>
  <si>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</si>
  <si>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</si>
  <si>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</si>
  <si>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</si>
  <si>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</si>
  <si>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</si>
  <si>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</si>
  <si>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</si>
  <si>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</si>
  <si>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</si>
  <si>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</si>
  <si>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</si>
  <si>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</si>
  <si>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</si>
  <si>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</si>
  <si>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</si>
  <si>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</si>
  <si>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</si>
  <si>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</si>
  <si>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</si>
  <si>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</si>
  <si>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</si>
  <si>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</si>
  <si>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</si>
  <si>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</si>
  <si>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</si>
  <si>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 xml:space="preserve"> n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</si>
  <si>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</si>
  <si>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</si>
  <si>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</si>
  <si>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</si>
  <si>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</si>
  <si>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</si>
  <si>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</si>
  <si>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</si>
  <si>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</si>
  <si>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</si>
  <si>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</si>
  <si>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</si>
  <si>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</si>
  <si>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</si>
  <si>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</si>
  <si>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</si>
  <si>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</si>
  <si>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</si>
  <si>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</si>
  <si>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</si>
  <si>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</si>
  <si>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</si>
  <si>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</si>
  <si>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</si>
  <si>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</si>
  <si>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</si>
  <si>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</si>
  <si>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</si>
  <si>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</si>
  <si>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</si>
  <si>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</si>
  <si>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</si>
  <si>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</si>
  <si>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</si>
  <si>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</si>
  <si>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</si>
  <si>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</si>
  <si>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</si>
  <si>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</si>
  <si>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</si>
  <si>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</si>
  <si>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</si>
  <si>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</si>
  <si>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</si>
  <si>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</si>
  <si>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</si>
  <si>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</si>
  <si>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</si>
  <si>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</si>
  <si>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</si>
  <si>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</si>
  <si>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</si>
  <si>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</si>
  <si>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</si>
  <si>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</si>
  <si>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</si>
  <si>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</si>
  <si>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</si>
  <si>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</si>
  <si>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</si>
  <si>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</si>
  <si>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</si>
  <si>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</si>
  <si>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</si>
  <si>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</si>
  <si>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</si>
  <si>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</si>
  <si>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</si>
  <si>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</si>
  <si>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</si>
  <si>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</si>
  <si>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</si>
  <si>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</si>
  <si>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</si>
  <si>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</si>
  <si>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</si>
  <si>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</si>
  <si>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</si>
  <si>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</si>
  <si>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</si>
  <si>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</si>
  <si>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</si>
  <si>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</si>
  <si>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</si>
  <si>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</si>
  <si>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</si>
  <si>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</si>
  <si>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</si>
  <si>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</si>
  <si>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</si>
  <si>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</si>
  <si>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</si>
  <si>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</si>
  <si>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</si>
  <si>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</si>
  <si>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</si>
  <si>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</si>
  <si>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</si>
  <si>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</si>
  <si>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</si>
  <si>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</si>
  <si>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</si>
  <si>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</si>
  <si>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</si>
  <si>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</si>
  <si>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</si>
  <si>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</si>
  <si>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&lt;430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</si>
  <si>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</si>
  <si>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</si>
  <si>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</si>
  <si>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</si>
  <si>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</si>
  <si>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</si>
  <si>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</si>
  <si>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</si>
  <si>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</si>
  <si>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</si>
  <si>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</si>
  <si>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</si>
  <si>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</si>
  <si>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</si>
  <si>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</si>
  <si>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</si>
  <si>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184€ Cheques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</si>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</sst>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</numFmts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</fills>
  <borders count="128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3" xfId="0" applyNumberFormat="1" applyBorder="1" applyAlignment="1">
      <alignment horizontal="center"/>
    </xf>
    <xf numFmtId="0" fontId="0" fillId="0" borderId="94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4" fillId="0" borderId="29" xfId="1" applyNumberFormat="1" applyBorder="1" applyAlignment="1">
      <alignment horizontal="center" vertical="center"/>
    </xf>
    <xf numFmtId="0" fontId="4" fillId="0" borderId="30" xfId="1" applyNumberFormat="1" applyBorder="1" applyAlignment="1">
      <alignment horizontal="center" vertical="center"/>
    </xf>
    <xf numFmtId="0" fontId="4" fillId="0" borderId="31" xfId="1" applyNumberFormat="1" applyBorder="1" applyAlignment="1">
      <alignment horizontal="center" vertical="center"/>
    </xf>
    <xf numFmtId="0" fontId="4" fillId="0" borderId="32" xfId="1" applyNumberFormat="1" applyBorder="1" applyAlignment="1">
      <alignment horizontal="center" vertical="center"/>
    </xf>
    <xf numFmtId="0" fontId="4" fillId="0" borderId="33" xfId="1" applyNumberFormat="1" applyBorder="1" applyAlignment="1">
      <alignment horizontal="center" vertical="center"/>
    </xf>
    <xf numFmtId="0" fontId="4" fillId="0" borderId="34" xfId="1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40" zoomScaleNormal="100" workbookViewId="0">
      <pane xSplit="1" topLeftCell="M1" activePane="topRight" state="frozen"/>
      <selection pane="topRight" activeCell="W51" sqref="W51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282" t="s">
        <v>0</v>
      </c>
      <c r="D4" s="283"/>
      <c r="E4" s="283"/>
      <c r="F4" s="284"/>
      <c r="G4" s="282" t="s">
        <v>1</v>
      </c>
      <c r="H4" s="283"/>
      <c r="I4" s="283"/>
      <c r="J4" s="284"/>
      <c r="K4" s="282" t="s">
        <v>2</v>
      </c>
      <c r="L4" s="283"/>
      <c r="M4" s="283"/>
      <c r="N4" s="284"/>
      <c r="O4" s="282" t="s">
        <v>3</v>
      </c>
      <c r="P4" s="283"/>
      <c r="Q4" s="283"/>
      <c r="R4" s="284"/>
      <c r="S4" s="282" t="s">
        <v>71</v>
      </c>
      <c r="T4" s="283"/>
      <c r="U4" s="283"/>
      <c r="V4" s="284"/>
      <c r="W4" s="282" t="s">
        <v>70</v>
      </c>
      <c r="X4" s="283"/>
      <c r="Y4" s="283"/>
      <c r="Z4" s="284"/>
      <c r="AA4" s="282" t="s">
        <v>72</v>
      </c>
      <c r="AB4" s="283"/>
      <c r="AC4" s="283"/>
      <c r="AD4" s="284"/>
      <c r="AE4" s="282" t="s">
        <v>73</v>
      </c>
      <c r="AF4" s="283"/>
      <c r="AG4" s="283"/>
      <c r="AH4" s="284"/>
      <c r="AI4" s="282" t="s">
        <v>75</v>
      </c>
      <c r="AJ4" s="283"/>
      <c r="AK4" s="283"/>
      <c r="AL4" s="284"/>
      <c r="AM4" s="282" t="s">
        <v>77</v>
      </c>
      <c r="AN4" s="283"/>
      <c r="AO4" s="283"/>
      <c r="AP4" s="284"/>
      <c r="AQ4" s="282" t="s">
        <v>79</v>
      </c>
      <c r="AR4" s="283"/>
      <c r="AS4" s="283"/>
      <c r="AT4" s="284"/>
      <c r="AU4" s="282" t="s">
        <v>84</v>
      </c>
      <c r="AV4" s="283"/>
      <c r="AW4" s="283"/>
      <c r="AX4" s="284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291">
        <f>'01'!K19</f>
        <v>26383.54</v>
      </c>
      <c r="D5" s="289"/>
      <c r="E5" s="289"/>
      <c r="F5" s="290"/>
      <c r="G5" s="291">
        <f>'02'!K19</f>
        <v>25229.379999999997</v>
      </c>
      <c r="H5" s="289"/>
      <c r="I5" s="289"/>
      <c r="J5" s="290"/>
      <c r="K5" s="288">
        <f>'03'!K19</f>
        <v>25574.760000000002</v>
      </c>
      <c r="L5" s="289"/>
      <c r="M5" s="289"/>
      <c r="N5" s="290"/>
      <c r="O5" s="288">
        <f>'04'!K19</f>
        <v>26443.759999999998</v>
      </c>
      <c r="P5" s="289"/>
      <c r="Q5" s="289"/>
      <c r="R5" s="290"/>
      <c r="S5" s="288">
        <f>'05'!K19</f>
        <v>27163.090000000004</v>
      </c>
      <c r="T5" s="289"/>
      <c r="U5" s="289"/>
      <c r="V5" s="290"/>
      <c r="W5" s="288">
        <f>'06'!K19</f>
        <v>18034.64</v>
      </c>
      <c r="X5" s="289"/>
      <c r="Y5" s="289"/>
      <c r="Z5" s="290"/>
      <c r="AA5" s="288">
        <f>'07'!K19</f>
        <v>15101.890000000001</v>
      </c>
      <c r="AB5" s="289"/>
      <c r="AC5" s="289"/>
      <c r="AD5" s="290"/>
      <c r="AE5" s="288">
        <f>'08'!K19</f>
        <v>15101.890000000001</v>
      </c>
      <c r="AF5" s="289"/>
      <c r="AG5" s="289"/>
      <c r="AH5" s="290"/>
      <c r="AI5" s="288">
        <f>'09'!K19</f>
        <v>15101.890000000001</v>
      </c>
      <c r="AJ5" s="289"/>
      <c r="AK5" s="289"/>
      <c r="AL5" s="290"/>
      <c r="AM5" s="288">
        <f>'10'!K19</f>
        <v>15101.890000000001</v>
      </c>
      <c r="AN5" s="289"/>
      <c r="AO5" s="289"/>
      <c r="AP5" s="290"/>
      <c r="AQ5" s="288">
        <f>'11'!K19</f>
        <v>15101.890000000001</v>
      </c>
      <c r="AR5" s="289"/>
      <c r="AS5" s="289"/>
      <c r="AT5" s="290"/>
      <c r="AU5" s="288">
        <f>'12'!K19</f>
        <v>15101.890000000001</v>
      </c>
      <c r="AV5" s="289"/>
      <c r="AW5" s="289"/>
      <c r="AX5" s="290"/>
      <c r="AZ5" s="6"/>
      <c r="BA5" s="7"/>
      <c r="BB5" s="1"/>
      <c r="BC5" s="1"/>
    </row>
    <row r="6" spans="1:55" ht="17.25" thickTop="1" thickBot="1">
      <c r="A6" s="205"/>
      <c r="B6" s="8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0"/>
      <c r="AH6" s="240"/>
      <c r="AI6" s="240"/>
      <c r="AJ6" s="240"/>
      <c r="AK6" s="240"/>
      <c r="AL6" s="240"/>
      <c r="AM6" s="240"/>
      <c r="AN6" s="240"/>
      <c r="AO6" s="240"/>
      <c r="AP6" s="240"/>
      <c r="AQ6" s="240"/>
      <c r="AR6" s="240"/>
      <c r="AS6" s="240"/>
      <c r="AT6" s="240"/>
      <c r="AU6" s="240"/>
      <c r="AV6" s="240"/>
      <c r="AW6" s="240"/>
      <c r="AX6" s="240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285" t="s">
        <v>233</v>
      </c>
      <c r="D7" s="286"/>
      <c r="E7" s="286"/>
      <c r="F7" s="287"/>
      <c r="G7" s="285" t="s">
        <v>233</v>
      </c>
      <c r="H7" s="286"/>
      <c r="I7" s="286"/>
      <c r="J7" s="287"/>
      <c r="K7" s="285" t="s">
        <v>233</v>
      </c>
      <c r="L7" s="286"/>
      <c r="M7" s="286"/>
      <c r="N7" s="287"/>
      <c r="O7" s="285" t="s">
        <v>233</v>
      </c>
      <c r="P7" s="286"/>
      <c r="Q7" s="286"/>
      <c r="R7" s="287"/>
      <c r="S7" s="285" t="s">
        <v>233</v>
      </c>
      <c r="T7" s="286"/>
      <c r="U7" s="286"/>
      <c r="V7" s="287"/>
      <c r="W7" s="285" t="s">
        <v>233</v>
      </c>
      <c r="X7" s="286"/>
      <c r="Y7" s="286"/>
      <c r="Z7" s="287"/>
      <c r="AA7" s="285" t="s">
        <v>233</v>
      </c>
      <c r="AB7" s="286"/>
      <c r="AC7" s="286"/>
      <c r="AD7" s="287"/>
      <c r="AE7" s="285" t="s">
        <v>233</v>
      </c>
      <c r="AF7" s="286"/>
      <c r="AG7" s="286"/>
      <c r="AH7" s="287"/>
      <c r="AI7" s="285" t="s">
        <v>233</v>
      </c>
      <c r="AJ7" s="286"/>
      <c r="AK7" s="286"/>
      <c r="AL7" s="287"/>
      <c r="AM7" s="285" t="s">
        <v>233</v>
      </c>
      <c r="AN7" s="286"/>
      <c r="AO7" s="286"/>
      <c r="AP7" s="287"/>
      <c r="AQ7" s="285" t="s">
        <v>233</v>
      </c>
      <c r="AR7" s="286"/>
      <c r="AS7" s="286"/>
      <c r="AT7" s="287"/>
      <c r="AU7" s="285" t="s">
        <v>233</v>
      </c>
      <c r="AV7" s="286"/>
      <c r="AW7" s="286"/>
      <c r="AX7" s="287"/>
      <c r="AZ7" s="9" t="s">
        <v>235</v>
      </c>
      <c r="BA7" s="13" t="s">
        <v>191</v>
      </c>
      <c r="BB7" s="1"/>
      <c r="BC7" s="1"/>
    </row>
    <row r="8" spans="1:55" ht="15.75">
      <c r="A8" s="206" t="s">
        <v>215</v>
      </c>
      <c r="B8" s="192">
        <v>33389.54</v>
      </c>
      <c r="C8" s="292">
        <f>SUM('01'!L25:'01'!L29)</f>
        <v>2593.46</v>
      </c>
      <c r="D8" s="293"/>
      <c r="E8" s="293"/>
      <c r="F8" s="294"/>
      <c r="G8" s="292">
        <f>SUM('02'!L25:'02'!L29)</f>
        <v>2592.42</v>
      </c>
      <c r="H8" s="293"/>
      <c r="I8" s="293"/>
      <c r="J8" s="294"/>
      <c r="K8" s="292">
        <f>SUM('03'!L25:'03'!L29)</f>
        <v>2526.87</v>
      </c>
      <c r="L8" s="293"/>
      <c r="M8" s="293"/>
      <c r="N8" s="294"/>
      <c r="O8" s="292">
        <f>SUM('04'!L25:'04'!L29)</f>
        <v>2570.56</v>
      </c>
      <c r="P8" s="293"/>
      <c r="Q8" s="293"/>
      <c r="R8" s="294"/>
      <c r="S8" s="292">
        <f>SUM('05'!L25:'05'!L29)</f>
        <v>0</v>
      </c>
      <c r="T8" s="293"/>
      <c r="U8" s="293"/>
      <c r="V8" s="294"/>
      <c r="W8" s="292">
        <f>SUM('06'!L25:'06'!L29)</f>
        <v>0</v>
      </c>
      <c r="X8" s="293"/>
      <c r="Y8" s="293"/>
      <c r="Z8" s="294"/>
      <c r="AA8" s="292">
        <f>SUM('07'!L25:'07'!L29)</f>
        <v>0</v>
      </c>
      <c r="AB8" s="293"/>
      <c r="AC8" s="293"/>
      <c r="AD8" s="294"/>
      <c r="AE8" s="292">
        <f>SUM('08'!L25:'08'!L29)</f>
        <v>0</v>
      </c>
      <c r="AF8" s="293"/>
      <c r="AG8" s="293"/>
      <c r="AH8" s="294"/>
      <c r="AI8" s="292">
        <f>SUM('09'!L25:'09'!L29)</f>
        <v>0</v>
      </c>
      <c r="AJ8" s="293"/>
      <c r="AK8" s="293"/>
      <c r="AL8" s="294"/>
      <c r="AM8" s="292">
        <f>SUM('10'!L25:'10'!L29)</f>
        <v>0</v>
      </c>
      <c r="AN8" s="293"/>
      <c r="AO8" s="293"/>
      <c r="AP8" s="294"/>
      <c r="AQ8" s="292">
        <f>SUM('11'!L25:'11'!L29)</f>
        <v>0</v>
      </c>
      <c r="AR8" s="293"/>
      <c r="AS8" s="293"/>
      <c r="AT8" s="294"/>
      <c r="AU8" s="292">
        <f>SUM('12'!L25:'12'!L29)</f>
        <v>0</v>
      </c>
      <c r="AV8" s="293"/>
      <c r="AW8" s="293"/>
      <c r="AX8" s="294"/>
      <c r="AZ8" s="209">
        <f>SUM(C8:AU8)</f>
        <v>10283.31</v>
      </c>
      <c r="BA8" s="112">
        <f t="shared" ref="BA8:BA16" ca="1" si="0">AZ8/BC$17</f>
        <v>2056.6619999999998</v>
      </c>
      <c r="BB8" s="1"/>
      <c r="BC8" s="1"/>
    </row>
    <row r="9" spans="1:55" ht="15.75">
      <c r="A9" s="189" t="s">
        <v>216</v>
      </c>
      <c r="B9" s="193">
        <v>5835.74</v>
      </c>
      <c r="C9" s="279">
        <f>SUM('01'!L30:'01'!L34)</f>
        <v>655.59</v>
      </c>
      <c r="D9" s="280"/>
      <c r="E9" s="280"/>
      <c r="F9" s="281"/>
      <c r="G9" s="279">
        <f>SUM('02'!L30:'02'!L34)</f>
        <v>760.26</v>
      </c>
      <c r="H9" s="280"/>
      <c r="I9" s="280"/>
      <c r="J9" s="281"/>
      <c r="K9" s="279">
        <f>SUM('03'!L30:'03'!L34)</f>
        <v>516.44000000000005</v>
      </c>
      <c r="L9" s="280"/>
      <c r="M9" s="280"/>
      <c r="N9" s="281"/>
      <c r="O9" s="279">
        <f>SUM('04'!L30:'04'!L34)</f>
        <v>507.54</v>
      </c>
      <c r="P9" s="280"/>
      <c r="Q9" s="280"/>
      <c r="R9" s="281"/>
      <c r="S9" s="279">
        <f>SUM('05'!L30:'05'!L34)</f>
        <v>578.16999999999996</v>
      </c>
      <c r="T9" s="280"/>
      <c r="U9" s="280"/>
      <c r="V9" s="281"/>
      <c r="W9" s="279">
        <f>SUM('06'!L30:'06'!L34)</f>
        <v>0</v>
      </c>
      <c r="X9" s="280"/>
      <c r="Y9" s="280"/>
      <c r="Z9" s="281"/>
      <c r="AA9" s="279">
        <f>SUM('07'!L30:'07'!L34)</f>
        <v>0</v>
      </c>
      <c r="AB9" s="280"/>
      <c r="AC9" s="280"/>
      <c r="AD9" s="281"/>
      <c r="AE9" s="279">
        <f>SUM('08'!L30:'08'!L34)</f>
        <v>0</v>
      </c>
      <c r="AF9" s="280"/>
      <c r="AG9" s="280"/>
      <c r="AH9" s="281"/>
      <c r="AI9" s="279">
        <f>SUM('09'!L30:'09'!L34)</f>
        <v>0</v>
      </c>
      <c r="AJ9" s="280"/>
      <c r="AK9" s="280"/>
      <c r="AL9" s="281"/>
      <c r="AM9" s="279">
        <f>SUM('10'!L30:'10'!L34)</f>
        <v>0</v>
      </c>
      <c r="AN9" s="280"/>
      <c r="AO9" s="280"/>
      <c r="AP9" s="281"/>
      <c r="AQ9" s="279">
        <f>SUM('11'!L30:'11'!L34)</f>
        <v>0</v>
      </c>
      <c r="AR9" s="280"/>
      <c r="AS9" s="280"/>
      <c r="AT9" s="281"/>
      <c r="AU9" s="279">
        <f>SUM('12'!L30:'12'!L34)</f>
        <v>0</v>
      </c>
      <c r="AV9" s="280"/>
      <c r="AW9" s="280"/>
      <c r="AX9" s="281"/>
      <c r="AZ9" s="210">
        <f t="shared" ref="AZ9:AZ16" si="1">SUM(C9:AW9)</f>
        <v>3018</v>
      </c>
      <c r="BA9" s="112">
        <f t="shared" ca="1" si="0"/>
        <v>603.6</v>
      </c>
      <c r="BB9" s="1"/>
      <c r="BC9" s="1"/>
    </row>
    <row r="10" spans="1:55" ht="15.75">
      <c r="A10" s="190" t="s">
        <v>221</v>
      </c>
      <c r="B10" s="194">
        <v>2731.18</v>
      </c>
      <c r="C10" s="279">
        <f>SUM('01'!L35:'01'!L39)</f>
        <v>120.85</v>
      </c>
      <c r="D10" s="280"/>
      <c r="E10" s="280"/>
      <c r="F10" s="281"/>
      <c r="G10" s="279">
        <f>SUM('02'!L35:'02'!L39)</f>
        <v>107.38</v>
      </c>
      <c r="H10" s="280"/>
      <c r="I10" s="280"/>
      <c r="J10" s="281"/>
      <c r="K10" s="279">
        <f>SUM('03'!L35:'03'!L39)</f>
        <v>91.73</v>
      </c>
      <c r="L10" s="280"/>
      <c r="M10" s="280"/>
      <c r="N10" s="281"/>
      <c r="O10" s="279">
        <f>SUM('04'!L35:'04'!L39)</f>
        <v>204.23</v>
      </c>
      <c r="P10" s="280"/>
      <c r="Q10" s="280"/>
      <c r="R10" s="281"/>
      <c r="S10" s="279">
        <f>SUM('05'!L35:'05'!L39)</f>
        <v>0</v>
      </c>
      <c r="T10" s="280"/>
      <c r="U10" s="280"/>
      <c r="V10" s="281"/>
      <c r="W10" s="295">
        <f>SUM('06'!L35:'06'!L39)</f>
        <v>0</v>
      </c>
      <c r="X10" s="296"/>
      <c r="Y10" s="296"/>
      <c r="Z10" s="297"/>
      <c r="AA10" s="295">
        <f>SUM('07'!L35:'07'!L39)</f>
        <v>0</v>
      </c>
      <c r="AB10" s="296"/>
      <c r="AC10" s="296"/>
      <c r="AD10" s="297"/>
      <c r="AE10" s="295">
        <f>SUM('08'!L35:'08'!L39)</f>
        <v>0</v>
      </c>
      <c r="AF10" s="296"/>
      <c r="AG10" s="296"/>
      <c r="AH10" s="297"/>
      <c r="AI10" s="295">
        <f>SUM('09'!L35:'09'!L39)</f>
        <v>0</v>
      </c>
      <c r="AJ10" s="296"/>
      <c r="AK10" s="296"/>
      <c r="AL10" s="297"/>
      <c r="AM10" s="295">
        <f>SUM('10'!L35:'10'!L39)</f>
        <v>0</v>
      </c>
      <c r="AN10" s="296"/>
      <c r="AO10" s="296"/>
      <c r="AP10" s="297"/>
      <c r="AQ10" s="295">
        <f>SUM('11'!L35:'11'!L39)</f>
        <v>0</v>
      </c>
      <c r="AR10" s="296"/>
      <c r="AS10" s="296"/>
      <c r="AT10" s="297"/>
      <c r="AU10" s="295">
        <f>SUM('12'!L35:'12'!L39)</f>
        <v>0</v>
      </c>
      <c r="AV10" s="296"/>
      <c r="AW10" s="296"/>
      <c r="AX10" s="297"/>
      <c r="AZ10" s="211">
        <f t="shared" si="1"/>
        <v>524.18999999999994</v>
      </c>
      <c r="BA10" s="112">
        <f t="shared" ca="1" si="0"/>
        <v>104.83799999999999</v>
      </c>
      <c r="BB10" s="1"/>
      <c r="BC10" s="1"/>
    </row>
    <row r="11" spans="1:55" ht="15.75">
      <c r="A11" s="189" t="s">
        <v>217</v>
      </c>
      <c r="B11" s="193">
        <v>2906.88</v>
      </c>
      <c r="C11" s="279">
        <f>SUM('01'!L40:'01'!L44)</f>
        <v>3.87</v>
      </c>
      <c r="D11" s="280"/>
      <c r="E11" s="280"/>
      <c r="F11" s="281"/>
      <c r="G11" s="279">
        <f>SUM('02'!L40:'02'!L44)</f>
        <v>0</v>
      </c>
      <c r="H11" s="280"/>
      <c r="I11" s="280"/>
      <c r="J11" s="281"/>
      <c r="K11" s="279">
        <f>SUM('03'!L40:'03'!L44)</f>
        <v>0</v>
      </c>
      <c r="L11" s="280"/>
      <c r="M11" s="280"/>
      <c r="N11" s="281"/>
      <c r="O11" s="279">
        <f>SUM('04'!L40:'04'!L44)</f>
        <v>356.59</v>
      </c>
      <c r="P11" s="280"/>
      <c r="Q11" s="280"/>
      <c r="R11" s="281"/>
      <c r="S11" s="279">
        <f>SUM('05'!L40:'05'!L44)</f>
        <v>45.86</v>
      </c>
      <c r="T11" s="280"/>
      <c r="U11" s="280"/>
      <c r="V11" s="281"/>
      <c r="W11" s="279">
        <f>SUM('06'!L40:'06'!L44)</f>
        <v>0</v>
      </c>
      <c r="X11" s="280"/>
      <c r="Y11" s="280"/>
      <c r="Z11" s="281"/>
      <c r="AA11" s="279">
        <f>SUM('07'!L40:'07'!L44)</f>
        <v>0</v>
      </c>
      <c r="AB11" s="280"/>
      <c r="AC11" s="280"/>
      <c r="AD11" s="281"/>
      <c r="AE11" s="279">
        <f>SUM('08'!L40:'08'!L44)</f>
        <v>0</v>
      </c>
      <c r="AF11" s="280"/>
      <c r="AG11" s="280"/>
      <c r="AH11" s="281"/>
      <c r="AI11" s="279">
        <f>SUM('09'!L40:'09'!L44)</f>
        <v>0</v>
      </c>
      <c r="AJ11" s="280"/>
      <c r="AK11" s="280"/>
      <c r="AL11" s="281"/>
      <c r="AM11" s="279">
        <f>SUM('10'!L40:'10'!L44)</f>
        <v>0</v>
      </c>
      <c r="AN11" s="280"/>
      <c r="AO11" s="280"/>
      <c r="AP11" s="281"/>
      <c r="AQ11" s="279">
        <f>SUM('11'!L40:'11'!L44)</f>
        <v>0</v>
      </c>
      <c r="AR11" s="280"/>
      <c r="AS11" s="280"/>
      <c r="AT11" s="281"/>
      <c r="AU11" s="279">
        <f>SUM('12'!L40:'12'!L44)</f>
        <v>0</v>
      </c>
      <c r="AV11" s="280"/>
      <c r="AW11" s="280"/>
      <c r="AX11" s="281"/>
      <c r="AZ11" s="210">
        <f t="shared" si="1"/>
        <v>406.32</v>
      </c>
      <c r="BA11" s="112">
        <f t="shared" ca="1" si="0"/>
        <v>81.263999999999996</v>
      </c>
      <c r="BB11" s="1"/>
      <c r="BC11" s="1"/>
    </row>
    <row r="12" spans="1:55" ht="15.75">
      <c r="A12" s="190" t="s">
        <v>23</v>
      </c>
      <c r="B12" s="194">
        <v>3325.31</v>
      </c>
      <c r="C12" s="279">
        <f>SUM('01'!L45:'01'!L49)</f>
        <v>137</v>
      </c>
      <c r="D12" s="280"/>
      <c r="E12" s="280"/>
      <c r="F12" s="281"/>
      <c r="G12" s="279">
        <f>SUM('02'!L45:'02'!L49)</f>
        <v>600.04</v>
      </c>
      <c r="H12" s="280"/>
      <c r="I12" s="280"/>
      <c r="J12" s="281"/>
      <c r="K12" s="279">
        <f>SUM('03'!L45:'03'!L49)</f>
        <v>380</v>
      </c>
      <c r="L12" s="280"/>
      <c r="M12" s="280"/>
      <c r="N12" s="281"/>
      <c r="O12" s="279">
        <f>SUM('04'!L45:'04'!L49)</f>
        <v>0</v>
      </c>
      <c r="P12" s="280"/>
      <c r="Q12" s="280"/>
      <c r="R12" s="281"/>
      <c r="S12" s="279">
        <f>SUM('05'!L45:'05'!L49)</f>
        <v>0</v>
      </c>
      <c r="T12" s="280"/>
      <c r="U12" s="280"/>
      <c r="V12" s="281"/>
      <c r="W12" s="295">
        <f>SUM('06'!L45:'06'!L49)</f>
        <v>0</v>
      </c>
      <c r="X12" s="296"/>
      <c r="Y12" s="296"/>
      <c r="Z12" s="297"/>
      <c r="AA12" s="295">
        <f>SUM('07'!L45:'07'!L49)</f>
        <v>0</v>
      </c>
      <c r="AB12" s="296"/>
      <c r="AC12" s="296"/>
      <c r="AD12" s="297"/>
      <c r="AE12" s="295">
        <f>SUM('08'!L45:'08'!L49)</f>
        <v>0</v>
      </c>
      <c r="AF12" s="296"/>
      <c r="AG12" s="296"/>
      <c r="AH12" s="297"/>
      <c r="AI12" s="295">
        <f>SUM('09'!L45:'09'!L49)</f>
        <v>0</v>
      </c>
      <c r="AJ12" s="296"/>
      <c r="AK12" s="296"/>
      <c r="AL12" s="297"/>
      <c r="AM12" s="295">
        <f>SUM('10'!L45:'10'!L49)</f>
        <v>0</v>
      </c>
      <c r="AN12" s="296"/>
      <c r="AO12" s="296"/>
      <c r="AP12" s="297"/>
      <c r="AQ12" s="295">
        <f>SUM('11'!L45:'11'!L49)</f>
        <v>0</v>
      </c>
      <c r="AR12" s="296"/>
      <c r="AS12" s="296"/>
      <c r="AT12" s="297"/>
      <c r="AU12" s="295">
        <f>SUM('12'!L45:'12'!L49)</f>
        <v>0</v>
      </c>
      <c r="AV12" s="296"/>
      <c r="AW12" s="296"/>
      <c r="AX12" s="297"/>
      <c r="AZ12" s="211">
        <f t="shared" si="1"/>
        <v>1117.04</v>
      </c>
      <c r="BA12" s="112">
        <f t="shared" ca="1" si="0"/>
        <v>223.40799999999999</v>
      </c>
      <c r="BB12" s="1"/>
      <c r="BC12" s="1"/>
    </row>
    <row r="13" spans="1:55" ht="15.75">
      <c r="A13" s="189" t="s">
        <v>218</v>
      </c>
      <c r="B13" s="195">
        <v>3443.8099999999995</v>
      </c>
      <c r="C13" s="279">
        <f>SUM('01'!L50:'01'!L54)</f>
        <v>95.8</v>
      </c>
      <c r="D13" s="280"/>
      <c r="E13" s="280"/>
      <c r="F13" s="281"/>
      <c r="G13" s="279">
        <f>SUM('02'!L50:'02'!L54)</f>
        <v>95.8</v>
      </c>
      <c r="H13" s="280"/>
      <c r="I13" s="280"/>
      <c r="J13" s="281"/>
      <c r="K13" s="279">
        <f>SUM('03'!L50:'03'!L54)</f>
        <v>4517.74</v>
      </c>
      <c r="L13" s="280"/>
      <c r="M13" s="280"/>
      <c r="N13" s="281"/>
      <c r="O13" s="279">
        <f>SUM('04'!L50:'04'!L54)</f>
        <v>95.8</v>
      </c>
      <c r="P13" s="280"/>
      <c r="Q13" s="280"/>
      <c r="R13" s="281"/>
      <c r="S13" s="279">
        <f>SUM('05'!L50:'05'!L54)</f>
        <v>95.8</v>
      </c>
      <c r="T13" s="280"/>
      <c r="U13" s="280"/>
      <c r="V13" s="281"/>
      <c r="W13" s="279">
        <f>SUM('06'!L50:'06'!L54)</f>
        <v>0</v>
      </c>
      <c r="X13" s="280"/>
      <c r="Y13" s="280"/>
      <c r="Z13" s="281"/>
      <c r="AA13" s="279">
        <f>SUM('07'!L50:'07'!L54)</f>
        <v>0</v>
      </c>
      <c r="AB13" s="280"/>
      <c r="AC13" s="280"/>
      <c r="AD13" s="281"/>
      <c r="AE13" s="279">
        <f>SUM('08'!L50:'08'!L54)</f>
        <v>0</v>
      </c>
      <c r="AF13" s="280"/>
      <c r="AG13" s="280"/>
      <c r="AH13" s="281"/>
      <c r="AI13" s="279">
        <f>SUM('09'!L50:'09'!L54)</f>
        <v>0</v>
      </c>
      <c r="AJ13" s="280"/>
      <c r="AK13" s="280"/>
      <c r="AL13" s="281"/>
      <c r="AM13" s="279">
        <f>SUM('10'!L50:'10'!L54)</f>
        <v>0</v>
      </c>
      <c r="AN13" s="280"/>
      <c r="AO13" s="280"/>
      <c r="AP13" s="281"/>
      <c r="AQ13" s="279">
        <f>SUM('11'!L50:'11'!L54)</f>
        <v>0</v>
      </c>
      <c r="AR13" s="280"/>
      <c r="AS13" s="280"/>
      <c r="AT13" s="281"/>
      <c r="AU13" s="279">
        <f>SUM('12'!L50:'12'!L54)</f>
        <v>0</v>
      </c>
      <c r="AV13" s="280"/>
      <c r="AW13" s="280"/>
      <c r="AX13" s="281"/>
      <c r="AZ13" s="212">
        <f t="shared" si="1"/>
        <v>4900.9400000000005</v>
      </c>
      <c r="BA13" s="112">
        <f t="shared" ca="1" si="0"/>
        <v>980.1880000000001</v>
      </c>
      <c r="BB13" s="1"/>
      <c r="BC13" s="1"/>
    </row>
    <row r="14" spans="1:55" ht="15.75">
      <c r="A14" s="190" t="s">
        <v>219</v>
      </c>
      <c r="B14" s="194">
        <v>364.62</v>
      </c>
      <c r="C14" s="279">
        <f>SUM('01'!L55:'01'!L59)</f>
        <v>0</v>
      </c>
      <c r="D14" s="280"/>
      <c r="E14" s="280"/>
      <c r="F14" s="281"/>
      <c r="G14" s="279">
        <f>SUM('02'!L55:'02'!L59)</f>
        <v>0</v>
      </c>
      <c r="H14" s="280"/>
      <c r="I14" s="280"/>
      <c r="J14" s="281"/>
      <c r="K14" s="279">
        <f>SUM('03'!L55:'03'!L59)</f>
        <v>9.44</v>
      </c>
      <c r="L14" s="280"/>
      <c r="M14" s="280"/>
      <c r="N14" s="281"/>
      <c r="O14" s="279">
        <f>SUM('04'!L55:'04'!L59)</f>
        <v>37.980000000000004</v>
      </c>
      <c r="P14" s="280"/>
      <c r="Q14" s="280"/>
      <c r="R14" s="281"/>
      <c r="S14" s="279">
        <f>SUM('05'!L55:'05'!L59)</f>
        <v>17.350000000000001</v>
      </c>
      <c r="T14" s="280"/>
      <c r="U14" s="280"/>
      <c r="V14" s="281"/>
      <c r="W14" s="295">
        <f>SUM('06'!L55:'06'!L59)</f>
        <v>0</v>
      </c>
      <c r="X14" s="296"/>
      <c r="Y14" s="296"/>
      <c r="Z14" s="297"/>
      <c r="AA14" s="295">
        <f>SUM('07'!L55:'07'!L59)</f>
        <v>0</v>
      </c>
      <c r="AB14" s="296"/>
      <c r="AC14" s="296"/>
      <c r="AD14" s="297"/>
      <c r="AE14" s="295">
        <f>SUM('08'!L55:'08'!L59)</f>
        <v>0</v>
      </c>
      <c r="AF14" s="296"/>
      <c r="AG14" s="296"/>
      <c r="AH14" s="297"/>
      <c r="AI14" s="295">
        <f>SUM('09'!L55:'09'!L59)</f>
        <v>0</v>
      </c>
      <c r="AJ14" s="296"/>
      <c r="AK14" s="296"/>
      <c r="AL14" s="297"/>
      <c r="AM14" s="295">
        <f>SUM('10'!L55:'10'!L59)</f>
        <v>0</v>
      </c>
      <c r="AN14" s="296"/>
      <c r="AO14" s="296"/>
      <c r="AP14" s="297"/>
      <c r="AQ14" s="295">
        <f>SUM('11'!L55:'11'!L59)</f>
        <v>0</v>
      </c>
      <c r="AR14" s="296"/>
      <c r="AS14" s="296"/>
      <c r="AT14" s="297"/>
      <c r="AU14" s="295">
        <f>SUM('12'!L55:'12'!L59)</f>
        <v>0</v>
      </c>
      <c r="AV14" s="296"/>
      <c r="AW14" s="296"/>
      <c r="AX14" s="297"/>
      <c r="AZ14" s="211">
        <f t="shared" si="1"/>
        <v>64.77000000000001</v>
      </c>
      <c r="BA14" s="112">
        <f t="shared" ca="1" si="0"/>
        <v>12.954000000000002</v>
      </c>
      <c r="BB14" s="3"/>
      <c r="BC14" s="3"/>
    </row>
    <row r="15" spans="1:55" ht="15.75">
      <c r="A15" s="189" t="s">
        <v>220</v>
      </c>
      <c r="B15" s="193">
        <v>7756.04</v>
      </c>
      <c r="C15" s="279">
        <f>SUM('01'!L60:'01'!L64)</f>
        <v>0</v>
      </c>
      <c r="D15" s="280"/>
      <c r="E15" s="280"/>
      <c r="F15" s="281"/>
      <c r="G15" s="279">
        <f>SUM('02'!L60:'02'!L64)</f>
        <v>665.77</v>
      </c>
      <c r="H15" s="280"/>
      <c r="I15" s="280"/>
      <c r="J15" s="281"/>
      <c r="K15" s="279">
        <f>SUM('03'!L60:'03'!L64)</f>
        <v>682.39</v>
      </c>
      <c r="L15" s="280"/>
      <c r="M15" s="280"/>
      <c r="N15" s="281"/>
      <c r="O15" s="279">
        <f>SUM('04'!L60:'04'!L64)</f>
        <v>550</v>
      </c>
      <c r="P15" s="280"/>
      <c r="Q15" s="280"/>
      <c r="R15" s="281"/>
      <c r="S15" s="279">
        <f>SUM('05'!L60:'05'!L64)</f>
        <v>652.44000000000005</v>
      </c>
      <c r="T15" s="280"/>
      <c r="U15" s="280"/>
      <c r="V15" s="281"/>
      <c r="W15" s="279">
        <f>SUM('06'!L60:'06'!L64)</f>
        <v>0</v>
      </c>
      <c r="X15" s="280"/>
      <c r="Y15" s="280"/>
      <c r="Z15" s="281"/>
      <c r="AA15" s="279">
        <f>SUM('07'!L60:'07'!L64)</f>
        <v>0</v>
      </c>
      <c r="AB15" s="280"/>
      <c r="AC15" s="280"/>
      <c r="AD15" s="281"/>
      <c r="AE15" s="279">
        <f>SUM('08'!L60:'08'!L64)</f>
        <v>0</v>
      </c>
      <c r="AF15" s="280"/>
      <c r="AG15" s="280"/>
      <c r="AH15" s="281"/>
      <c r="AI15" s="279">
        <f>SUM('09'!L60:'09'!L64)</f>
        <v>0</v>
      </c>
      <c r="AJ15" s="280"/>
      <c r="AK15" s="280"/>
      <c r="AL15" s="281"/>
      <c r="AM15" s="279">
        <f>SUM('10'!L60:'10'!L64)</f>
        <v>0</v>
      </c>
      <c r="AN15" s="280"/>
      <c r="AO15" s="280"/>
      <c r="AP15" s="281"/>
      <c r="AQ15" s="279">
        <f>SUM('11'!L60:'11'!L64)</f>
        <v>0</v>
      </c>
      <c r="AR15" s="280"/>
      <c r="AS15" s="280"/>
      <c r="AT15" s="281"/>
      <c r="AU15" s="279">
        <f>SUM('12'!L60:'12'!L64)</f>
        <v>0</v>
      </c>
      <c r="AV15" s="280"/>
      <c r="AW15" s="280"/>
      <c r="AX15" s="281"/>
      <c r="AZ15" s="210">
        <f t="shared" si="1"/>
        <v>2550.6</v>
      </c>
      <c r="BA15" s="112">
        <f t="shared" ca="1" si="0"/>
        <v>510.12</v>
      </c>
      <c r="BB15" s="1"/>
      <c r="BC15" s="1"/>
    </row>
    <row r="16" spans="1:55" ht="16.5" thickBot="1">
      <c r="A16" s="191" t="s">
        <v>42</v>
      </c>
      <c r="B16" s="196">
        <v>2018.96</v>
      </c>
      <c r="C16" s="279">
        <f>SUM('01'!L65:'01'!L69)</f>
        <v>85</v>
      </c>
      <c r="D16" s="280"/>
      <c r="E16" s="280"/>
      <c r="F16" s="281"/>
      <c r="G16" s="279">
        <f>SUM('02'!L65:'02'!L69)</f>
        <v>0</v>
      </c>
      <c r="H16" s="280"/>
      <c r="I16" s="280"/>
      <c r="J16" s="281"/>
      <c r="K16" s="279">
        <f>SUM('03'!L65:'03'!L69)</f>
        <v>0</v>
      </c>
      <c r="L16" s="280"/>
      <c r="M16" s="280"/>
      <c r="N16" s="281"/>
      <c r="O16" s="279">
        <f>SUM('04'!L65:'04'!L69)</f>
        <v>0</v>
      </c>
      <c r="P16" s="280"/>
      <c r="Q16" s="280"/>
      <c r="R16" s="281"/>
      <c r="S16" s="279">
        <f>SUM('05'!L65:'05'!L69)</f>
        <v>0</v>
      </c>
      <c r="T16" s="280"/>
      <c r="U16" s="280"/>
      <c r="V16" s="281"/>
      <c r="W16" s="298">
        <f>SUM('06'!L65:'06'!L69)</f>
        <v>0</v>
      </c>
      <c r="X16" s="299"/>
      <c r="Y16" s="299"/>
      <c r="Z16" s="300"/>
      <c r="AA16" s="298">
        <f>SUM('07'!L65:'07'!L69)</f>
        <v>0</v>
      </c>
      <c r="AB16" s="299"/>
      <c r="AC16" s="299"/>
      <c r="AD16" s="300"/>
      <c r="AE16" s="298">
        <f>SUM('08'!L65:'08'!L69)</f>
        <v>0</v>
      </c>
      <c r="AF16" s="299"/>
      <c r="AG16" s="299"/>
      <c r="AH16" s="300"/>
      <c r="AI16" s="298">
        <f>SUM('09'!L65:'09'!L69)</f>
        <v>0</v>
      </c>
      <c r="AJ16" s="299"/>
      <c r="AK16" s="299"/>
      <c r="AL16" s="300"/>
      <c r="AM16" s="298">
        <f>SUM('10'!L65:'10'!L69)</f>
        <v>0</v>
      </c>
      <c r="AN16" s="299"/>
      <c r="AO16" s="299"/>
      <c r="AP16" s="300"/>
      <c r="AQ16" s="298">
        <f>SUM('11'!L65:'11'!L69)</f>
        <v>0</v>
      </c>
      <c r="AR16" s="299"/>
      <c r="AS16" s="299"/>
      <c r="AT16" s="300"/>
      <c r="AU16" s="298">
        <f>SUM('12'!L65:'12'!L69)</f>
        <v>0</v>
      </c>
      <c r="AV16" s="299"/>
      <c r="AW16" s="299"/>
      <c r="AX16" s="300"/>
      <c r="AZ16" s="213">
        <f t="shared" si="1"/>
        <v>85</v>
      </c>
      <c r="BA16" s="112">
        <f t="shared" ca="1" si="0"/>
        <v>17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275">
        <f>SUM(C8:C16)</f>
        <v>3691.57</v>
      </c>
      <c r="D17" s="276"/>
      <c r="E17" s="276"/>
      <c r="F17" s="277"/>
      <c r="G17" s="275">
        <f>SUM(G8:G16)</f>
        <v>4821.67</v>
      </c>
      <c r="H17" s="276"/>
      <c r="I17" s="276"/>
      <c r="J17" s="277"/>
      <c r="K17" s="275">
        <f>SUM(K8:K16)</f>
        <v>8724.6099999999988</v>
      </c>
      <c r="L17" s="276"/>
      <c r="M17" s="276"/>
      <c r="N17" s="277"/>
      <c r="O17" s="275">
        <f>SUM(O8:O16)</f>
        <v>4322.7000000000007</v>
      </c>
      <c r="P17" s="276"/>
      <c r="Q17" s="276"/>
      <c r="R17" s="277"/>
      <c r="S17" s="275">
        <f>SUM(S8:S16)</f>
        <v>1389.62</v>
      </c>
      <c r="T17" s="276"/>
      <c r="U17" s="276"/>
      <c r="V17" s="277"/>
      <c r="W17" s="275">
        <f>SUM(W8:W16)</f>
        <v>0</v>
      </c>
      <c r="X17" s="276"/>
      <c r="Y17" s="276"/>
      <c r="Z17" s="277"/>
      <c r="AA17" s="275">
        <f>SUM(AA8:AA16)</f>
        <v>0</v>
      </c>
      <c r="AB17" s="276"/>
      <c r="AC17" s="276"/>
      <c r="AD17" s="277"/>
      <c r="AE17" s="275">
        <f>SUM(AE8:AE16)</f>
        <v>0</v>
      </c>
      <c r="AF17" s="276"/>
      <c r="AG17" s="276"/>
      <c r="AH17" s="277"/>
      <c r="AI17" s="275">
        <f>SUM(AI8:AI16)</f>
        <v>0</v>
      </c>
      <c r="AJ17" s="276"/>
      <c r="AK17" s="276"/>
      <c r="AL17" s="277"/>
      <c r="AM17" s="275">
        <f>SUM(AM8:AM16)</f>
        <v>0</v>
      </c>
      <c r="AN17" s="276"/>
      <c r="AO17" s="276"/>
      <c r="AP17" s="277"/>
      <c r="AQ17" s="275">
        <f>SUM(AQ8:AQ16)</f>
        <v>0</v>
      </c>
      <c r="AR17" s="276"/>
      <c r="AS17" s="276"/>
      <c r="AT17" s="277"/>
      <c r="AU17" s="275">
        <f>SUM(AU8:AU16)</f>
        <v>0</v>
      </c>
      <c r="AV17" s="276"/>
      <c r="AW17" s="276"/>
      <c r="AX17" s="277"/>
      <c r="AZ17" s="227">
        <f>SUM(AZ8:AZ16)</f>
        <v>22950.170000000002</v>
      </c>
      <c r="BA17" s="112">
        <f ca="1">AZ17/BC$17</f>
        <v>4590.0340000000006</v>
      </c>
      <c r="BB17" s="1" t="s">
        <v>83</v>
      </c>
      <c r="BC17" s="1">
        <f ca="1">MONTH(TODAY())</f>
        <v>5</v>
      </c>
      <c r="BD17" s="39"/>
    </row>
    <row r="18" spans="1:62" ht="32.25" customHeight="1" thickTop="1" thickBot="1">
      <c r="A18" s="10"/>
      <c r="B18" s="10"/>
      <c r="C18" s="278"/>
      <c r="D18" s="278"/>
      <c r="E18" s="278"/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8"/>
      <c r="S18" s="278"/>
      <c r="T18" s="278"/>
      <c r="U18" s="278"/>
      <c r="V18" s="278"/>
      <c r="W18" s="278"/>
      <c r="X18" s="278"/>
      <c r="Y18" s="278"/>
      <c r="Z18" s="278"/>
      <c r="AA18" s="278"/>
      <c r="AB18" s="278"/>
      <c r="AC18" s="278"/>
      <c r="AD18" s="278"/>
      <c r="AE18" s="278"/>
      <c r="AF18" s="278"/>
      <c r="AG18" s="278"/>
      <c r="AH18" s="278"/>
      <c r="AI18" s="278"/>
      <c r="AJ18" s="278"/>
      <c r="AK18" s="278"/>
      <c r="AL18" s="278"/>
      <c r="AM18" s="278"/>
      <c r="AN18" s="278"/>
      <c r="AO18" s="278"/>
      <c r="AP18" s="278"/>
      <c r="AQ18" s="278"/>
      <c r="AR18" s="278"/>
      <c r="AS18" s="278"/>
      <c r="AT18" s="278"/>
      <c r="AU18" s="278" t="s">
        <v>176</v>
      </c>
      <c r="AV18" s="278"/>
      <c r="AW18" s="278"/>
      <c r="AX18" s="278"/>
      <c r="AZ18" s="131">
        <f>(2500*13)+(600*12)+(550*12)+(95*12)</f>
        <v>47440</v>
      </c>
      <c r="BA18" s="131">
        <f ca="1">12*BA17</f>
        <v>55080.40800000001</v>
      </c>
      <c r="BB18" s="1"/>
      <c r="BC18" s="1"/>
    </row>
    <row r="19" spans="1:62" ht="17.25" thickTop="1" thickBot="1">
      <c r="A19" s="24" t="s">
        <v>7</v>
      </c>
      <c r="B19" s="24" t="s">
        <v>213</v>
      </c>
      <c r="C19" s="178" t="s">
        <v>54</v>
      </c>
      <c r="D19" s="179" t="s">
        <v>214</v>
      </c>
      <c r="E19" s="179" t="s">
        <v>9</v>
      </c>
      <c r="F19" s="180" t="s">
        <v>10</v>
      </c>
      <c r="G19" s="178" t="s">
        <v>54</v>
      </c>
      <c r="H19" s="179" t="s">
        <v>214</v>
      </c>
      <c r="I19" s="179" t="s">
        <v>9</v>
      </c>
      <c r="J19" s="180" t="s">
        <v>10</v>
      </c>
      <c r="K19" s="178" t="s">
        <v>54</v>
      </c>
      <c r="L19" s="179" t="s">
        <v>214</v>
      </c>
      <c r="M19" s="179" t="s">
        <v>9</v>
      </c>
      <c r="N19" s="180" t="s">
        <v>10</v>
      </c>
      <c r="O19" s="178" t="s">
        <v>54</v>
      </c>
      <c r="P19" s="179" t="s">
        <v>214</v>
      </c>
      <c r="Q19" s="179" t="s">
        <v>9</v>
      </c>
      <c r="R19" s="180" t="s">
        <v>10</v>
      </c>
      <c r="S19" s="178" t="s">
        <v>54</v>
      </c>
      <c r="T19" s="179" t="s">
        <v>214</v>
      </c>
      <c r="U19" s="179" t="s">
        <v>9</v>
      </c>
      <c r="V19" s="180" t="s">
        <v>10</v>
      </c>
      <c r="W19" s="178" t="s">
        <v>54</v>
      </c>
      <c r="X19" s="179" t="s">
        <v>214</v>
      </c>
      <c r="Y19" s="179" t="s">
        <v>9</v>
      </c>
      <c r="Z19" s="180" t="s">
        <v>10</v>
      </c>
      <c r="AA19" s="178" t="s">
        <v>54</v>
      </c>
      <c r="AB19" s="179" t="s">
        <v>214</v>
      </c>
      <c r="AC19" s="179" t="s">
        <v>9</v>
      </c>
      <c r="AD19" s="180" t="s">
        <v>10</v>
      </c>
      <c r="AE19" s="178" t="s">
        <v>54</v>
      </c>
      <c r="AF19" s="179" t="s">
        <v>214</v>
      </c>
      <c r="AG19" s="179" t="s">
        <v>9</v>
      </c>
      <c r="AH19" s="180" t="s">
        <v>10</v>
      </c>
      <c r="AI19" s="178" t="s">
        <v>54</v>
      </c>
      <c r="AJ19" s="179" t="s">
        <v>214</v>
      </c>
      <c r="AK19" s="179" t="s">
        <v>9</v>
      </c>
      <c r="AL19" s="180" t="s">
        <v>10</v>
      </c>
      <c r="AM19" s="178" t="s">
        <v>54</v>
      </c>
      <c r="AN19" s="179" t="s">
        <v>214</v>
      </c>
      <c r="AO19" s="179" t="s">
        <v>9</v>
      </c>
      <c r="AP19" s="180" t="s">
        <v>10</v>
      </c>
      <c r="AQ19" s="178" t="s">
        <v>54</v>
      </c>
      <c r="AR19" s="179" t="s">
        <v>214</v>
      </c>
      <c r="AS19" s="179" t="s">
        <v>9</v>
      </c>
      <c r="AT19" s="180" t="s">
        <v>10</v>
      </c>
      <c r="AU19" s="178" t="s">
        <v>54</v>
      </c>
      <c r="AV19" s="179" t="s">
        <v>214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192</v>
      </c>
      <c r="BF19" s="13" t="s">
        <v>195</v>
      </c>
      <c r="BG19" s="13" t="s">
        <v>193</v>
      </c>
      <c r="BH19" s="13" t="s">
        <v>194</v>
      </c>
      <c r="BJ19" s="12" t="s">
        <v>234</v>
      </c>
    </row>
    <row r="20" spans="1:62" ht="15.75">
      <c r="A20" s="141" t="s">
        <v>179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42.239999999999995</v>
      </c>
      <c r="V20" s="145">
        <f t="shared" ref="V20:V45" si="6">R20+T20-U20</f>
        <v>625.75999999999976</v>
      </c>
      <c r="W20" s="143" t="s">
        <v>70</v>
      </c>
      <c r="X20" s="144">
        <f>'06'!B20</f>
        <v>544</v>
      </c>
      <c r="Y20" s="144">
        <f>SUM('06'!D20:F20)</f>
        <v>0</v>
      </c>
      <c r="Z20" s="145">
        <f t="shared" ref="Z20:Z45" si="7">V20+X20-Y20</f>
        <v>1169.7599999999998</v>
      </c>
      <c r="AA20" s="143" t="s">
        <v>72</v>
      </c>
      <c r="AB20" s="144">
        <f>'07'!B20</f>
        <v>544</v>
      </c>
      <c r="AC20" s="144">
        <f>SUM('07'!D20:F20)</f>
        <v>0</v>
      </c>
      <c r="AD20" s="145">
        <f t="shared" ref="AD20:AD45" si="8">Z20+AB20-AC20</f>
        <v>1713.7599999999998</v>
      </c>
      <c r="AE20" s="143" t="s">
        <v>73</v>
      </c>
      <c r="AF20" s="144">
        <f>'08'!B20</f>
        <v>544</v>
      </c>
      <c r="AG20" s="144">
        <f>SUM('08'!D20:F20)</f>
        <v>0</v>
      </c>
      <c r="AH20" s="145">
        <f t="shared" ref="AH20:AH45" si="9">AD20+AF20-AG20</f>
        <v>2257.7599999999998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2801.7599999999998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3345.7599999999998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3889.7599999999998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4433.76</v>
      </c>
      <c r="AZ20" s="123">
        <f t="shared" ref="AZ20:AZ27" si="14">E20+I20+M20+Q20+U20+Y20+AC20+AG20+AK20+AO20+AS20+AW20</f>
        <v>2726.2</v>
      </c>
      <c r="BA20" s="21">
        <f t="shared" ref="BA20:BA45" si="15">AZ20/AZ$46</f>
        <v>0.11617115024864595</v>
      </c>
      <c r="BB20" s="22">
        <f>_xlfn.RANK.EQ(BA20,$BA$20:$BA$45,)</f>
        <v>3</v>
      </c>
      <c r="BC20" s="22">
        <f t="shared" ref="BC20:BC45" ca="1" si="16">AZ20/BC$17</f>
        <v>545.24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2903.18</v>
      </c>
      <c r="BF20" s="21">
        <f t="shared" ref="BF20:BF45" ca="1" si="18">BE20/BE$46</f>
        <v>0.12649928083321385</v>
      </c>
      <c r="BG20" s="22">
        <f ca="1">_xlfn.RANK.EQ(BF20,$BF$20:$BF$45,)</f>
        <v>3</v>
      </c>
      <c r="BH20" s="22">
        <f t="shared" ref="BH20:BH45" ca="1" si="19">BE20/BC$17</f>
        <v>580.63599999999997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176.98000000000013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1085.77</v>
      </c>
      <c r="V21" s="151">
        <f t="shared" si="6"/>
        <v>478.01999999999953</v>
      </c>
      <c r="W21" s="148" t="s">
        <v>70</v>
      </c>
      <c r="X21" s="149">
        <f>'06'!B40</f>
        <v>1148</v>
      </c>
      <c r="Y21" s="150">
        <f>SUM('06'!D40:F40)</f>
        <v>0</v>
      </c>
      <c r="Z21" s="151">
        <f t="shared" si="7"/>
        <v>1626.0199999999995</v>
      </c>
      <c r="AA21" s="148" t="s">
        <v>72</v>
      </c>
      <c r="AB21" s="149">
        <f>'07'!B40</f>
        <v>1128</v>
      </c>
      <c r="AC21" s="150">
        <f>SUM('07'!D40:F40)</f>
        <v>0</v>
      </c>
      <c r="AD21" s="151">
        <f t="shared" si="8"/>
        <v>2754.0199999999995</v>
      </c>
      <c r="AE21" s="148" t="s">
        <v>73</v>
      </c>
      <c r="AF21" s="149">
        <f>'08'!B40</f>
        <v>1128</v>
      </c>
      <c r="AG21" s="150">
        <f>SUM('08'!D40:F40)</f>
        <v>0</v>
      </c>
      <c r="AH21" s="151">
        <f t="shared" si="9"/>
        <v>3882.0199999999995</v>
      </c>
      <c r="AI21" s="148" t="s">
        <v>76</v>
      </c>
      <c r="AJ21" s="149">
        <f>'09'!B40</f>
        <v>1128</v>
      </c>
      <c r="AK21" s="150">
        <f>SUM('09'!D40:F40)</f>
        <v>0</v>
      </c>
      <c r="AL21" s="151">
        <f t="shared" si="10"/>
        <v>5010.0199999999995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6138.0199999999995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7266.0199999999995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8394.02</v>
      </c>
      <c r="AZ21" s="152">
        <f t="shared" si="14"/>
        <v>5939.84</v>
      </c>
      <c r="BA21" s="21">
        <f t="shared" si="15"/>
        <v>0.25311350784715619</v>
      </c>
      <c r="BB21" s="22">
        <f t="shared" ref="BB21:BB45" si="20">_xlfn.RANK.EQ(BA21,$BA$20:$BA$45,)</f>
        <v>1</v>
      </c>
      <c r="BC21" s="22">
        <f t="shared" ca="1" si="16"/>
        <v>1187.9680000000001</v>
      </c>
      <c r="BE21" s="224">
        <f t="shared" ca="1" si="17"/>
        <v>5765</v>
      </c>
      <c r="BF21" s="21">
        <f t="shared" ca="1" si="18"/>
        <v>0.25119639636656282</v>
      </c>
      <c r="BG21" s="22">
        <f t="shared" ref="BG21:BG45" ca="1" si="21">_xlfn.RANK.EQ(BF21,$BF$20:$BF$45,)</f>
        <v>1</v>
      </c>
      <c r="BH21" s="22">
        <f t="shared" ca="1" si="19"/>
        <v>1153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-174.84000000000015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202.62</v>
      </c>
      <c r="V22" s="156">
        <f t="shared" si="6"/>
        <v>611.54000000000019</v>
      </c>
      <c r="W22" s="143" t="s">
        <v>70</v>
      </c>
      <c r="X22" s="155">
        <f>'06'!B60</f>
        <v>246</v>
      </c>
      <c r="Y22" s="155">
        <f>SUM('06'!D60:F60)</f>
        <v>0</v>
      </c>
      <c r="Z22" s="156">
        <f t="shared" si="7"/>
        <v>857.54000000000019</v>
      </c>
      <c r="AA22" s="143" t="s">
        <v>72</v>
      </c>
      <c r="AB22" s="155">
        <f>'07'!B60</f>
        <v>490</v>
      </c>
      <c r="AC22" s="155">
        <f>SUM('07'!D60:F60)</f>
        <v>0</v>
      </c>
      <c r="AD22" s="156">
        <f t="shared" si="8"/>
        <v>1347.5400000000002</v>
      </c>
      <c r="AE22" s="143" t="s">
        <v>73</v>
      </c>
      <c r="AF22" s="155">
        <f>'08'!B60</f>
        <v>490</v>
      </c>
      <c r="AG22" s="155">
        <f>SUM('08'!D60:F60)</f>
        <v>0</v>
      </c>
      <c r="AH22" s="156">
        <f t="shared" si="9"/>
        <v>1837.5400000000002</v>
      </c>
      <c r="AI22" s="143" t="s">
        <v>76</v>
      </c>
      <c r="AJ22" s="155">
        <f>'09'!B60</f>
        <v>490</v>
      </c>
      <c r="AK22" s="155">
        <f>SUM('09'!D60:F60)</f>
        <v>0</v>
      </c>
      <c r="AL22" s="156">
        <f t="shared" si="10"/>
        <v>2327.54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2817.54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3307.54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3797.54</v>
      </c>
      <c r="AZ22" s="157">
        <f t="shared" si="14"/>
        <v>1488.5300000000002</v>
      </c>
      <c r="BA22" s="21">
        <f t="shared" si="15"/>
        <v>6.3430504834427776E-2</v>
      </c>
      <c r="BB22" s="22">
        <f t="shared" si="20"/>
        <v>6</v>
      </c>
      <c r="BC22" s="22">
        <f t="shared" ca="1" si="16"/>
        <v>297.70600000000002</v>
      </c>
      <c r="BE22" s="225">
        <f t="shared" ca="1" si="17"/>
        <v>1854</v>
      </c>
      <c r="BF22" s="21">
        <f t="shared" ca="1" si="18"/>
        <v>8.0783715327598871E-2</v>
      </c>
      <c r="BG22" s="22">
        <f t="shared" ca="1" si="21"/>
        <v>5</v>
      </c>
      <c r="BH22" s="22">
        <f t="shared" ca="1" si="19"/>
        <v>370.8</v>
      </c>
      <c r="BJ22" s="225">
        <f t="shared" ca="1" si="22"/>
        <v>365.47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190.85</v>
      </c>
      <c r="V23" s="151">
        <f t="shared" si="6"/>
        <v>121.33000000000007</v>
      </c>
      <c r="W23" s="148" t="s">
        <v>70</v>
      </c>
      <c r="X23" s="149">
        <f>'06'!B80</f>
        <v>170</v>
      </c>
      <c r="Y23" s="150">
        <f>SUM('06'!D80:F80)</f>
        <v>0</v>
      </c>
      <c r="Z23" s="151">
        <f t="shared" si="7"/>
        <v>291.33000000000004</v>
      </c>
      <c r="AA23" s="148" t="s">
        <v>72</v>
      </c>
      <c r="AB23" s="149">
        <f>'07'!B80</f>
        <v>150</v>
      </c>
      <c r="AC23" s="150">
        <f>SUM('07'!D80:F80)</f>
        <v>0</v>
      </c>
      <c r="AD23" s="151">
        <f t="shared" si="8"/>
        <v>441.33000000000004</v>
      </c>
      <c r="AE23" s="148" t="s">
        <v>73</v>
      </c>
      <c r="AF23" s="149">
        <f>'08'!B80</f>
        <v>150</v>
      </c>
      <c r="AG23" s="150">
        <f>SUM('08'!D80:F80)</f>
        <v>0</v>
      </c>
      <c r="AH23" s="151">
        <f t="shared" si="9"/>
        <v>591.33000000000004</v>
      </c>
      <c r="AI23" s="148" t="s">
        <v>76</v>
      </c>
      <c r="AJ23" s="149">
        <f>'09'!B80</f>
        <v>150</v>
      </c>
      <c r="AK23" s="150">
        <f>SUM('09'!D80:F80)</f>
        <v>0</v>
      </c>
      <c r="AL23" s="151">
        <f t="shared" si="10"/>
        <v>741.33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891.33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1041.33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1191.33</v>
      </c>
      <c r="AZ23" s="152">
        <f t="shared" si="14"/>
        <v>840.8</v>
      </c>
      <c r="BA23" s="21">
        <f t="shared" si="15"/>
        <v>3.5828883841633602E-2</v>
      </c>
      <c r="BB23" s="22">
        <f t="shared" si="20"/>
        <v>7</v>
      </c>
      <c r="BC23" s="22">
        <f t="shared" ca="1" si="16"/>
        <v>168.16</v>
      </c>
      <c r="BE23" s="224">
        <f t="shared" ca="1" si="17"/>
        <v>920</v>
      </c>
      <c r="BF23" s="21">
        <f t="shared" ca="1" si="18"/>
        <v>4.0086849029876463E-2</v>
      </c>
      <c r="BG23" s="22">
        <f t="shared" ca="1" si="21"/>
        <v>7</v>
      </c>
      <c r="BH23" s="22">
        <f t="shared" ca="1" si="19"/>
        <v>184</v>
      </c>
      <c r="BJ23" s="224">
        <f t="shared" ca="1" si="22"/>
        <v>79.200000000000045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109.25</v>
      </c>
      <c r="V24" s="156">
        <f t="shared" si="6"/>
        <v>189.09999999999997</v>
      </c>
      <c r="W24" s="143" t="s">
        <v>70</v>
      </c>
      <c r="X24" s="155">
        <f>'06'!B100</f>
        <v>160</v>
      </c>
      <c r="Y24" s="155">
        <f>SUM('06'!D100:F100)</f>
        <v>0</v>
      </c>
      <c r="Z24" s="156">
        <f t="shared" si="7"/>
        <v>349.09999999999997</v>
      </c>
      <c r="AA24" s="143" t="s">
        <v>72</v>
      </c>
      <c r="AB24" s="155">
        <f>'07'!B100</f>
        <v>160</v>
      </c>
      <c r="AC24" s="155">
        <f>SUM('07'!D100:F100)</f>
        <v>0</v>
      </c>
      <c r="AD24" s="156">
        <f t="shared" si="8"/>
        <v>509.09999999999997</v>
      </c>
      <c r="AE24" s="143" t="s">
        <v>73</v>
      </c>
      <c r="AF24" s="155">
        <f>'08'!B100</f>
        <v>160</v>
      </c>
      <c r="AG24" s="155">
        <f>SUM('08'!D100:F100)</f>
        <v>0</v>
      </c>
      <c r="AH24" s="156">
        <f t="shared" si="9"/>
        <v>669.09999999999991</v>
      </c>
      <c r="AI24" s="143" t="s">
        <v>76</v>
      </c>
      <c r="AJ24" s="155">
        <f>'09'!B100</f>
        <v>160</v>
      </c>
      <c r="AK24" s="155">
        <f>SUM('09'!D100:F100)</f>
        <v>0</v>
      </c>
      <c r="AL24" s="156">
        <f t="shared" si="10"/>
        <v>829.09999999999991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989.09999999999991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1149.0999999999999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1309.0999999999999</v>
      </c>
      <c r="AZ24" s="157">
        <f t="shared" si="14"/>
        <v>620.9</v>
      </c>
      <c r="BA24" s="21">
        <f t="shared" si="15"/>
        <v>2.6458318241282471E-2</v>
      </c>
      <c r="BB24" s="22">
        <f t="shared" si="20"/>
        <v>8</v>
      </c>
      <c r="BC24" s="22">
        <f t="shared" ca="1" si="16"/>
        <v>124.17999999999999</v>
      </c>
      <c r="BE24" s="225">
        <f t="shared" ca="1" si="17"/>
        <v>810</v>
      </c>
      <c r="BF24" s="21">
        <f t="shared" ca="1" si="18"/>
        <v>3.5293856211086889E-2</v>
      </c>
      <c r="BG24" s="22">
        <f t="shared" ca="1" si="21"/>
        <v>8</v>
      </c>
      <c r="BH24" s="22">
        <f t="shared" ca="1" si="19"/>
        <v>162</v>
      </c>
      <c r="BJ24" s="225">
        <f t="shared" ca="1" si="22"/>
        <v>189.09999999999997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445</v>
      </c>
      <c r="U25" s="150">
        <f>SUM('05'!D120:F120)</f>
        <v>327.38</v>
      </c>
      <c r="V25" s="151">
        <f t="shared" si="6"/>
        <v>3784.9999999999973</v>
      </c>
      <c r="W25" s="148" t="s">
        <v>70</v>
      </c>
      <c r="X25" s="149">
        <f>'06'!B120</f>
        <v>445</v>
      </c>
      <c r="Y25" s="150">
        <f>SUM('06'!D120:F120)</f>
        <v>0</v>
      </c>
      <c r="Z25" s="151">
        <f t="shared" si="7"/>
        <v>4229.9999999999973</v>
      </c>
      <c r="AA25" s="148" t="s">
        <v>72</v>
      </c>
      <c r="AB25" s="149">
        <f>'07'!B120</f>
        <v>405</v>
      </c>
      <c r="AC25" s="150">
        <f>SUM('07'!D120:F120)</f>
        <v>0</v>
      </c>
      <c r="AD25" s="151">
        <f t="shared" si="8"/>
        <v>4634.9999999999973</v>
      </c>
      <c r="AE25" s="148" t="s">
        <v>73</v>
      </c>
      <c r="AF25" s="149">
        <f>'08'!B120</f>
        <v>405</v>
      </c>
      <c r="AG25" s="150">
        <f>SUM('08'!D120:F120)</f>
        <v>0</v>
      </c>
      <c r="AH25" s="151">
        <f t="shared" si="9"/>
        <v>5039.9999999999973</v>
      </c>
      <c r="AI25" s="148" t="s">
        <v>76</v>
      </c>
      <c r="AJ25" s="149">
        <f>'09'!B120</f>
        <v>405</v>
      </c>
      <c r="AK25" s="150">
        <f>SUM('09'!D120:F120)</f>
        <v>0</v>
      </c>
      <c r="AL25" s="151">
        <f t="shared" si="10"/>
        <v>5444.9999999999973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5849.9999999999973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6254.9999999999973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6659.9999999999973</v>
      </c>
      <c r="AZ25" s="152">
        <f t="shared" si="14"/>
        <v>1700.9</v>
      </c>
      <c r="BA25" s="21">
        <f t="shared" si="15"/>
        <v>7.2480195678204809E-2</v>
      </c>
      <c r="BB25" s="22">
        <f t="shared" si="20"/>
        <v>5</v>
      </c>
      <c r="BC25" s="22">
        <f t="shared" ca="1" si="16"/>
        <v>340.18</v>
      </c>
      <c r="BE25" s="224">
        <f t="shared" ca="1" si="17"/>
        <v>2323.35</v>
      </c>
      <c r="BF25" s="21">
        <f t="shared" ca="1" si="18"/>
        <v>0.10123454423213421</v>
      </c>
      <c r="BG25" s="22">
        <f t="shared" ca="1" si="21"/>
        <v>4</v>
      </c>
      <c r="BH25" s="22">
        <f t="shared" ca="1" si="19"/>
        <v>464.66999999999996</v>
      </c>
      <c r="BJ25" s="224">
        <f t="shared" ca="1" si="22"/>
        <v>622.44999999999891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7.99</v>
      </c>
      <c r="V26" s="156">
        <f t="shared" si="6"/>
        <v>50.019999999999996</v>
      </c>
      <c r="W26" s="143" t="s">
        <v>70</v>
      </c>
      <c r="X26" s="155">
        <f>'06'!B140</f>
        <v>53</v>
      </c>
      <c r="Y26" s="155">
        <f>SUM('06'!D140:F140)</f>
        <v>0</v>
      </c>
      <c r="Z26" s="156">
        <f t="shared" si="7"/>
        <v>103.02</v>
      </c>
      <c r="AA26" s="143" t="s">
        <v>72</v>
      </c>
      <c r="AB26" s="155">
        <f>'07'!B140</f>
        <v>48</v>
      </c>
      <c r="AC26" s="155">
        <f>SUM('07'!D140:F140)</f>
        <v>0</v>
      </c>
      <c r="AD26" s="156">
        <f t="shared" si="8"/>
        <v>151.01999999999998</v>
      </c>
      <c r="AE26" s="143" t="s">
        <v>73</v>
      </c>
      <c r="AF26" s="155">
        <f>'08'!B140</f>
        <v>48</v>
      </c>
      <c r="AG26" s="155">
        <f>SUM('08'!D140:F140)</f>
        <v>0</v>
      </c>
      <c r="AH26" s="156">
        <f t="shared" si="9"/>
        <v>199.01999999999998</v>
      </c>
      <c r="AI26" s="143" t="s">
        <v>76</v>
      </c>
      <c r="AJ26" s="155">
        <f>'09'!B140</f>
        <v>48</v>
      </c>
      <c r="AK26" s="155">
        <f>SUM('09'!D140:F140)</f>
        <v>0</v>
      </c>
      <c r="AL26" s="156">
        <f t="shared" si="10"/>
        <v>247.01999999999998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295.02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343.02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391.02</v>
      </c>
      <c r="AZ26" s="157">
        <f t="shared" si="14"/>
        <v>229.97000000000003</v>
      </c>
      <c r="BA26" s="21">
        <f t="shared" si="15"/>
        <v>9.7996769946009522E-3</v>
      </c>
      <c r="BB26" s="22">
        <f t="shared" si="20"/>
        <v>16</v>
      </c>
      <c r="BC26" s="22">
        <f t="shared" ca="1" si="16"/>
        <v>45.994000000000007</v>
      </c>
      <c r="BE26" s="225">
        <f t="shared" ca="1" si="17"/>
        <v>260.45</v>
      </c>
      <c r="BF26" s="21">
        <f t="shared" ca="1" si="18"/>
        <v>1.1348499815034049E-2</v>
      </c>
      <c r="BG26" s="22">
        <f t="shared" ca="1" si="21"/>
        <v>17</v>
      </c>
      <c r="BH26" s="22">
        <f t="shared" ca="1" si="19"/>
        <v>52.089999999999996</v>
      </c>
      <c r="BJ26" s="225">
        <f t="shared" ca="1" si="22"/>
        <v>30.480000000000047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50</v>
      </c>
      <c r="Y27" s="186">
        <f>SUM('06'!D160:F160)</f>
        <v>0</v>
      </c>
      <c r="Z27" s="187">
        <f t="shared" si="7"/>
        <v>322.7000000000001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372.7000000000001</v>
      </c>
      <c r="AE27" s="185" t="s">
        <v>73</v>
      </c>
      <c r="AF27" s="186">
        <f>'08'!B160</f>
        <v>50</v>
      </c>
      <c r="AG27" s="186">
        <f>SUM('08'!D160:F160)</f>
        <v>0</v>
      </c>
      <c r="AH27" s="187">
        <f t="shared" si="9"/>
        <v>422.7000000000001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472.7000000000001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522.70000000000005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572.70000000000005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622.70000000000005</v>
      </c>
      <c r="AZ27" s="188">
        <f t="shared" si="14"/>
        <v>281.25</v>
      </c>
      <c r="BA27" s="21">
        <f t="shared" si="15"/>
        <v>1.1984863915865189E-2</v>
      </c>
      <c r="BB27" s="22">
        <f t="shared" si="20"/>
        <v>15</v>
      </c>
      <c r="BC27" s="22">
        <f t="shared" ca="1" si="16"/>
        <v>56.25</v>
      </c>
      <c r="BE27" s="224">
        <f t="shared" ca="1" si="17"/>
        <v>250</v>
      </c>
      <c r="BF27" s="21">
        <f t="shared" ca="1" si="18"/>
        <v>1.0893165497249039E-2</v>
      </c>
      <c r="BG27" s="22">
        <f t="shared" ca="1" si="21"/>
        <v>18</v>
      </c>
      <c r="BH27" s="22">
        <f t="shared" ca="1" si="19"/>
        <v>50</v>
      </c>
      <c r="BJ27" s="224">
        <f t="shared" ca="1" si="22"/>
        <v>-31.249999999999943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200</v>
      </c>
      <c r="U28" s="155">
        <f>SUM('05'!D180:F180)</f>
        <v>0</v>
      </c>
      <c r="V28" s="159">
        <f t="shared" si="6"/>
        <v>446.28000000000009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646.28000000000009</v>
      </c>
      <c r="AA28" s="181" t="s">
        <v>72</v>
      </c>
      <c r="AB28" s="155">
        <f>'07'!B180</f>
        <v>200</v>
      </c>
      <c r="AC28" s="155">
        <f>SUM('07'!D180:F180)</f>
        <v>0</v>
      </c>
      <c r="AD28" s="159">
        <f t="shared" si="8"/>
        <v>846.28000000000009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1046.2800000000002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1246.2800000000002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1446.2800000000002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1646.2800000000002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1846.2800000000002</v>
      </c>
      <c r="AZ28" s="182">
        <f t="shared" ref="AZ28:AZ45" si="23">E28+I28+M28+Q28+U28+Y28+AC28+AG28+AK28+AO28+AS28+AW28</f>
        <v>1992.81</v>
      </c>
      <c r="BA28" s="21">
        <f t="shared" si="15"/>
        <v>8.4919312569512198E-2</v>
      </c>
      <c r="BB28" s="22">
        <f t="shared" si="20"/>
        <v>4</v>
      </c>
      <c r="BC28" s="22">
        <f t="shared" ca="1" si="16"/>
        <v>398.56200000000001</v>
      </c>
      <c r="BE28" s="223">
        <f t="shared" ca="1" si="17"/>
        <v>1830.04</v>
      </c>
      <c r="BF28" s="21">
        <f t="shared" ca="1" si="18"/>
        <v>7.9739714346342527E-2</v>
      </c>
      <c r="BG28" s="22">
        <f t="shared" ca="1" si="21"/>
        <v>6</v>
      </c>
      <c r="BH28" s="22">
        <f t="shared" ca="1" si="19"/>
        <v>366.00799999999998</v>
      </c>
      <c r="BJ28" s="223">
        <f t="shared" ca="1" si="22"/>
        <v>-162.76999999999998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70</v>
      </c>
      <c r="U29" s="150">
        <f>SUM('05'!D200:F200)</f>
        <v>47.63</v>
      </c>
      <c r="V29" s="160">
        <f t="shared" si="6"/>
        <v>98.800000000000068</v>
      </c>
      <c r="W29" s="148" t="s">
        <v>70</v>
      </c>
      <c r="X29" s="149">
        <f>'06'!B200</f>
        <v>70</v>
      </c>
      <c r="Y29" s="150">
        <f>SUM('06'!D200:F200)</f>
        <v>0</v>
      </c>
      <c r="Z29" s="160">
        <f t="shared" si="7"/>
        <v>168.80000000000007</v>
      </c>
      <c r="AA29" s="148" t="s">
        <v>72</v>
      </c>
      <c r="AB29" s="149">
        <f>'07'!B200</f>
        <v>70</v>
      </c>
      <c r="AC29" s="150">
        <f>SUM('07'!D200:F200)</f>
        <v>0</v>
      </c>
      <c r="AD29" s="160">
        <f t="shared" si="8"/>
        <v>238.80000000000007</v>
      </c>
      <c r="AE29" s="148" t="s">
        <v>73</v>
      </c>
      <c r="AF29" s="149">
        <f>'08'!B200</f>
        <v>70</v>
      </c>
      <c r="AG29" s="150">
        <f>SUM('08'!D200:F200)</f>
        <v>0</v>
      </c>
      <c r="AH29" s="160">
        <f t="shared" si="9"/>
        <v>308.80000000000007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378.80000000000007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448.80000000000007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518.80000000000007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588.80000000000007</v>
      </c>
      <c r="AZ29" s="152">
        <f t="shared" si="23"/>
        <v>174.53</v>
      </c>
      <c r="BA29" s="21">
        <f t="shared" si="15"/>
        <v>7.4372206195056053E-3</v>
      </c>
      <c r="BB29" s="22">
        <f t="shared" si="20"/>
        <v>17</v>
      </c>
      <c r="BC29" s="22">
        <f t="shared" ca="1" si="16"/>
        <v>34.905999999999999</v>
      </c>
      <c r="BE29" s="224">
        <f t="shared" ca="1" si="17"/>
        <v>320</v>
      </c>
      <c r="BF29" s="21">
        <f t="shared" ca="1" si="18"/>
        <v>1.394325183647877E-2</v>
      </c>
      <c r="BG29" s="22">
        <f t="shared" ca="1" si="21"/>
        <v>16</v>
      </c>
      <c r="BH29" s="22">
        <f t="shared" ca="1" si="19"/>
        <v>64</v>
      </c>
      <c r="BJ29" s="224">
        <f t="shared" ca="1" si="22"/>
        <v>145.47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35</v>
      </c>
      <c r="U30" s="155">
        <f>SUM('05'!D220:F220)</f>
        <v>27.56</v>
      </c>
      <c r="V30" s="161">
        <f t="shared" si="6"/>
        <v>42.089999999999975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77.089999999999975</v>
      </c>
      <c r="AA30" s="143" t="s">
        <v>72</v>
      </c>
      <c r="AB30" s="155">
        <f>'07'!B220</f>
        <v>35</v>
      </c>
      <c r="AC30" s="155">
        <f>SUM('07'!D220:F220)</f>
        <v>0</v>
      </c>
      <c r="AD30" s="161">
        <f t="shared" si="8"/>
        <v>112.08999999999997</v>
      </c>
      <c r="AE30" s="143" t="s">
        <v>73</v>
      </c>
      <c r="AF30" s="155">
        <f>'08'!B220</f>
        <v>35</v>
      </c>
      <c r="AG30" s="155">
        <f>SUM('08'!D220:F220)</f>
        <v>0</v>
      </c>
      <c r="AH30" s="161">
        <f t="shared" si="9"/>
        <v>147.08999999999997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182.08999999999997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217.08999999999997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252.08999999999997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287.08999999999997</v>
      </c>
      <c r="AZ30" s="157">
        <f t="shared" si="23"/>
        <v>131.07999999999998</v>
      </c>
      <c r="BA30" s="21">
        <f t="shared" si="15"/>
        <v>5.5856923096590533E-3</v>
      </c>
      <c r="BB30" s="22">
        <f t="shared" si="20"/>
        <v>19</v>
      </c>
      <c r="BC30" s="22">
        <f t="shared" ca="1" si="16"/>
        <v>26.215999999999998</v>
      </c>
      <c r="BE30" s="225">
        <f t="shared" ca="1" si="17"/>
        <v>200</v>
      </c>
      <c r="BF30" s="21">
        <f t="shared" ca="1" si="18"/>
        <v>8.7145323977992316E-3</v>
      </c>
      <c r="BG30" s="22">
        <f t="shared" ca="1" si="21"/>
        <v>20</v>
      </c>
      <c r="BH30" s="22">
        <f t="shared" ca="1" si="19"/>
        <v>40</v>
      </c>
      <c r="BJ30" s="225">
        <f t="shared" ca="1" si="22"/>
        <v>68.92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20.98</v>
      </c>
      <c r="V31" s="160">
        <f t="shared" si="6"/>
        <v>81.61999999999999</v>
      </c>
      <c r="W31" s="148" t="s">
        <v>70</v>
      </c>
      <c r="X31" s="149">
        <f>'06'!B240</f>
        <v>20</v>
      </c>
      <c r="Y31" s="150">
        <f>SUM('06'!D240:F240)</f>
        <v>0</v>
      </c>
      <c r="Z31" s="160">
        <f t="shared" si="7"/>
        <v>101.61999999999999</v>
      </c>
      <c r="AA31" s="148" t="s">
        <v>72</v>
      </c>
      <c r="AB31" s="149">
        <f>'07'!B240</f>
        <v>20</v>
      </c>
      <c r="AC31" s="150">
        <f>SUM('07'!D240:F240)</f>
        <v>0</v>
      </c>
      <c r="AD31" s="160">
        <f t="shared" si="8"/>
        <v>121.61999999999999</v>
      </c>
      <c r="AE31" s="148" t="s">
        <v>73</v>
      </c>
      <c r="AF31" s="149">
        <f>'08'!B240</f>
        <v>20</v>
      </c>
      <c r="AG31" s="150">
        <f>SUM('08'!D240:F240)</f>
        <v>0</v>
      </c>
      <c r="AH31" s="160">
        <f t="shared" si="9"/>
        <v>141.62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161.62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181.62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201.62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221.62</v>
      </c>
      <c r="AZ31" s="152">
        <f t="shared" si="23"/>
        <v>94.42</v>
      </c>
      <c r="BA31" s="21">
        <f t="shared" si="15"/>
        <v>4.023505247772413E-3</v>
      </c>
      <c r="BB31" s="22">
        <f t="shared" si="20"/>
        <v>21</v>
      </c>
      <c r="BC31" s="22">
        <f t="shared" ca="1" si="16"/>
        <v>18.884</v>
      </c>
      <c r="BE31" s="224">
        <f t="shared" ca="1" si="17"/>
        <v>100</v>
      </c>
      <c r="BF31" s="21">
        <f t="shared" ca="1" si="18"/>
        <v>4.3572661988996158E-3</v>
      </c>
      <c r="BG31" s="22">
        <f t="shared" ca="1" si="21"/>
        <v>22</v>
      </c>
      <c r="BH31" s="22">
        <f t="shared" ca="1" si="19"/>
        <v>20</v>
      </c>
      <c r="BJ31" s="224">
        <f t="shared" ca="1" si="22"/>
        <v>5.5799999999999841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100</v>
      </c>
      <c r="U32" s="155">
        <f>SUM('05'!D260:F260)</f>
        <v>15</v>
      </c>
      <c r="V32" s="161">
        <f t="shared" si="6"/>
        <v>498.85</v>
      </c>
      <c r="W32" s="143" t="s">
        <v>70</v>
      </c>
      <c r="X32" s="155">
        <f>'06'!B260</f>
        <v>100</v>
      </c>
      <c r="Y32" s="155">
        <f>SUM('06'!D260:F260)</f>
        <v>0</v>
      </c>
      <c r="Z32" s="161">
        <f t="shared" si="7"/>
        <v>598.85</v>
      </c>
      <c r="AA32" s="143" t="s">
        <v>72</v>
      </c>
      <c r="AB32" s="155">
        <f>'07'!B260</f>
        <v>50</v>
      </c>
      <c r="AC32" s="155">
        <f>SUM('07'!D260:F260)</f>
        <v>0</v>
      </c>
      <c r="AD32" s="161">
        <f t="shared" si="8"/>
        <v>648.85</v>
      </c>
      <c r="AE32" s="143" t="s">
        <v>73</v>
      </c>
      <c r="AF32" s="155">
        <f>'08'!B260</f>
        <v>50</v>
      </c>
      <c r="AG32" s="155">
        <f>SUM('08'!D260:F260)</f>
        <v>0</v>
      </c>
      <c r="AH32" s="161">
        <f t="shared" si="9"/>
        <v>698.85</v>
      </c>
      <c r="AI32" s="143" t="s">
        <v>76</v>
      </c>
      <c r="AJ32" s="155">
        <f>'09'!B260</f>
        <v>50</v>
      </c>
      <c r="AK32" s="155">
        <f>SUM('09'!D260:F260)</f>
        <v>0</v>
      </c>
      <c r="AL32" s="161">
        <f t="shared" si="10"/>
        <v>748.85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798.85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848.85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898.85</v>
      </c>
      <c r="AZ32" s="157">
        <f t="shared" si="23"/>
        <v>146.03</v>
      </c>
      <c r="BA32" s="21">
        <f t="shared" si="15"/>
        <v>6.2227544093645991E-3</v>
      </c>
      <c r="BB32" s="22">
        <f t="shared" si="20"/>
        <v>18</v>
      </c>
      <c r="BC32" s="22">
        <f t="shared" ca="1" si="16"/>
        <v>29.206</v>
      </c>
      <c r="BE32" s="225">
        <f t="shared" ca="1" si="17"/>
        <v>659.13</v>
      </c>
      <c r="BF32" s="21">
        <f t="shared" ca="1" si="18"/>
        <v>2.8720048696807037E-2</v>
      </c>
      <c r="BG32" s="22">
        <f t="shared" ca="1" si="21"/>
        <v>10</v>
      </c>
      <c r="BH32" s="22">
        <f t="shared" ca="1" si="19"/>
        <v>131.82599999999999</v>
      </c>
      <c r="BJ32" s="225">
        <f t="shared" ca="1" si="22"/>
        <v>513.1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0</v>
      </c>
      <c r="Z33" s="160">
        <f t="shared" si="7"/>
        <v>537.59000000000026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587.59000000000026</v>
      </c>
      <c r="AE33" s="148" t="s">
        <v>73</v>
      </c>
      <c r="AF33" s="149">
        <f>'08'!B280</f>
        <v>50</v>
      </c>
      <c r="AG33" s="150">
        <f>SUM('08'!D280:F280)</f>
        <v>0</v>
      </c>
      <c r="AH33" s="160">
        <f t="shared" si="9"/>
        <v>637.59000000000026</v>
      </c>
      <c r="AI33" s="148" t="s">
        <v>76</v>
      </c>
      <c r="AJ33" s="149">
        <f>'09'!B280</f>
        <v>50</v>
      </c>
      <c r="AK33" s="150">
        <f>SUM('09'!D280:F280)</f>
        <v>0</v>
      </c>
      <c r="AL33" s="160">
        <f t="shared" si="10"/>
        <v>687.59000000000026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737.59000000000026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787.59000000000026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837.59000000000026</v>
      </c>
      <c r="AZ33" s="152">
        <f t="shared" si="23"/>
        <v>4204.3500000000004</v>
      </c>
      <c r="BA33" s="21">
        <f t="shared" si="15"/>
        <v>0.17915933370548556</v>
      </c>
      <c r="BB33" s="22">
        <f t="shared" si="20"/>
        <v>2</v>
      </c>
      <c r="BC33" s="22">
        <f t="shared" ca="1" si="16"/>
        <v>840.87000000000012</v>
      </c>
      <c r="BE33" s="224">
        <f t="shared" ca="1" si="17"/>
        <v>4271.9400000000005</v>
      </c>
      <c r="BF33" s="21">
        <f t="shared" ca="1" si="18"/>
        <v>0.18613979765727226</v>
      </c>
      <c r="BG33" s="22">
        <f t="shared" ca="1" si="21"/>
        <v>2</v>
      </c>
      <c r="BH33" s="22">
        <f t="shared" ca="1" si="19"/>
        <v>854.38800000000015</v>
      </c>
      <c r="BJ33" s="224">
        <f t="shared" ca="1" si="22"/>
        <v>67.590000000000259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90</v>
      </c>
      <c r="U34" s="155">
        <f>SUM('05'!D300:F300)</f>
        <v>137.85</v>
      </c>
      <c r="V34" s="161">
        <f t="shared" si="6"/>
        <v>170.6999999999999</v>
      </c>
      <c r="W34" s="143" t="s">
        <v>70</v>
      </c>
      <c r="X34" s="155">
        <f>'06'!B300</f>
        <v>90</v>
      </c>
      <c r="Y34" s="155">
        <f>SUM('06'!D300:F300)</f>
        <v>0</v>
      </c>
      <c r="Z34" s="161">
        <f t="shared" si="7"/>
        <v>260.69999999999993</v>
      </c>
      <c r="AA34" s="143" t="s">
        <v>72</v>
      </c>
      <c r="AB34" s="155">
        <f>'07'!B300</f>
        <v>90</v>
      </c>
      <c r="AC34" s="155">
        <f>SUM('07'!D300:F300)</f>
        <v>0</v>
      </c>
      <c r="AD34" s="161">
        <f t="shared" si="8"/>
        <v>350.69999999999993</v>
      </c>
      <c r="AE34" s="143" t="s">
        <v>73</v>
      </c>
      <c r="AF34" s="155">
        <f>'08'!B300</f>
        <v>90</v>
      </c>
      <c r="AG34" s="155">
        <f>SUM('08'!D300:F300)</f>
        <v>0</v>
      </c>
      <c r="AH34" s="161">
        <f t="shared" si="9"/>
        <v>440.69999999999993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530.69999999999993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620.69999999999993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710.69999999999993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800.69999999999993</v>
      </c>
      <c r="AZ34" s="152">
        <f t="shared" si="23"/>
        <v>517.9</v>
      </c>
      <c r="BA34" s="21">
        <f t="shared" si="15"/>
        <v>2.2069194744983398E-2</v>
      </c>
      <c r="BB34" s="22">
        <f t="shared" si="20"/>
        <v>10</v>
      </c>
      <c r="BC34" s="22">
        <f t="shared" ca="1" si="16"/>
        <v>103.58</v>
      </c>
      <c r="BE34" s="225">
        <f t="shared" ca="1" si="17"/>
        <v>587</v>
      </c>
      <c r="BF34" s="21">
        <f t="shared" ca="1" si="18"/>
        <v>2.5577152587540744E-2</v>
      </c>
      <c r="BG34" s="22">
        <f t="shared" ca="1" si="21"/>
        <v>11</v>
      </c>
      <c r="BH34" s="22">
        <f t="shared" ca="1" si="19"/>
        <v>117.4</v>
      </c>
      <c r="BJ34" s="225">
        <f t="shared" ca="1" si="22"/>
        <v>69.099999999999994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147.44999999999999</v>
      </c>
      <c r="U35" s="186">
        <f>SUM('05'!D320:F320)</f>
        <v>94.4</v>
      </c>
      <c r="V35" s="187">
        <f t="shared" si="6"/>
        <v>1679.6400000000003</v>
      </c>
      <c r="W35" s="185" t="s">
        <v>70</v>
      </c>
      <c r="X35" s="186">
        <f>'06'!B320</f>
        <v>130</v>
      </c>
      <c r="Y35" s="186">
        <f>SUM('06'!D320:F320)</f>
        <v>0</v>
      </c>
      <c r="Z35" s="187">
        <f t="shared" si="7"/>
        <v>1809.6400000000003</v>
      </c>
      <c r="AA35" s="185" t="s">
        <v>72</v>
      </c>
      <c r="AB35" s="186">
        <f>'07'!B320</f>
        <v>115</v>
      </c>
      <c r="AC35" s="186">
        <f>SUM('07'!D320:F320)</f>
        <v>0</v>
      </c>
      <c r="AD35" s="187">
        <f t="shared" si="8"/>
        <v>1924.6400000000003</v>
      </c>
      <c r="AE35" s="185" t="s">
        <v>73</v>
      </c>
      <c r="AF35" s="186">
        <f>'08'!B320</f>
        <v>115</v>
      </c>
      <c r="AG35" s="186">
        <f>SUM('08'!D320:F320)</f>
        <v>0</v>
      </c>
      <c r="AH35" s="187">
        <f t="shared" si="9"/>
        <v>2039.6400000000003</v>
      </c>
      <c r="AI35" s="185" t="s">
        <v>76</v>
      </c>
      <c r="AJ35" s="186">
        <f>'09'!B320</f>
        <v>115</v>
      </c>
      <c r="AK35" s="186">
        <f>SUM('09'!D320:F320)</f>
        <v>0</v>
      </c>
      <c r="AL35" s="187">
        <f t="shared" si="10"/>
        <v>2154.6400000000003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2269.6400000000003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2384.6400000000003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2499.6400000000003</v>
      </c>
      <c r="AZ35" s="188">
        <f t="shared" si="23"/>
        <v>565.93999999999994</v>
      </c>
      <c r="BA35" s="21">
        <f t="shared" si="15"/>
        <v>2.4116316033936869E-2</v>
      </c>
      <c r="BB35" s="22">
        <f t="shared" si="20"/>
        <v>9</v>
      </c>
      <c r="BC35" s="22">
        <f t="shared" ca="1" si="16"/>
        <v>113.18799999999999</v>
      </c>
      <c r="BE35" s="224">
        <f t="shared" ca="1" si="17"/>
        <v>755.98</v>
      </c>
      <c r="BF35" s="21">
        <f t="shared" ca="1" si="18"/>
        <v>3.2940061010441314E-2</v>
      </c>
      <c r="BG35" s="22">
        <f t="shared" ca="1" si="21"/>
        <v>9</v>
      </c>
      <c r="BH35" s="22">
        <f t="shared" ca="1" si="19"/>
        <v>151.196</v>
      </c>
      <c r="BJ35" s="224">
        <f t="shared" ca="1" si="22"/>
        <v>190.03999999999996</v>
      </c>
    </row>
    <row r="36" spans="1:62" ht="15.75">
      <c r="A36" s="163" t="s">
        <v>164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0</v>
      </c>
      <c r="Z36" s="156">
        <f t="shared" si="7"/>
        <v>301.92000000000007</v>
      </c>
      <c r="AA36" s="143" t="s">
        <v>72</v>
      </c>
      <c r="AB36" s="164">
        <f>'07'!B340</f>
        <v>90</v>
      </c>
      <c r="AC36" s="164">
        <f>SUM('07'!D340:F340)</f>
        <v>0</v>
      </c>
      <c r="AD36" s="156">
        <f t="shared" si="8"/>
        <v>391.92000000000007</v>
      </c>
      <c r="AE36" s="143" t="s">
        <v>73</v>
      </c>
      <c r="AF36" s="164">
        <f>'08'!B340</f>
        <v>90</v>
      </c>
      <c r="AG36" s="164">
        <f>SUM('08'!D340:F340)</f>
        <v>0</v>
      </c>
      <c r="AH36" s="156">
        <f t="shared" si="9"/>
        <v>481.92000000000007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571.92000000000007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661.92000000000007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751.92000000000007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841.92000000000007</v>
      </c>
      <c r="AZ36" s="182">
        <f t="shared" si="23"/>
        <v>449.09</v>
      </c>
      <c r="BA36" s="21">
        <f t="shared" si="15"/>
        <v>1.9137004572358746E-2</v>
      </c>
      <c r="BB36" s="22">
        <f t="shared" si="20"/>
        <v>12</v>
      </c>
      <c r="BC36" s="22">
        <f t="shared" ca="1" si="16"/>
        <v>89.817999999999998</v>
      </c>
      <c r="BE36" s="223">
        <f t="shared" ca="1" si="17"/>
        <v>560.02</v>
      </c>
      <c r="BF36" s="21">
        <f t="shared" ca="1" si="18"/>
        <v>2.4401562167077628E-2</v>
      </c>
      <c r="BG36" s="22">
        <f t="shared" ca="1" si="21"/>
        <v>13</v>
      </c>
      <c r="BH36" s="22">
        <f t="shared" ca="1" si="19"/>
        <v>112.00399999999999</v>
      </c>
      <c r="BJ36" s="223">
        <f t="shared" ca="1" si="22"/>
        <v>110.93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45</v>
      </c>
      <c r="Y37" s="165">
        <f>SUM('06'!D360:F360)</f>
        <v>0</v>
      </c>
      <c r="Z37" s="151">
        <f t="shared" si="7"/>
        <v>185.73000000000002</v>
      </c>
      <c r="AA37" s="148" t="s">
        <v>72</v>
      </c>
      <c r="AB37" s="165">
        <f>'07'!B360</f>
        <v>45</v>
      </c>
      <c r="AC37" s="165">
        <f>SUM('07'!D360:F360)</f>
        <v>0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367.65</v>
      </c>
      <c r="BA37" s="21">
        <f t="shared" si="15"/>
        <v>1.5666614110818974E-2</v>
      </c>
      <c r="BB37" s="22">
        <f t="shared" si="20"/>
        <v>13</v>
      </c>
      <c r="BC37" s="22">
        <f t="shared" ca="1" si="16"/>
        <v>73.53</v>
      </c>
      <c r="BE37" s="224">
        <f t="shared" ca="1" si="17"/>
        <v>235</v>
      </c>
      <c r="BF37" s="21">
        <f t="shared" ca="1" si="18"/>
        <v>1.0239575567414097E-2</v>
      </c>
      <c r="BG37" s="22">
        <f t="shared" ca="1" si="21"/>
        <v>19</v>
      </c>
      <c r="BH37" s="22">
        <f t="shared" ca="1" si="19"/>
        <v>47</v>
      </c>
      <c r="BJ37" s="224">
        <f t="shared" ca="1" si="22"/>
        <v>-132.64999999999998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23.549999999999997</v>
      </c>
      <c r="V38" s="156">
        <f t="shared" si="6"/>
        <v>99.470000000000041</v>
      </c>
      <c r="W38" s="143" t="s">
        <v>70</v>
      </c>
      <c r="X38" s="166">
        <f>'06'!B380</f>
        <v>70</v>
      </c>
      <c r="Y38" s="166">
        <f>SUM('06'!D380:F380)</f>
        <v>0</v>
      </c>
      <c r="Z38" s="156">
        <f t="shared" si="7"/>
        <v>169.47000000000003</v>
      </c>
      <c r="AA38" s="143" t="s">
        <v>72</v>
      </c>
      <c r="AB38" s="166">
        <f>'07'!B380</f>
        <v>70</v>
      </c>
      <c r="AC38" s="166">
        <f>SUM('07'!D380:F380)</f>
        <v>0</v>
      </c>
      <c r="AD38" s="156">
        <f t="shared" si="8"/>
        <v>239.47000000000003</v>
      </c>
      <c r="AE38" s="143" t="s">
        <v>73</v>
      </c>
      <c r="AF38" s="166">
        <f>'08'!B380</f>
        <v>70</v>
      </c>
      <c r="AG38" s="166">
        <f>SUM('08'!D380:F380)</f>
        <v>0</v>
      </c>
      <c r="AH38" s="156">
        <f t="shared" si="9"/>
        <v>309.47000000000003</v>
      </c>
      <c r="AI38" s="143" t="s">
        <v>76</v>
      </c>
      <c r="AJ38" s="166">
        <f>'09'!B380</f>
        <v>70</v>
      </c>
      <c r="AK38" s="166">
        <f>SUM('09'!D380:F380)</f>
        <v>0</v>
      </c>
      <c r="AL38" s="156">
        <f t="shared" si="10"/>
        <v>379.47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449.47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519.47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589.47</v>
      </c>
      <c r="AZ38" s="157">
        <f t="shared" si="23"/>
        <v>319.73</v>
      </c>
      <c r="BA38" s="21">
        <f t="shared" si="15"/>
        <v>1.362460636380294E-2</v>
      </c>
      <c r="BB38" s="22">
        <f t="shared" si="20"/>
        <v>14</v>
      </c>
      <c r="BC38" s="22">
        <f t="shared" ca="1" si="16"/>
        <v>63.946000000000005</v>
      </c>
      <c r="BE38" s="225">
        <f t="shared" ca="1" si="17"/>
        <v>380</v>
      </c>
      <c r="BF38" s="21">
        <f t="shared" ca="1" si="18"/>
        <v>1.655761155581854E-2</v>
      </c>
      <c r="BG38" s="22">
        <f t="shared" ca="1" si="21"/>
        <v>15</v>
      </c>
      <c r="BH38" s="22">
        <f t="shared" ca="1" si="19"/>
        <v>76</v>
      </c>
      <c r="BJ38" s="225">
        <f t="shared" ca="1" si="22"/>
        <v>60.27000000000001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15</v>
      </c>
      <c r="U39" s="165">
        <f>SUM('05'!D400:F400)</f>
        <v>0</v>
      </c>
      <c r="V39" s="151">
        <f t="shared" si="6"/>
        <v>1366.26</v>
      </c>
      <c r="W39" s="148" t="s">
        <v>70</v>
      </c>
      <c r="X39" s="165">
        <f>'06'!B400</f>
        <v>15</v>
      </c>
      <c r="Y39" s="165">
        <f>SUM('06'!D400:F400)</f>
        <v>0</v>
      </c>
      <c r="Z39" s="151">
        <f t="shared" si="7"/>
        <v>1381.26</v>
      </c>
      <c r="AA39" s="148" t="s">
        <v>72</v>
      </c>
      <c r="AB39" s="165">
        <f>'07'!B400</f>
        <v>20</v>
      </c>
      <c r="AC39" s="165">
        <f>SUM('07'!D400:F400)</f>
        <v>0</v>
      </c>
      <c r="AD39" s="151">
        <f t="shared" si="8"/>
        <v>1401.26</v>
      </c>
      <c r="AE39" s="148" t="s">
        <v>73</v>
      </c>
      <c r="AF39" s="165">
        <f>'08'!B400</f>
        <v>20</v>
      </c>
      <c r="AG39" s="165">
        <f>SUM('08'!D400:F400)</f>
        <v>0</v>
      </c>
      <c r="AH39" s="151">
        <f t="shared" si="9"/>
        <v>1421.26</v>
      </c>
      <c r="AI39" s="148" t="s">
        <v>76</v>
      </c>
      <c r="AJ39" s="165">
        <f>'09'!B400</f>
        <v>20</v>
      </c>
      <c r="AK39" s="165">
        <f>SUM('09'!D400:F400)</f>
        <v>0</v>
      </c>
      <c r="AL39" s="151">
        <f t="shared" si="10"/>
        <v>1441.26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1461.26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1481.26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1501.26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186.26</v>
      </c>
      <c r="BF39" s="21">
        <f t="shared" ca="1" si="18"/>
        <v>8.1158440220704241E-3</v>
      </c>
      <c r="BG39" s="22">
        <f t="shared" ca="1" si="21"/>
        <v>21</v>
      </c>
      <c r="BH39" s="22">
        <f t="shared" ca="1" si="19"/>
        <v>37.251999999999995</v>
      </c>
      <c r="BJ39" s="224">
        <f t="shared" ca="1" si="22"/>
        <v>186.26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95.86</v>
      </c>
      <c r="U40" s="166">
        <f>SUM('05'!D420:F420)</f>
        <v>2.27</v>
      </c>
      <c r="V40" s="156">
        <f t="shared" si="6"/>
        <v>1125.4100000000005</v>
      </c>
      <c r="W40" s="143" t="s">
        <v>70</v>
      </c>
      <c r="X40" s="166">
        <f>'06'!B420</f>
        <v>50</v>
      </c>
      <c r="Y40" s="166">
        <f>SUM('06'!D420:F420)</f>
        <v>0</v>
      </c>
      <c r="Z40" s="156">
        <f t="shared" si="7"/>
        <v>1175.4100000000005</v>
      </c>
      <c r="AA40" s="143" t="s">
        <v>72</v>
      </c>
      <c r="AB40" s="166">
        <f>'07'!B420</f>
        <v>20</v>
      </c>
      <c r="AC40" s="166">
        <f>SUM('07'!D420:F420)</f>
        <v>0</v>
      </c>
      <c r="AD40" s="156">
        <f t="shared" si="8"/>
        <v>1195.4100000000005</v>
      </c>
      <c r="AE40" s="143" t="s">
        <v>73</v>
      </c>
      <c r="AF40" s="166">
        <f>'08'!B420</f>
        <v>20</v>
      </c>
      <c r="AG40" s="166">
        <f>SUM('08'!D420:F420)</f>
        <v>0</v>
      </c>
      <c r="AH40" s="156">
        <f t="shared" si="9"/>
        <v>1215.4100000000005</v>
      </c>
      <c r="AI40" s="143" t="s">
        <v>76</v>
      </c>
      <c r="AJ40" s="166">
        <f>'09'!B420</f>
        <v>20</v>
      </c>
      <c r="AK40" s="166">
        <f>SUM('09'!D420:F420)</f>
        <v>0</v>
      </c>
      <c r="AL40" s="156">
        <f t="shared" si="10"/>
        <v>1235.4100000000005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1255.4100000000005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1275.4100000000005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1295.4100000000005</v>
      </c>
      <c r="AZ40" s="157">
        <f t="shared" si="23"/>
        <v>110.60000000000001</v>
      </c>
      <c r="BA40" s="21">
        <f t="shared" si="15"/>
        <v>4.7129811523366752E-3</v>
      </c>
      <c r="BB40" s="22">
        <f t="shared" si="20"/>
        <v>20</v>
      </c>
      <c r="BC40" s="22">
        <f t="shared" ca="1" si="16"/>
        <v>22.12</v>
      </c>
      <c r="BE40" s="225">
        <f t="shared" ca="1" si="17"/>
        <v>431.5</v>
      </c>
      <c r="BF40" s="21">
        <f t="shared" ca="1" si="18"/>
        <v>1.8801603648251841E-2</v>
      </c>
      <c r="BG40" s="22">
        <f t="shared" ca="1" si="21"/>
        <v>14</v>
      </c>
      <c r="BH40" s="22">
        <f t="shared" ca="1" si="19"/>
        <v>86.3</v>
      </c>
      <c r="BJ40" s="225">
        <f t="shared" ca="1" si="22"/>
        <v>320.90000000000009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-2676.13</v>
      </c>
      <c r="U41" s="165">
        <f>SUM('05'!D440:F440)</f>
        <v>0</v>
      </c>
      <c r="V41" s="151">
        <f t="shared" si="6"/>
        <v>5324.7099999999982</v>
      </c>
      <c r="W41" s="148" t="s">
        <v>70</v>
      </c>
      <c r="X41" s="165">
        <f>'06'!B440</f>
        <v>-3900</v>
      </c>
      <c r="Y41" s="165">
        <f>SUM('06'!D440:F440)</f>
        <v>0</v>
      </c>
      <c r="Z41" s="151">
        <f t="shared" si="7"/>
        <v>1424.7099999999982</v>
      </c>
      <c r="AA41" s="148" t="s">
        <v>72</v>
      </c>
      <c r="AB41" s="165">
        <f>'07'!B440</f>
        <v>-3900</v>
      </c>
      <c r="AC41" s="165">
        <f>SUM('07'!D440:F440)</f>
        <v>0</v>
      </c>
      <c r="AD41" s="151">
        <f t="shared" si="8"/>
        <v>-2475.2900000000018</v>
      </c>
      <c r="AE41" s="148" t="s">
        <v>73</v>
      </c>
      <c r="AF41" s="165">
        <f>'08'!B440</f>
        <v>-3900</v>
      </c>
      <c r="AG41" s="165">
        <f>SUM('08'!D440:F440)</f>
        <v>0</v>
      </c>
      <c r="AH41" s="151">
        <f t="shared" si="9"/>
        <v>-6375.2900000000018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-10275.290000000001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-14175.29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-18075.29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-21975.29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-3225.29</v>
      </c>
      <c r="BF41" s="21">
        <f t="shared" ca="1" si="18"/>
        <v>-0.14053447098648941</v>
      </c>
      <c r="BG41" s="22">
        <f t="shared" ca="1" si="21"/>
        <v>26</v>
      </c>
      <c r="BH41" s="22">
        <f t="shared" ca="1" si="19"/>
        <v>-645.05799999999999</v>
      </c>
      <c r="BJ41" s="224">
        <f t="shared" ca="1" si="22"/>
        <v>-3225.29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0</v>
      </c>
      <c r="U42" s="166">
        <f>SUM('05'!D460:F460)</f>
        <v>0</v>
      </c>
      <c r="V42" s="156">
        <f t="shared" si="6"/>
        <v>6894.0999999999995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6894.0999999999995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6894.0999999999995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6894.0999999999995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6894.0999999999995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6894.0999999999995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6894.0999999999995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6894.0999999999995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1.9800000000000182</v>
      </c>
      <c r="BF42" s="21">
        <f t="shared" ca="1" si="18"/>
        <v>8.6273870738213187E-5</v>
      </c>
      <c r="BG42" s="22">
        <f t="shared" ca="1" si="21"/>
        <v>23</v>
      </c>
      <c r="BH42" s="22">
        <f t="shared" ca="1" si="19"/>
        <v>0.39600000000000363</v>
      </c>
      <c r="BJ42" s="225">
        <f t="shared" ca="1" si="22"/>
        <v>1.9799999999995634</v>
      </c>
    </row>
    <row r="43" spans="1:62" ht="15.75">
      <c r="A43" s="162" t="s">
        <v>174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65</v>
      </c>
      <c r="U43" s="149">
        <f>SUM('05'!D480:F480)</f>
        <v>0</v>
      </c>
      <c r="V43" s="151">
        <f t="shared" si="6"/>
        <v>1033.6300000000001</v>
      </c>
      <c r="W43" s="148" t="s">
        <v>70</v>
      </c>
      <c r="X43" s="149">
        <f>'06'!B480</f>
        <v>65</v>
      </c>
      <c r="Y43" s="149">
        <f>SUM('06'!D480:F480)</f>
        <v>0</v>
      </c>
      <c r="Z43" s="151">
        <f t="shared" si="7"/>
        <v>1098.6300000000001</v>
      </c>
      <c r="AA43" s="148" t="s">
        <v>72</v>
      </c>
      <c r="AB43" s="149">
        <f>'07'!B480</f>
        <v>50</v>
      </c>
      <c r="AC43" s="149">
        <f>SUM('07'!D480:F480)</f>
        <v>0</v>
      </c>
      <c r="AD43" s="151">
        <f t="shared" si="8"/>
        <v>1148.6300000000001</v>
      </c>
      <c r="AE43" s="148" t="s">
        <v>73</v>
      </c>
      <c r="AF43" s="149">
        <f>'08'!B480</f>
        <v>50</v>
      </c>
      <c r="AG43" s="149">
        <f>SUM('08'!D480:F480)</f>
        <v>0</v>
      </c>
      <c r="AH43" s="151">
        <f t="shared" si="9"/>
        <v>1198.6300000000001</v>
      </c>
      <c r="AI43" s="148" t="s">
        <v>76</v>
      </c>
      <c r="AJ43" s="149">
        <f>'09'!B480</f>
        <v>50</v>
      </c>
      <c r="AK43" s="149">
        <f>SUM('09'!D480:F480)</f>
        <v>0</v>
      </c>
      <c r="AL43" s="151">
        <f t="shared" si="10"/>
        <v>1248.6300000000001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1298.6300000000001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1348.63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1398.63</v>
      </c>
      <c r="AZ43" s="152">
        <f t="shared" si="23"/>
        <v>500</v>
      </c>
      <c r="BA43" s="21">
        <f t="shared" si="15"/>
        <v>2.1306424739315891E-2</v>
      </c>
      <c r="BB43" s="22">
        <f t="shared" si="20"/>
        <v>11</v>
      </c>
      <c r="BC43" s="22">
        <f t="shared" ca="1" si="16"/>
        <v>100</v>
      </c>
      <c r="BE43" s="224">
        <f t="shared" ca="1" si="17"/>
        <v>570.63000000000011</v>
      </c>
      <c r="BF43" s="21">
        <f t="shared" ca="1" si="18"/>
        <v>2.4863868110780882E-2</v>
      </c>
      <c r="BG43" s="22">
        <f t="shared" ca="1" si="21"/>
        <v>12</v>
      </c>
      <c r="BH43" s="22">
        <f t="shared" ca="1" si="19"/>
        <v>114.12600000000002</v>
      </c>
      <c r="BJ43" s="224">
        <f t="shared" ca="1" si="22"/>
        <v>70.630000000000109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24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0</v>
      </c>
      <c r="AG45" s="175">
        <f>SUM('08'!D520:F520)</f>
        <v>0</v>
      </c>
      <c r="AH45" s="176">
        <f t="shared" si="9"/>
        <v>31.340000000000028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31.340000000000028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31.340000000000028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31.340000000000028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31.340000000000028</v>
      </c>
      <c r="AZ45" s="177">
        <f t="shared" si="23"/>
        <v>64.58</v>
      </c>
      <c r="BA45" s="21">
        <f t="shared" si="15"/>
        <v>2.7519378193300403E-3</v>
      </c>
      <c r="BB45" s="22">
        <f t="shared" si="20"/>
        <v>22</v>
      </c>
      <c r="BC45" s="22">
        <f t="shared" ca="1" si="16"/>
        <v>12.916</v>
      </c>
      <c r="BE45" s="226">
        <f t="shared" ca="1" si="17"/>
        <v>0</v>
      </c>
      <c r="BF45" s="21">
        <f t="shared" ca="1" si="18"/>
        <v>0</v>
      </c>
      <c r="BG45" s="22">
        <f t="shared" ca="1" si="21"/>
        <v>24</v>
      </c>
      <c r="BH45" s="22">
        <f t="shared" ca="1" si="19"/>
        <v>0</v>
      </c>
      <c r="BJ45" s="226">
        <f t="shared" ca="1" si="22"/>
        <v>-64.58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1389.62</v>
      </c>
      <c r="U46" s="219">
        <f>SUM(U20:U45)</f>
        <v>2686.1000000000004</v>
      </c>
      <c r="V46" s="220">
        <f>SUM(V20:V45)</f>
        <v>25866.609999999993</v>
      </c>
      <c r="W46" s="218"/>
      <c r="X46" s="219">
        <f>SUM(X20:X45)</f>
        <v>-54</v>
      </c>
      <c r="Y46" s="219">
        <f>SUM(Y20:Y45)</f>
        <v>0</v>
      </c>
      <c r="Z46" s="220">
        <f>SUM(Z20:Z45)</f>
        <v>25812.609999999997</v>
      </c>
      <c r="AA46" s="218"/>
      <c r="AB46" s="219">
        <f>SUM(AB20:AB45)</f>
        <v>0</v>
      </c>
      <c r="AC46" s="219">
        <f>SUM(AC20:AC45)</f>
        <v>0</v>
      </c>
      <c r="AD46" s="220">
        <f>SUM(AD20:AD45)</f>
        <v>25812.609999999997</v>
      </c>
      <c r="AE46" s="218"/>
      <c r="AF46" s="219">
        <f>SUM(AF20:AF45)</f>
        <v>0</v>
      </c>
      <c r="AG46" s="219">
        <f>SUM(AG20:AG45)</f>
        <v>0</v>
      </c>
      <c r="AH46" s="220">
        <f>SUM(AH20:AH45)</f>
        <v>25812.60999999999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25812.60999999999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25812.60999999999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25812.609999999993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25812.61</v>
      </c>
      <c r="AZ46" s="227">
        <f>SUM(AZ20:AZ45)</f>
        <v>23467.100000000002</v>
      </c>
      <c r="BA46" s="1"/>
      <c r="BB46" s="1"/>
      <c r="BC46" s="124">
        <f ca="1">SUM(BC20:BC45)</f>
        <v>4693.42</v>
      </c>
      <c r="BE46" s="227">
        <f ca="1">SUM(BE20:BE45)</f>
        <v>22950.170000000002</v>
      </c>
      <c r="BF46" s="1"/>
      <c r="BG46" s="1"/>
      <c r="BH46" s="124">
        <f ca="1">SUM(BH20:BH45)</f>
        <v>4590.0340000000006</v>
      </c>
      <c r="BJ46" s="227">
        <f ca="1">SUM(BJ20:BJ45)</f>
        <v>-516.93000000000177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-1296.4800000000005</v>
      </c>
      <c r="V47" s="125"/>
      <c r="W47" s="125">
        <f>W5-V46</f>
        <v>-7831.9699999999939</v>
      </c>
      <c r="X47" s="125">
        <f>W17-X46</f>
        <v>54</v>
      </c>
      <c r="Y47" s="125">
        <f>W17-Y46</f>
        <v>0</v>
      </c>
      <c r="Z47" s="125"/>
      <c r="AA47" s="125">
        <f>AA5-Z46</f>
        <v>-10710.719999999996</v>
      </c>
      <c r="AB47" s="125">
        <f>AA17-AB46</f>
        <v>0</v>
      </c>
      <c r="AC47" s="125">
        <f>AA17-AC46</f>
        <v>0</v>
      </c>
      <c r="AD47" s="125"/>
      <c r="AE47" s="125">
        <f>AE5-AD46</f>
        <v>-10710.719999999996</v>
      </c>
      <c r="AF47" s="125">
        <f>AE17-AF46</f>
        <v>0</v>
      </c>
      <c r="AG47" s="125">
        <f>AE17-AG46</f>
        <v>0</v>
      </c>
      <c r="AH47" s="125"/>
      <c r="AI47" s="125">
        <f>AI5-AH46</f>
        <v>-10710.719999999988</v>
      </c>
      <c r="AJ47" s="125">
        <f>AI17-AJ46</f>
        <v>0</v>
      </c>
      <c r="AK47" s="125">
        <f>AI17-AK46</f>
        <v>0</v>
      </c>
      <c r="AL47" s="125"/>
      <c r="AM47" s="125">
        <f>AM5-AL46</f>
        <v>-10710.719999999988</v>
      </c>
      <c r="AN47" s="125">
        <f>AM17-AN46</f>
        <v>0</v>
      </c>
      <c r="AO47" s="125">
        <f>AM17-AO46</f>
        <v>0</v>
      </c>
      <c r="AP47" s="125"/>
      <c r="AQ47" s="125">
        <f>AQ5-AP46</f>
        <v>-10710.719999999988</v>
      </c>
      <c r="AR47" s="125">
        <f>AQ17-AR46</f>
        <v>0</v>
      </c>
      <c r="AS47" s="125">
        <f>AQ17-AS46</f>
        <v>0</v>
      </c>
      <c r="AT47" s="140"/>
      <c r="AU47" s="125">
        <f>AU5-AT46</f>
        <v>-10710.719999999992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198</v>
      </c>
      <c r="AW48" s="5"/>
      <c r="AX48" s="5"/>
      <c r="AZ48" s="112">
        <f>4000*12</f>
        <v>48000</v>
      </c>
      <c r="BA48" s="112"/>
      <c r="BB48" s="1" t="s">
        <v>199</v>
      </c>
      <c r="BC48" s="112">
        <f ca="1">12*BC46</f>
        <v>56321.04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209.42000000000002</v>
      </c>
      <c r="V50" s="119" t="s">
        <v>473</v>
      </c>
      <c r="W50" s="119"/>
      <c r="X50" s="119"/>
      <c r="Y50" s="119">
        <f>Y22+(N59/2)</f>
        <v>6.8</v>
      </c>
      <c r="Z50" s="119"/>
      <c r="AA50" s="119"/>
      <c r="AB50" s="119"/>
      <c r="AC50" s="119">
        <f>AC22</f>
        <v>0</v>
      </c>
      <c r="AD50" s="119"/>
      <c r="AE50" s="119"/>
      <c r="AF50" s="119"/>
      <c r="AG50" s="119">
        <f>AG22</f>
        <v>0</v>
      </c>
      <c r="AH50" s="119"/>
      <c r="AI50" s="119"/>
      <c r="AJ50" s="119"/>
      <c r="AK50" s="119">
        <f>AK22</f>
        <v>0</v>
      </c>
      <c r="AL50" s="119"/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245" t="s">
        <v>149</v>
      </c>
      <c r="D52" s="246"/>
      <c r="E52" s="246"/>
      <c r="F52" s="247"/>
      <c r="G52" s="245" t="s">
        <v>149</v>
      </c>
      <c r="H52" s="246"/>
      <c r="I52" s="246"/>
      <c r="J52" s="247"/>
      <c r="K52" s="245" t="s">
        <v>149</v>
      </c>
      <c r="L52" s="246"/>
      <c r="M52" s="246"/>
      <c r="N52" s="247"/>
      <c r="O52" s="245" t="s">
        <v>149</v>
      </c>
      <c r="P52" s="246"/>
      <c r="Q52" s="246"/>
      <c r="R52" s="247"/>
      <c r="S52" s="245" t="s">
        <v>149</v>
      </c>
      <c r="T52" s="246"/>
      <c r="U52" s="246"/>
      <c r="V52" s="247"/>
      <c r="W52" s="245" t="s">
        <v>149</v>
      </c>
      <c r="X52" s="246"/>
      <c r="Y52" s="246"/>
      <c r="Z52" s="247"/>
      <c r="AA52" s="245" t="s">
        <v>149</v>
      </c>
      <c r="AB52" s="246"/>
      <c r="AC52" s="246"/>
      <c r="AD52" s="247"/>
      <c r="AE52" s="245" t="s">
        <v>149</v>
      </c>
      <c r="AF52" s="246"/>
      <c r="AG52" s="246"/>
      <c r="AH52" s="247"/>
      <c r="AI52" s="245" t="s">
        <v>149</v>
      </c>
      <c r="AJ52" s="246"/>
      <c r="AK52" s="246"/>
      <c r="AL52" s="247"/>
      <c r="AM52" s="245" t="s">
        <v>149</v>
      </c>
      <c r="AN52" s="246"/>
      <c r="AO52" s="246"/>
      <c r="AP52" s="247"/>
      <c r="AQ52" s="245" t="s">
        <v>149</v>
      </c>
      <c r="AR52" s="246"/>
      <c r="AS52" s="246"/>
      <c r="AT52" s="247"/>
      <c r="AU52" s="245" t="s">
        <v>149</v>
      </c>
      <c r="AV52" s="246"/>
      <c r="AW52" s="246"/>
      <c r="AX52" s="247"/>
    </row>
    <row r="53" spans="1:62" ht="15.75" thickBot="1">
      <c r="C53" s="93" t="s">
        <v>150</v>
      </c>
      <c r="D53" s="248" t="s">
        <v>31</v>
      </c>
      <c r="E53" s="249"/>
      <c r="F53" s="94" t="s">
        <v>88</v>
      </c>
      <c r="G53" s="93" t="s">
        <v>150</v>
      </c>
      <c r="H53" s="248" t="s">
        <v>31</v>
      </c>
      <c r="I53" s="249"/>
      <c r="J53" s="94" t="s">
        <v>88</v>
      </c>
      <c r="K53" s="93" t="s">
        <v>150</v>
      </c>
      <c r="L53" s="248" t="s">
        <v>31</v>
      </c>
      <c r="M53" s="249"/>
      <c r="N53" s="94" t="s">
        <v>88</v>
      </c>
      <c r="O53" s="93" t="s">
        <v>150</v>
      </c>
      <c r="P53" s="248" t="s">
        <v>31</v>
      </c>
      <c r="Q53" s="249"/>
      <c r="R53" s="94" t="s">
        <v>88</v>
      </c>
      <c r="S53" s="93" t="s">
        <v>150</v>
      </c>
      <c r="T53" s="248" t="s">
        <v>31</v>
      </c>
      <c r="U53" s="249"/>
      <c r="V53" s="94" t="s">
        <v>88</v>
      </c>
      <c r="W53" s="93" t="s">
        <v>150</v>
      </c>
      <c r="X53" s="248" t="s">
        <v>31</v>
      </c>
      <c r="Y53" s="249"/>
      <c r="Z53" s="94" t="s">
        <v>88</v>
      </c>
      <c r="AA53" s="93" t="s">
        <v>150</v>
      </c>
      <c r="AB53" s="248" t="s">
        <v>31</v>
      </c>
      <c r="AC53" s="249"/>
      <c r="AD53" s="94" t="s">
        <v>88</v>
      </c>
      <c r="AE53" s="93" t="s">
        <v>150</v>
      </c>
      <c r="AF53" s="248" t="s">
        <v>31</v>
      </c>
      <c r="AG53" s="249"/>
      <c r="AH53" s="94" t="s">
        <v>88</v>
      </c>
      <c r="AI53" s="93" t="s">
        <v>150</v>
      </c>
      <c r="AJ53" s="248" t="s">
        <v>31</v>
      </c>
      <c r="AK53" s="249"/>
      <c r="AL53" s="94" t="s">
        <v>88</v>
      </c>
      <c r="AM53" s="93" t="s">
        <v>150</v>
      </c>
      <c r="AN53" s="248" t="s">
        <v>31</v>
      </c>
      <c r="AO53" s="249"/>
      <c r="AP53" s="94" t="s">
        <v>88</v>
      </c>
      <c r="AQ53" s="93" t="s">
        <v>150</v>
      </c>
      <c r="AR53" s="248" t="s">
        <v>31</v>
      </c>
      <c r="AS53" s="249"/>
      <c r="AT53" s="94" t="s">
        <v>88</v>
      </c>
      <c r="AU53" s="93" t="s">
        <v>150</v>
      </c>
      <c r="AV53" s="248" t="s">
        <v>31</v>
      </c>
      <c r="AW53" s="249"/>
      <c r="AX53" s="94" t="s">
        <v>88</v>
      </c>
    </row>
    <row r="54" spans="1:62">
      <c r="C54" s="95">
        <v>43495</v>
      </c>
      <c r="D54" s="250" t="s">
        <v>238</v>
      </c>
      <c r="E54" s="251"/>
      <c r="F54" s="98"/>
      <c r="G54" s="95">
        <v>43497</v>
      </c>
      <c r="H54" s="250" t="s">
        <v>273</v>
      </c>
      <c r="I54" s="251"/>
      <c r="J54" s="100">
        <v>500</v>
      </c>
      <c r="K54" s="95">
        <v>43539</v>
      </c>
      <c r="L54" s="270" t="s">
        <v>260</v>
      </c>
      <c r="M54" s="271"/>
      <c r="N54" s="100">
        <v>70</v>
      </c>
      <c r="O54" s="95"/>
      <c r="P54" s="256"/>
      <c r="Q54" s="257"/>
      <c r="R54" s="102"/>
      <c r="S54" s="95">
        <v>43594</v>
      </c>
      <c r="T54" s="270" t="s">
        <v>246</v>
      </c>
      <c r="U54" s="271"/>
      <c r="V54" s="103"/>
      <c r="W54" s="96"/>
      <c r="X54" s="258"/>
      <c r="Y54" s="259"/>
      <c r="Z54" s="104"/>
      <c r="AA54" s="95"/>
      <c r="AB54" s="268" t="s">
        <v>481</v>
      </c>
      <c r="AC54" s="269"/>
      <c r="AD54" s="239">
        <v>16</v>
      </c>
      <c r="AE54" s="95"/>
      <c r="AF54" s="264"/>
      <c r="AG54" s="265"/>
      <c r="AH54" s="100"/>
      <c r="AI54" s="95"/>
      <c r="AJ54" s="260"/>
      <c r="AK54" s="261"/>
      <c r="AL54" s="100"/>
      <c r="AM54" s="95"/>
      <c r="AN54" s="260"/>
      <c r="AO54" s="261"/>
      <c r="AP54" s="100"/>
      <c r="AQ54" s="95"/>
      <c r="AR54" s="256"/>
      <c r="AS54" s="257"/>
      <c r="AT54" s="100"/>
      <c r="AU54" s="95"/>
      <c r="AV54" s="250"/>
      <c r="AW54" s="251"/>
      <c r="AX54" s="100"/>
    </row>
    <row r="55" spans="1:62">
      <c r="C55" s="96"/>
      <c r="D55" s="241" t="s">
        <v>239</v>
      </c>
      <c r="E55" s="242"/>
      <c r="F55" s="98">
        <v>121.4</v>
      </c>
      <c r="G55" s="96">
        <v>43516</v>
      </c>
      <c r="H55" s="241" t="s">
        <v>314</v>
      </c>
      <c r="I55" s="242"/>
      <c r="J55" s="100"/>
      <c r="K55" s="96">
        <v>43553</v>
      </c>
      <c r="L55" s="241" t="s">
        <v>300</v>
      </c>
      <c r="M55" s="242"/>
      <c r="N55" s="100">
        <v>4421.9399999999996</v>
      </c>
      <c r="O55" s="96">
        <v>43565</v>
      </c>
      <c r="P55" s="241" t="s">
        <v>326</v>
      </c>
      <c r="Q55" s="242"/>
      <c r="R55" s="100">
        <v>10</v>
      </c>
      <c r="S55" s="96"/>
      <c r="T55" s="258"/>
      <c r="U55" s="259"/>
      <c r="V55" s="100"/>
      <c r="W55" s="96"/>
      <c r="X55" s="258"/>
      <c r="Y55" s="259"/>
      <c r="Z55" s="100"/>
      <c r="AA55" s="96"/>
      <c r="AB55" s="241"/>
      <c r="AC55" s="242"/>
      <c r="AD55" s="100"/>
      <c r="AE55" s="96"/>
      <c r="AF55" s="258"/>
      <c r="AG55" s="259"/>
      <c r="AH55" s="100"/>
      <c r="AI55" s="96"/>
      <c r="AJ55" s="258"/>
      <c r="AK55" s="259"/>
      <c r="AL55" s="100"/>
      <c r="AM55" s="96"/>
      <c r="AN55" s="258"/>
      <c r="AO55" s="259"/>
      <c r="AP55" s="100"/>
      <c r="AQ55" s="96"/>
      <c r="AR55" s="241"/>
      <c r="AS55" s="242"/>
      <c r="AT55" s="100"/>
      <c r="AU55" s="96"/>
      <c r="AV55" s="241"/>
      <c r="AW55" s="242"/>
      <c r="AX55" s="100"/>
    </row>
    <row r="56" spans="1:62">
      <c r="B56" s="119"/>
      <c r="C56" s="96">
        <v>43472</v>
      </c>
      <c r="D56" s="241" t="s">
        <v>151</v>
      </c>
      <c r="E56" s="242"/>
      <c r="F56" s="98">
        <v>15</v>
      </c>
      <c r="G56" s="96">
        <v>43507</v>
      </c>
      <c r="H56" s="241" t="s">
        <v>326</v>
      </c>
      <c r="I56" s="242"/>
      <c r="J56" s="100">
        <v>10</v>
      </c>
      <c r="K56" s="96">
        <v>43529</v>
      </c>
      <c r="L56" s="241" t="s">
        <v>328</v>
      </c>
      <c r="M56" s="242"/>
      <c r="N56" s="100">
        <v>3362.6</v>
      </c>
      <c r="O56" s="96">
        <v>43576</v>
      </c>
      <c r="P56" s="268" t="s">
        <v>238</v>
      </c>
      <c r="Q56" s="269"/>
      <c r="R56" s="102"/>
      <c r="S56" s="96"/>
      <c r="T56" s="241"/>
      <c r="U56" s="242"/>
      <c r="V56" s="100"/>
      <c r="W56" s="96"/>
      <c r="X56" s="241"/>
      <c r="Y56" s="242"/>
      <c r="Z56" s="100"/>
      <c r="AA56" s="96"/>
      <c r="AB56" s="241"/>
      <c r="AC56" s="242"/>
      <c r="AD56" s="100"/>
      <c r="AE56" s="96"/>
      <c r="AF56" s="258"/>
      <c r="AG56" s="259"/>
      <c r="AH56" s="100"/>
      <c r="AI56" s="96"/>
      <c r="AJ56" s="262"/>
      <c r="AK56" s="263"/>
      <c r="AL56" s="100"/>
      <c r="AM56" s="96"/>
      <c r="AN56" s="262"/>
      <c r="AO56" s="263"/>
      <c r="AP56" s="100"/>
      <c r="AQ56" s="96"/>
      <c r="AR56" s="258"/>
      <c r="AS56" s="259"/>
      <c r="AT56" s="100"/>
      <c r="AU56" s="96"/>
      <c r="AV56" s="241"/>
      <c r="AW56" s="242"/>
      <c r="AX56" s="100"/>
    </row>
    <row r="57" spans="1:62">
      <c r="C57" s="96">
        <v>43476</v>
      </c>
      <c r="D57" s="241" t="s">
        <v>153</v>
      </c>
      <c r="E57" s="242"/>
      <c r="F57" s="98">
        <v>10</v>
      </c>
      <c r="G57" s="96">
        <v>43516</v>
      </c>
      <c r="H57" s="241" t="s">
        <v>355</v>
      </c>
      <c r="I57" s="242"/>
      <c r="J57" s="100"/>
      <c r="K57" s="96">
        <v>43533</v>
      </c>
      <c r="L57" s="241" t="s">
        <v>238</v>
      </c>
      <c r="M57" s="242"/>
      <c r="N57" s="100"/>
      <c r="O57" s="96">
        <v>43578</v>
      </c>
      <c r="P57" s="272" t="s">
        <v>393</v>
      </c>
      <c r="Q57" s="273"/>
      <c r="R57" s="100">
        <v>10</v>
      </c>
      <c r="S57" s="96"/>
      <c r="T57" s="241"/>
      <c r="U57" s="242"/>
      <c r="V57" s="100"/>
      <c r="W57" s="96"/>
      <c r="X57" s="241"/>
      <c r="Y57" s="242"/>
      <c r="Z57" s="100"/>
      <c r="AA57" s="96"/>
      <c r="AB57" s="258"/>
      <c r="AC57" s="259"/>
      <c r="AD57" s="100"/>
      <c r="AE57" s="96"/>
      <c r="AF57" s="241"/>
      <c r="AG57" s="242"/>
      <c r="AH57" s="100"/>
      <c r="AI57" s="96"/>
      <c r="AJ57" s="252"/>
      <c r="AK57" s="253"/>
      <c r="AL57" s="100"/>
      <c r="AM57" s="96"/>
      <c r="AN57" s="262"/>
      <c r="AO57" s="263"/>
      <c r="AP57" s="100"/>
      <c r="AQ57" s="96"/>
      <c r="AR57" s="241"/>
      <c r="AS57" s="242"/>
      <c r="AT57" s="100"/>
      <c r="AU57" s="96"/>
      <c r="AV57" s="241"/>
      <c r="AW57" s="242"/>
      <c r="AX57" s="100"/>
    </row>
    <row r="58" spans="1:62">
      <c r="C58" s="96">
        <v>43478</v>
      </c>
      <c r="D58" s="241" t="s">
        <v>246</v>
      </c>
      <c r="E58" s="242"/>
      <c r="F58" s="98"/>
      <c r="G58" s="96"/>
      <c r="H58" s="241"/>
      <c r="I58" s="242"/>
      <c r="J58" s="100"/>
      <c r="K58" s="96">
        <v>43536</v>
      </c>
      <c r="L58" s="241" t="s">
        <v>246</v>
      </c>
      <c r="M58" s="242"/>
      <c r="N58" s="100"/>
      <c r="O58" s="96"/>
      <c r="P58" s="241"/>
      <c r="Q58" s="242"/>
      <c r="R58" s="100"/>
      <c r="S58" s="96"/>
      <c r="T58" s="241"/>
      <c r="U58" s="242"/>
      <c r="V58" s="100"/>
      <c r="W58" s="96"/>
      <c r="X58" s="241"/>
      <c r="Y58" s="242"/>
      <c r="Z58" s="100"/>
      <c r="AA58" s="96"/>
      <c r="AB58" s="258"/>
      <c r="AC58" s="259"/>
      <c r="AD58" s="100"/>
      <c r="AE58" s="96"/>
      <c r="AF58" s="241"/>
      <c r="AG58" s="242"/>
      <c r="AH58" s="100"/>
      <c r="AI58" s="96"/>
      <c r="AJ58" s="252"/>
      <c r="AK58" s="253"/>
      <c r="AL58" s="100"/>
      <c r="AM58" s="96"/>
      <c r="AN58" s="252"/>
      <c r="AO58" s="253"/>
      <c r="AP58" s="100"/>
      <c r="AQ58" s="96"/>
      <c r="AR58" s="241"/>
      <c r="AS58" s="242"/>
      <c r="AT58" s="100"/>
      <c r="AU58" s="96"/>
      <c r="AV58" s="241"/>
      <c r="AW58" s="242"/>
      <c r="AX58" s="100"/>
    </row>
    <row r="59" spans="1:62">
      <c r="C59" s="96">
        <v>43481</v>
      </c>
      <c r="D59" s="241" t="s">
        <v>274</v>
      </c>
      <c r="E59" s="242"/>
      <c r="F59" s="98">
        <v>50</v>
      </c>
      <c r="G59" s="96"/>
      <c r="H59" s="241"/>
      <c r="I59" s="242"/>
      <c r="J59" s="100"/>
      <c r="K59" s="96"/>
      <c r="L59" s="241" t="s">
        <v>389</v>
      </c>
      <c r="M59" s="242"/>
      <c r="N59" s="100">
        <f>3.1+10.5</f>
        <v>13.6</v>
      </c>
      <c r="O59" s="96"/>
      <c r="P59" s="241"/>
      <c r="Q59" s="242"/>
      <c r="R59" s="100"/>
      <c r="S59" s="96"/>
      <c r="T59" s="262"/>
      <c r="U59" s="263"/>
      <c r="V59" s="100"/>
      <c r="W59" s="96"/>
      <c r="X59" s="262"/>
      <c r="Y59" s="263"/>
      <c r="Z59" s="100"/>
      <c r="AA59" s="96"/>
      <c r="AB59" s="262"/>
      <c r="AC59" s="263"/>
      <c r="AD59" s="100"/>
      <c r="AE59" s="96"/>
      <c r="AF59" s="241"/>
      <c r="AG59" s="242"/>
      <c r="AH59" s="100"/>
      <c r="AI59" s="96"/>
      <c r="AJ59" s="252"/>
      <c r="AK59" s="253"/>
      <c r="AL59" s="100"/>
      <c r="AM59" s="96"/>
      <c r="AN59" s="252"/>
      <c r="AO59" s="253"/>
      <c r="AP59" s="100"/>
      <c r="AQ59" s="96"/>
      <c r="AR59" s="241"/>
      <c r="AS59" s="242"/>
      <c r="AT59" s="100"/>
      <c r="AU59" s="96"/>
      <c r="AV59" s="241"/>
      <c r="AW59" s="242"/>
      <c r="AX59" s="100"/>
    </row>
    <row r="60" spans="1:62">
      <c r="C60" s="96">
        <v>43488</v>
      </c>
      <c r="D60" s="241" t="s">
        <v>293</v>
      </c>
      <c r="E60" s="242"/>
      <c r="F60" s="98"/>
      <c r="G60" s="96"/>
      <c r="H60" s="241"/>
      <c r="I60" s="242"/>
      <c r="J60" s="100"/>
      <c r="K60" s="235">
        <v>43549</v>
      </c>
      <c r="L60" s="272" t="s">
        <v>393</v>
      </c>
      <c r="M60" s="273"/>
      <c r="N60" s="236">
        <v>15</v>
      </c>
      <c r="O60" s="96"/>
      <c r="P60" s="241"/>
      <c r="Q60" s="242"/>
      <c r="R60" s="100"/>
      <c r="S60" s="96"/>
      <c r="T60" s="262"/>
      <c r="U60" s="263"/>
      <c r="V60" s="100"/>
      <c r="W60" s="96"/>
      <c r="X60" s="252"/>
      <c r="Y60" s="253"/>
      <c r="Z60" s="100"/>
      <c r="AA60" s="96"/>
      <c r="AB60" s="252"/>
      <c r="AC60" s="253"/>
      <c r="AD60" s="100"/>
      <c r="AE60" s="96"/>
      <c r="AF60" s="262"/>
      <c r="AG60" s="263"/>
      <c r="AH60" s="100"/>
      <c r="AI60" s="96"/>
      <c r="AJ60" s="252"/>
      <c r="AK60" s="253"/>
      <c r="AL60" s="100"/>
      <c r="AM60" s="96"/>
      <c r="AN60" s="252"/>
      <c r="AO60" s="253"/>
      <c r="AP60" s="100"/>
      <c r="AQ60" s="96"/>
      <c r="AR60" s="241"/>
      <c r="AS60" s="242"/>
      <c r="AT60" s="100"/>
      <c r="AU60" s="96"/>
      <c r="AV60" s="241"/>
      <c r="AW60" s="242"/>
      <c r="AX60" s="100"/>
    </row>
    <row r="61" spans="1:62">
      <c r="C61" s="96">
        <v>43490</v>
      </c>
      <c r="D61" s="241" t="s">
        <v>295</v>
      </c>
      <c r="E61" s="242"/>
      <c r="F61" s="98">
        <v>40</v>
      </c>
      <c r="G61" s="96"/>
      <c r="H61" s="241"/>
      <c r="I61" s="242"/>
      <c r="J61" s="100"/>
      <c r="K61" s="96"/>
      <c r="L61" s="274"/>
      <c r="M61" s="242"/>
      <c r="N61" s="100"/>
      <c r="O61" s="96"/>
      <c r="P61" s="241"/>
      <c r="Q61" s="242"/>
      <c r="R61" s="100"/>
      <c r="S61" s="96"/>
      <c r="T61" s="262"/>
      <c r="U61" s="263"/>
      <c r="V61" s="100"/>
      <c r="W61" s="96"/>
      <c r="X61" s="252"/>
      <c r="Y61" s="253"/>
      <c r="Z61" s="100"/>
      <c r="AA61" s="96"/>
      <c r="AB61" s="252"/>
      <c r="AC61" s="253"/>
      <c r="AD61" s="100"/>
      <c r="AE61" s="96"/>
      <c r="AF61" s="252"/>
      <c r="AG61" s="253"/>
      <c r="AH61" s="100"/>
      <c r="AI61" s="96"/>
      <c r="AJ61" s="252"/>
      <c r="AK61" s="253"/>
      <c r="AL61" s="100"/>
      <c r="AM61" s="96"/>
      <c r="AN61" s="252"/>
      <c r="AO61" s="253"/>
      <c r="AP61" s="100"/>
      <c r="AQ61" s="96"/>
      <c r="AR61" s="241"/>
      <c r="AS61" s="242"/>
      <c r="AT61" s="100"/>
      <c r="AU61" s="96"/>
      <c r="AV61" s="241"/>
      <c r="AW61" s="242"/>
      <c r="AX61" s="100"/>
    </row>
    <row r="62" spans="1:62">
      <c r="C62" s="96"/>
      <c r="D62" s="241"/>
      <c r="E62" s="242"/>
      <c r="F62" s="98"/>
      <c r="G62" s="96"/>
      <c r="H62" s="241"/>
      <c r="I62" s="242"/>
      <c r="J62" s="100"/>
      <c r="K62" s="96"/>
      <c r="L62" s="241"/>
      <c r="M62" s="242"/>
      <c r="N62" s="100"/>
      <c r="O62" s="96"/>
      <c r="P62" s="241"/>
      <c r="Q62" s="242"/>
      <c r="R62" s="100"/>
      <c r="S62" s="96"/>
      <c r="T62" s="262"/>
      <c r="U62" s="263"/>
      <c r="V62" s="100"/>
      <c r="W62" s="96"/>
      <c r="X62" s="252"/>
      <c r="Y62" s="253"/>
      <c r="Z62" s="100"/>
      <c r="AA62" s="96"/>
      <c r="AB62" s="252"/>
      <c r="AC62" s="253"/>
      <c r="AD62" s="100"/>
      <c r="AE62" s="96"/>
      <c r="AF62" s="252"/>
      <c r="AG62" s="253"/>
      <c r="AH62" s="100"/>
      <c r="AI62" s="96"/>
      <c r="AJ62" s="252"/>
      <c r="AK62" s="253"/>
      <c r="AL62" s="100"/>
      <c r="AM62" s="96"/>
      <c r="AN62" s="252"/>
      <c r="AO62" s="253"/>
      <c r="AP62" s="100"/>
      <c r="AQ62" s="96"/>
      <c r="AR62" s="241"/>
      <c r="AS62" s="242"/>
      <c r="AT62" s="100"/>
      <c r="AU62" s="96"/>
      <c r="AV62" s="241"/>
      <c r="AW62" s="242"/>
      <c r="AX62" s="100"/>
    </row>
    <row r="63" spans="1:62">
      <c r="C63" s="96"/>
      <c r="D63" s="241"/>
      <c r="E63" s="242"/>
      <c r="F63" s="98"/>
      <c r="G63" s="96"/>
      <c r="H63" s="241"/>
      <c r="I63" s="242"/>
      <c r="J63" s="100"/>
      <c r="K63" s="96"/>
      <c r="L63" s="241"/>
      <c r="M63" s="242"/>
      <c r="N63" s="100"/>
      <c r="O63" s="96"/>
      <c r="P63" s="241"/>
      <c r="Q63" s="242"/>
      <c r="R63" s="100"/>
      <c r="S63" s="96"/>
      <c r="T63" s="262"/>
      <c r="U63" s="263"/>
      <c r="V63" s="100"/>
      <c r="W63" s="96"/>
      <c r="X63" s="252"/>
      <c r="Y63" s="253"/>
      <c r="Z63" s="100"/>
      <c r="AA63" s="96"/>
      <c r="AB63" s="252"/>
      <c r="AC63" s="253"/>
      <c r="AD63" s="100"/>
      <c r="AE63" s="96"/>
      <c r="AF63" s="252"/>
      <c r="AG63" s="253"/>
      <c r="AH63" s="100"/>
      <c r="AI63" s="96"/>
      <c r="AJ63" s="252"/>
      <c r="AK63" s="253"/>
      <c r="AL63" s="100"/>
      <c r="AM63" s="96"/>
      <c r="AN63" s="252"/>
      <c r="AO63" s="253"/>
      <c r="AP63" s="100"/>
      <c r="AQ63" s="96"/>
      <c r="AR63" s="241"/>
      <c r="AS63" s="242"/>
      <c r="AT63" s="100"/>
      <c r="AU63" s="96"/>
      <c r="AV63" s="241"/>
      <c r="AW63" s="242"/>
      <c r="AX63" s="100"/>
    </row>
    <row r="64" spans="1:62">
      <c r="C64" s="96"/>
      <c r="D64" s="241"/>
      <c r="E64" s="242"/>
      <c r="F64" s="98"/>
      <c r="G64" s="96"/>
      <c r="H64" s="241"/>
      <c r="I64" s="242"/>
      <c r="J64" s="100"/>
      <c r="K64" s="96"/>
      <c r="L64" s="241"/>
      <c r="M64" s="242"/>
      <c r="N64" s="100"/>
      <c r="O64" s="96"/>
      <c r="P64" s="241"/>
      <c r="Q64" s="242"/>
      <c r="R64" s="100"/>
      <c r="S64" s="96"/>
      <c r="T64" s="262"/>
      <c r="U64" s="263"/>
      <c r="V64" s="100"/>
      <c r="W64" s="96"/>
      <c r="X64" s="252"/>
      <c r="Y64" s="253"/>
      <c r="Z64" s="100"/>
      <c r="AA64" s="96"/>
      <c r="AB64" s="252"/>
      <c r="AC64" s="253"/>
      <c r="AD64" s="100"/>
      <c r="AE64" s="96"/>
      <c r="AF64" s="252"/>
      <c r="AG64" s="253"/>
      <c r="AH64" s="100"/>
      <c r="AI64" s="96"/>
      <c r="AJ64" s="252"/>
      <c r="AK64" s="253"/>
      <c r="AL64" s="100"/>
      <c r="AM64" s="96"/>
      <c r="AN64" s="252"/>
      <c r="AO64" s="253"/>
      <c r="AP64" s="100"/>
      <c r="AQ64" s="96"/>
      <c r="AR64" s="241"/>
      <c r="AS64" s="242"/>
      <c r="AT64" s="100"/>
      <c r="AU64" s="96"/>
      <c r="AV64" s="241"/>
      <c r="AW64" s="242"/>
      <c r="AX64" s="100"/>
    </row>
    <row r="65" spans="1:50">
      <c r="C65" s="96"/>
      <c r="D65" s="241"/>
      <c r="E65" s="242"/>
      <c r="F65" s="98"/>
      <c r="G65" s="96"/>
      <c r="H65" s="241"/>
      <c r="I65" s="242"/>
      <c r="J65" s="100"/>
      <c r="K65" s="96"/>
      <c r="L65" s="241"/>
      <c r="M65" s="242"/>
      <c r="N65" s="100"/>
      <c r="O65" s="96"/>
      <c r="P65" s="241"/>
      <c r="Q65" s="242"/>
      <c r="R65" s="100"/>
      <c r="S65" s="96"/>
      <c r="T65" s="262"/>
      <c r="U65" s="263"/>
      <c r="V65" s="100"/>
      <c r="W65" s="96"/>
      <c r="X65" s="252"/>
      <c r="Y65" s="253"/>
      <c r="Z65" s="100"/>
      <c r="AA65" s="96"/>
      <c r="AB65" s="252"/>
      <c r="AC65" s="253"/>
      <c r="AD65" s="100"/>
      <c r="AE65" s="96"/>
      <c r="AF65" s="252"/>
      <c r="AG65" s="253"/>
      <c r="AH65" s="100"/>
      <c r="AI65" s="96"/>
      <c r="AJ65" s="252"/>
      <c r="AK65" s="253"/>
      <c r="AL65" s="100"/>
      <c r="AM65" s="96"/>
      <c r="AN65" s="252"/>
      <c r="AO65" s="253"/>
      <c r="AP65" s="100"/>
      <c r="AQ65" s="96"/>
      <c r="AR65" s="241"/>
      <c r="AS65" s="242"/>
      <c r="AT65" s="100"/>
      <c r="AU65" s="96"/>
      <c r="AV65" s="241"/>
      <c r="AW65" s="242"/>
      <c r="AX65" s="100"/>
    </row>
    <row r="66" spans="1:50">
      <c r="C66" s="96"/>
      <c r="D66" s="241"/>
      <c r="E66" s="242"/>
      <c r="F66" s="98"/>
      <c r="G66" s="96"/>
      <c r="H66" s="241"/>
      <c r="I66" s="242"/>
      <c r="J66" s="100"/>
      <c r="K66" s="96"/>
      <c r="L66" s="241"/>
      <c r="M66" s="242"/>
      <c r="N66" s="100"/>
      <c r="O66" s="96"/>
      <c r="P66" s="241"/>
      <c r="Q66" s="242"/>
      <c r="R66" s="100"/>
      <c r="S66" s="96"/>
      <c r="T66" s="252"/>
      <c r="U66" s="253"/>
      <c r="V66" s="100"/>
      <c r="W66" s="96"/>
      <c r="X66" s="252"/>
      <c r="Y66" s="253"/>
      <c r="Z66" s="100"/>
      <c r="AA66" s="96"/>
      <c r="AB66" s="252"/>
      <c r="AC66" s="253"/>
      <c r="AD66" s="100"/>
      <c r="AE66" s="96"/>
      <c r="AF66" s="252"/>
      <c r="AG66" s="253"/>
      <c r="AH66" s="100"/>
      <c r="AI66" s="96"/>
      <c r="AJ66" s="252"/>
      <c r="AK66" s="253"/>
      <c r="AL66" s="100"/>
      <c r="AM66" s="96"/>
      <c r="AN66" s="252"/>
      <c r="AO66" s="253"/>
      <c r="AP66" s="100"/>
      <c r="AQ66" s="96"/>
      <c r="AR66" s="241"/>
      <c r="AS66" s="242"/>
      <c r="AT66" s="100"/>
      <c r="AU66" s="96"/>
      <c r="AV66" s="241"/>
      <c r="AW66" s="242"/>
      <c r="AX66" s="100"/>
    </row>
    <row r="67" spans="1:50">
      <c r="C67" s="96"/>
      <c r="D67" s="241"/>
      <c r="E67" s="242"/>
      <c r="F67" s="98"/>
      <c r="G67" s="96"/>
      <c r="H67" s="241"/>
      <c r="I67" s="242"/>
      <c r="J67" s="100"/>
      <c r="K67" s="96"/>
      <c r="L67" s="241"/>
      <c r="M67" s="242"/>
      <c r="N67" s="100"/>
      <c r="O67" s="96"/>
      <c r="P67" s="241"/>
      <c r="Q67" s="242"/>
      <c r="R67" s="100"/>
      <c r="S67" s="96"/>
      <c r="T67" s="252"/>
      <c r="U67" s="253"/>
      <c r="V67" s="100"/>
      <c r="W67" s="96"/>
      <c r="X67" s="252"/>
      <c r="Y67" s="253"/>
      <c r="Z67" s="100"/>
      <c r="AA67" s="96"/>
      <c r="AB67" s="252"/>
      <c r="AC67" s="253"/>
      <c r="AD67" s="100"/>
      <c r="AE67" s="96"/>
      <c r="AF67" s="252"/>
      <c r="AG67" s="253"/>
      <c r="AH67" s="100"/>
      <c r="AI67" s="96"/>
      <c r="AJ67" s="252"/>
      <c r="AK67" s="253"/>
      <c r="AL67" s="100"/>
      <c r="AM67" s="96"/>
      <c r="AN67" s="252"/>
      <c r="AO67" s="253"/>
      <c r="AP67" s="100"/>
      <c r="AQ67" s="96"/>
      <c r="AR67" s="241"/>
      <c r="AS67" s="242"/>
      <c r="AT67" s="100"/>
      <c r="AU67" s="96"/>
      <c r="AV67" s="241"/>
      <c r="AW67" s="242"/>
      <c r="AX67" s="100"/>
    </row>
    <row r="68" spans="1:50">
      <c r="C68" s="96"/>
      <c r="D68" s="241"/>
      <c r="E68" s="242"/>
      <c r="F68" s="98"/>
      <c r="G68" s="96"/>
      <c r="H68" s="241"/>
      <c r="I68" s="242"/>
      <c r="J68" s="100"/>
      <c r="K68" s="96"/>
      <c r="L68" s="241"/>
      <c r="M68" s="242"/>
      <c r="N68" s="100"/>
      <c r="O68" s="96"/>
      <c r="P68" s="241"/>
      <c r="Q68" s="242"/>
      <c r="R68" s="100"/>
      <c r="S68" s="96"/>
      <c r="T68" s="252"/>
      <c r="U68" s="253"/>
      <c r="V68" s="100"/>
      <c r="W68" s="96"/>
      <c r="X68" s="252"/>
      <c r="Y68" s="253"/>
      <c r="Z68" s="100"/>
      <c r="AA68" s="96"/>
      <c r="AB68" s="252"/>
      <c r="AC68" s="253"/>
      <c r="AD68" s="100"/>
      <c r="AE68" s="96"/>
      <c r="AF68" s="252"/>
      <c r="AG68" s="253"/>
      <c r="AH68" s="100"/>
      <c r="AI68" s="96"/>
      <c r="AJ68" s="252"/>
      <c r="AK68" s="253"/>
      <c r="AL68" s="100"/>
      <c r="AM68" s="96"/>
      <c r="AN68" s="252"/>
      <c r="AO68" s="253"/>
      <c r="AP68" s="100"/>
      <c r="AQ68" s="96"/>
      <c r="AR68" s="241"/>
      <c r="AS68" s="242"/>
      <c r="AT68" s="100"/>
      <c r="AU68" s="96"/>
      <c r="AV68" s="241"/>
      <c r="AW68" s="242"/>
      <c r="AX68" s="100"/>
    </row>
    <row r="69" spans="1:50">
      <c r="C69" s="96"/>
      <c r="D69" s="241"/>
      <c r="E69" s="242"/>
      <c r="F69" s="98"/>
      <c r="G69" s="96"/>
      <c r="H69" s="241"/>
      <c r="I69" s="242"/>
      <c r="J69" s="100"/>
      <c r="K69" s="96"/>
      <c r="L69" s="241"/>
      <c r="M69" s="242"/>
      <c r="N69" s="100"/>
      <c r="O69" s="96"/>
      <c r="P69" s="241"/>
      <c r="Q69" s="242"/>
      <c r="R69" s="100"/>
      <c r="S69" s="96"/>
      <c r="T69" s="252"/>
      <c r="U69" s="253"/>
      <c r="V69" s="100"/>
      <c r="W69" s="96"/>
      <c r="X69" s="252"/>
      <c r="Y69" s="253"/>
      <c r="Z69" s="100"/>
      <c r="AA69" s="96"/>
      <c r="AB69" s="252"/>
      <c r="AC69" s="253"/>
      <c r="AD69" s="100"/>
      <c r="AE69" s="96"/>
      <c r="AF69" s="252"/>
      <c r="AG69" s="253"/>
      <c r="AH69" s="100"/>
      <c r="AI69" s="96"/>
      <c r="AJ69" s="252"/>
      <c r="AK69" s="253"/>
      <c r="AL69" s="100"/>
      <c r="AM69" s="96"/>
      <c r="AN69" s="252"/>
      <c r="AO69" s="253"/>
      <c r="AP69" s="100"/>
      <c r="AQ69" s="96"/>
      <c r="AR69" s="241"/>
      <c r="AS69" s="242"/>
      <c r="AT69" s="100"/>
      <c r="AU69" s="96"/>
      <c r="AV69" s="241"/>
      <c r="AW69" s="242"/>
      <c r="AX69" s="100"/>
    </row>
    <row r="70" spans="1:50">
      <c r="C70" s="96"/>
      <c r="D70" s="241"/>
      <c r="E70" s="242"/>
      <c r="F70" s="98"/>
      <c r="G70" s="96"/>
      <c r="H70" s="241"/>
      <c r="I70" s="242"/>
      <c r="J70" s="100"/>
      <c r="K70" s="96"/>
      <c r="L70" s="241"/>
      <c r="M70" s="242"/>
      <c r="N70" s="100"/>
      <c r="O70" s="96"/>
      <c r="P70" s="241"/>
      <c r="Q70" s="242"/>
      <c r="R70" s="100"/>
      <c r="S70" s="96"/>
      <c r="T70" s="252"/>
      <c r="U70" s="253"/>
      <c r="V70" s="100"/>
      <c r="W70" s="96"/>
      <c r="X70" s="241" t="s">
        <v>172</v>
      </c>
      <c r="Y70" s="242"/>
      <c r="Z70" s="100">
        <f>3289.11+270.87</f>
        <v>3559.98</v>
      </c>
      <c r="AA70" s="96"/>
      <c r="AB70" s="252"/>
      <c r="AC70" s="253"/>
      <c r="AD70" s="100"/>
      <c r="AE70" s="96"/>
      <c r="AF70" s="252"/>
      <c r="AG70" s="253"/>
      <c r="AH70" s="100"/>
      <c r="AI70" s="96"/>
      <c r="AJ70" s="252"/>
      <c r="AK70" s="253"/>
      <c r="AL70" s="100"/>
      <c r="AM70" s="96"/>
      <c r="AN70" s="252"/>
      <c r="AO70" s="253"/>
      <c r="AP70" s="100"/>
      <c r="AQ70" s="96"/>
      <c r="AR70" s="241"/>
      <c r="AS70" s="242"/>
      <c r="AT70" s="100"/>
      <c r="AU70" s="96"/>
      <c r="AV70" s="241"/>
      <c r="AW70" s="242"/>
      <c r="AX70" s="100"/>
    </row>
    <row r="71" spans="1:50" ht="15.75" thickBot="1">
      <c r="C71" s="97"/>
      <c r="D71" s="243"/>
      <c r="E71" s="244"/>
      <c r="F71" s="99"/>
      <c r="G71" s="97"/>
      <c r="H71" s="243"/>
      <c r="I71" s="244"/>
      <c r="J71" s="101"/>
      <c r="K71" s="97"/>
      <c r="L71" s="243"/>
      <c r="M71" s="244"/>
      <c r="N71" s="101"/>
      <c r="O71" s="97"/>
      <c r="P71" s="243"/>
      <c r="Q71" s="244"/>
      <c r="R71" s="101"/>
      <c r="S71" s="97"/>
      <c r="T71" s="254"/>
      <c r="U71" s="255"/>
      <c r="V71" s="101"/>
      <c r="W71" s="97"/>
      <c r="X71" s="266" t="s">
        <v>173</v>
      </c>
      <c r="Y71" s="267"/>
      <c r="Z71" s="101">
        <f>Z70-1484.91-429.89</f>
        <v>1645.1799999999998</v>
      </c>
      <c r="AA71" s="97"/>
      <c r="AB71" s="254"/>
      <c r="AC71" s="255"/>
      <c r="AD71" s="101"/>
      <c r="AE71" s="97"/>
      <c r="AF71" s="254"/>
      <c r="AG71" s="255"/>
      <c r="AH71" s="101"/>
      <c r="AI71" s="97"/>
      <c r="AJ71" s="254"/>
      <c r="AK71" s="255"/>
      <c r="AL71" s="101"/>
      <c r="AM71" s="97"/>
      <c r="AN71" s="254"/>
      <c r="AO71" s="255"/>
      <c r="AP71" s="101"/>
      <c r="AQ71" s="97"/>
      <c r="AR71" s="243"/>
      <c r="AS71" s="244"/>
      <c r="AT71" s="101"/>
      <c r="AU71" s="97"/>
      <c r="AV71" s="243"/>
      <c r="AW71" s="244"/>
      <c r="AX71" s="101"/>
    </row>
    <row r="72" spans="1:50">
      <c r="F72">
        <f>8-6.91</f>
        <v>1.0899999999999999</v>
      </c>
      <c r="Z72">
        <f>Z71/Z70</f>
        <v>0.46213180972926809</v>
      </c>
    </row>
    <row r="73" spans="1:50">
      <c r="D73">
        <v>59</v>
      </c>
      <c r="F73">
        <f>F72*20</f>
        <v>21.799999999999997</v>
      </c>
      <c r="L73" s="119"/>
    </row>
    <row r="74" spans="1:50">
      <c r="A74" t="s">
        <v>257</v>
      </c>
      <c r="C74">
        <v>31</v>
      </c>
      <c r="D74">
        <f>100/C74</f>
        <v>3.225806451612903</v>
      </c>
    </row>
    <row r="75" spans="1:50">
      <c r="A75" t="s">
        <v>258</v>
      </c>
      <c r="C75">
        <v>16</v>
      </c>
      <c r="D75">
        <f>C75*D74</f>
        <v>51.612903225806448</v>
      </c>
      <c r="Z75" s="111"/>
    </row>
    <row r="76" spans="1:50">
      <c r="D76">
        <f>D75-D73</f>
        <v>-7.3870967741935516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46" workbookViewId="0">
      <selection activeCell="F11" sqref="F11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'08'!A6+(B6-SUM(D6:F6))</f>
        <v>2010.9299999999998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'08'!A7+(B7-SUM(D7:F7))</f>
        <v>313.39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'08'!A8+(B8-SUM(D8:F8))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'08'!A10+(B10-SUM(D10:F10))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'08'!A11+(B11-SUM(D11:F11))</f>
        <v>120.9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'08'!A13+(B13-SUM(D13:F13))</f>
        <v>45.5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2813.7599999999998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'08'!A26+(B26-SUM(D26:F26))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'08'!A27+(B27-SUM(D27:F27))</f>
        <v>912.01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'08'!A28+(B28-SUM(D28:F28))</f>
        <v>238.3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'08'!A29+(B29-SUM(D29:F29))</f>
        <v>73.430000000000007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5010.0200000000004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283.84000000000003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3544.1800000000017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1900.8200000000002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625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'08'!A467+(B467-SUM(D467:F467))</f>
        <v>435.22999999999996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'08'!A468+(B468-SUM(D468:F468))</f>
        <v>188.4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5AB7B2D-4753-440C-9F5F-F0BECEB88B1E}"/>
    <hyperlink ref="I22:L23" location="AÑO!G7:J17" display="INGRESOS" xr:uid="{A3BEB6B2-CA5C-4961-A3A6-4651CDC143C7}"/>
    <hyperlink ref="I2" location="Trimestre!C39:F40" display="TELÉFONO" xr:uid="{2DA7FD20-7F81-464A-82F7-C5190B185B4E}"/>
    <hyperlink ref="I2:L3" location="AÑO!G4:J5" display="SALDO REAL" xr:uid="{6B7842DE-6570-47F7-A85B-FE8DCB999BCE}"/>
    <hyperlink ref="B2" location="Trimestre!C25:F26" display="HIPOTECA" xr:uid="{A3A46AE5-5D7F-4398-9410-994F6A1E8E7B}"/>
    <hyperlink ref="B2:G3" location="AÑO!G20:J20" display="AÑO!G20:J20" xr:uid="{C55900F2-0626-4B61-AF32-F09DC5A7A41B}"/>
    <hyperlink ref="B22" location="Trimestre!C25:F26" display="HIPOTECA" xr:uid="{CEA55FC5-5B69-4DB3-B3AE-0B59051BC338}"/>
    <hyperlink ref="B22:G23" location="AÑO!G21:J21" display="AÑO!G21:J21" xr:uid="{7C7E52E8-3712-4111-B9F7-7E73D7B00853}"/>
    <hyperlink ref="B42" location="Trimestre!C25:F26" display="HIPOTECA" xr:uid="{21E79DFF-2AC9-4B39-95F1-B111D27F69AE}"/>
    <hyperlink ref="B42:G43" location="AÑO!G22:J22" display="AÑO!G22:J22" xr:uid="{047DBE7B-9E97-4C7D-8E39-ADC5CBBCAE71}"/>
    <hyperlink ref="B62" location="Trimestre!C25:F26" display="HIPOTECA" xr:uid="{E430AAF3-4A0B-47FC-86A6-636BAF8A229A}"/>
    <hyperlink ref="B62:G63" location="AÑO!G23:J23" display="AÑO!G23:J23" xr:uid="{71A6A35D-1743-4FC4-8BF9-4BDC91F40D52}"/>
    <hyperlink ref="B82" location="Trimestre!C25:F26" display="HIPOTECA" xr:uid="{5CC06290-7A58-4B37-AC0B-752523DBB0F7}"/>
    <hyperlink ref="B82:G83" location="AÑO!G24:J24" display="AÑO!G24:J24" xr:uid="{E566A378-95DA-469C-ABA4-2797654406F0}"/>
    <hyperlink ref="B102" location="Trimestre!C25:F26" display="HIPOTECA" xr:uid="{98E21787-A989-4063-B672-3D6402F1ABEF}"/>
    <hyperlink ref="B102:G103" location="AÑO!G25:J25" display="AÑO!G25:J25" xr:uid="{012F53D9-3806-4B82-818F-43B3D4E3A4C4}"/>
    <hyperlink ref="B122" location="Trimestre!C25:F26" display="HIPOTECA" xr:uid="{A238E22F-8C48-43C8-AE01-050A736143F0}"/>
    <hyperlink ref="B122:G123" location="AÑO!G26:J26" display="AÑO!G26:J26" xr:uid="{5340FDE9-437C-4218-BE83-5DF16B64B9D7}"/>
    <hyperlink ref="B142" location="Trimestre!C25:F26" display="HIPOTECA" xr:uid="{5A9C1FBE-4532-4B13-8D54-3BFCBA2A568A}"/>
    <hyperlink ref="B142:G143" location="AÑO!G27:J27" display="AÑO!G27:J27" xr:uid="{3BA08456-50E6-472D-B42A-841324DA5ABE}"/>
    <hyperlink ref="B162" location="Trimestre!C25:F26" display="HIPOTECA" xr:uid="{7140074C-668F-40B1-915F-CE30EAB8B443}"/>
    <hyperlink ref="B162:G163" location="AÑO!G28:J28" display="AÑO!G28:J28" xr:uid="{977E6779-3246-4A5B-AD88-1B059434E59E}"/>
    <hyperlink ref="B182" location="Trimestre!C25:F26" display="HIPOTECA" xr:uid="{E930E756-22F6-489B-9B41-4EF52A0A1807}"/>
    <hyperlink ref="B182:G183" location="AÑO!G29:J29" display="AÑO!G29:J29" xr:uid="{8A7C2191-57E2-403B-8DA5-C6E44A23735F}"/>
    <hyperlink ref="B202" location="Trimestre!C25:F26" display="HIPOTECA" xr:uid="{85A9F200-8679-46A0-9203-04FDAD0D24F8}"/>
    <hyperlink ref="B202:G203" location="AÑO!G30:J30" display="AÑO!G30:J30" xr:uid="{95D4A60C-DD33-42D6-8B35-05AE2683CC32}"/>
    <hyperlink ref="B222" location="Trimestre!C25:F26" display="HIPOTECA" xr:uid="{170D15A6-6E3D-4A82-B547-EEE7379A87F7}"/>
    <hyperlink ref="B222:G223" location="AÑO!G31:J31" display="AÑO!G31:J31" xr:uid="{0B9CA305-653E-448C-937C-84B730858B70}"/>
    <hyperlink ref="B242" location="Trimestre!C25:F26" display="HIPOTECA" xr:uid="{F55FA4AE-E3EE-49E7-A667-39B40FC487DC}"/>
    <hyperlink ref="B242:G243" location="AÑO!G32:J32" display="AÑO!G32:J32" xr:uid="{E48B3AF1-167C-4AD4-9C8A-B5CF1D650C2C}"/>
    <hyperlink ref="B262" location="Trimestre!C25:F26" display="HIPOTECA" xr:uid="{52DC1C5D-DC33-4280-9931-352B627901BC}"/>
    <hyperlink ref="B262:G263" location="AÑO!G33:J33" display="AÑO!G33:J33" xr:uid="{1BE7D4C0-9589-4F64-8EA0-FF592C47CF0D}"/>
    <hyperlink ref="B282" location="Trimestre!C25:F26" display="HIPOTECA" xr:uid="{04FB8A26-12AC-45F0-A2AA-B934E26CC808}"/>
    <hyperlink ref="B282:G283" location="AÑO!G34:J34" display="AÑO!G34:J34" xr:uid="{8F4A42D0-CF15-49E0-8331-4B0DD71C2AE0}"/>
    <hyperlink ref="B302" location="Trimestre!C25:F26" display="HIPOTECA" xr:uid="{3D4CB53A-2F00-4BCE-8FAF-669BD5D4918F}"/>
    <hyperlink ref="B302:G303" location="AÑO!G35:J35" display="AÑO!G35:J35" xr:uid="{4A25F667-1785-4494-AAEF-D6B06868B25F}"/>
    <hyperlink ref="B322" location="Trimestre!C25:F26" display="HIPOTECA" xr:uid="{99D67445-00FF-4E98-B43D-FB5A6E0A09BD}"/>
    <hyperlink ref="B322:G323" location="AÑO!G36:J36" display="AÑO!G36:J36" xr:uid="{0154BEA1-A81E-4EAA-B9DF-8E67033CA9A9}"/>
    <hyperlink ref="B342" location="Trimestre!C25:F26" display="HIPOTECA" xr:uid="{D112BDDE-6B19-42A4-AC07-314B9EF487F7}"/>
    <hyperlink ref="B342:G343" location="AÑO!G37:J37" display="AÑO!G37:J37" xr:uid="{638B1529-2811-45D7-B1C4-785AF713EEC6}"/>
    <hyperlink ref="B362" location="Trimestre!C25:F26" display="HIPOTECA" xr:uid="{4B642F2B-157F-4138-A11C-1BE0EDB8815D}"/>
    <hyperlink ref="B362:G363" location="AÑO!G38:J38" display="AÑO!G38:J38" xr:uid="{FEEC9C66-E85E-41CB-9707-903A59CF5FF6}"/>
    <hyperlink ref="B382" location="Trimestre!C25:F26" display="HIPOTECA" xr:uid="{57013546-52C3-4F72-A541-A7C41045E9DD}"/>
    <hyperlink ref="B382:G383" location="AÑO!G39:J39" display="AÑO!G39:J39" xr:uid="{AED16E75-5851-44EA-9308-96128F56D813}"/>
    <hyperlink ref="B402" location="Trimestre!C25:F26" display="HIPOTECA" xr:uid="{08AA6C6F-EBC6-43F8-82AB-5CA42F9F9F81}"/>
    <hyperlink ref="B402:G403" location="AÑO!G40:J40" display="AÑO!G40:J40" xr:uid="{F232B876-34DC-41F6-9532-D6CC9E5215A2}"/>
    <hyperlink ref="B422" location="Trimestre!C25:F26" display="HIPOTECA" xr:uid="{E2C2CCEF-4698-4B0D-A953-1578189973B0}"/>
    <hyperlink ref="B422:G423" location="AÑO!G41:J41" display="AÑO!G41:J41" xr:uid="{16E0C4CF-F4BD-4535-AEF1-50E388523924}"/>
    <hyperlink ref="B442" location="Trimestre!C25:F26" display="HIPOTECA" xr:uid="{09A83FE7-92E0-4B59-A8C5-996F86D66DE4}"/>
    <hyperlink ref="B442:G443" location="AÑO!G42:J42" display="AÑO!G42:J42" xr:uid="{081530C4-AC70-49C7-8B04-46B95693004E}"/>
    <hyperlink ref="B462" location="Trimestre!C25:F26" display="HIPOTECA" xr:uid="{C5822A5E-BA69-4B9D-8BAE-7C082AA6D1AB}"/>
    <hyperlink ref="B462:G463" location="AÑO!G43:J43" display="AÑO!G43:J43" xr:uid="{B1073576-7489-4780-B71A-EF8C3DC9F430}"/>
    <hyperlink ref="B482" location="Trimestre!C25:F26" display="HIPOTECA" xr:uid="{6D219F70-59B2-4313-A012-728E5A246BD0}"/>
    <hyperlink ref="B482:G483" location="AÑO!G44:J44" display="AÑO!G44:J44" xr:uid="{18140193-43F2-466F-982A-245EF6B4D1DC}"/>
    <hyperlink ref="B502" location="Trimestre!C25:F26" display="HIPOTECA" xr:uid="{4FB40359-6DF4-4385-A52F-850181BED24B}"/>
    <hyperlink ref="B502:G503" location="AÑO!G45:J45" display="AÑO!G45:J45" xr:uid="{A92CDB3D-A8DC-4F17-A02F-36FC5837ACFB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2410.52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'09'!A7+(B7-SUM(D7:F7))</f>
        <v>383.57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'09'!A10+(B10-SUM(D10:F10))</f>
        <v>72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'09'!A11+(B11-SUM(D11:F11))</f>
        <v>151.13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'09'!A13+(B13-SUM(D13:F13))</f>
        <v>52.5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3357.76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'09'!A26+(B26-SUM(D26:F26))</f>
        <v>4500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'09'!A27+(B27-SUM(D27:F27))</f>
        <v>1082.01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'09'!A28+(B28-SUM(D28:F28))</f>
        <v>278.3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'09'!A29+(B29-SUM(D29:F29))</f>
        <v>91.43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6138.02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1292.3500000000001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354.84000000000003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3569.7100000000019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2280.29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650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'09'!A467+(B467-SUM(D467:F467))</f>
        <v>455.22999999999996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'09'!A468+(B468-SUM(D468:F468))</f>
        <v>193.4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1298.6300000000001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'10'!A6+(B6-SUM(D6:F6))</f>
        <v>2810.11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'10'!A7+(B7-SUM(D7:F7))</f>
        <v>453.75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'10'!A10+(B10-SUM(D10:F10))</f>
        <v>84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'10'!A11+(B11-SUM(D11:F11))</f>
        <v>181.35999999999999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'10'!A13+(B13-SUM(D13:F13))</f>
        <v>59.5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3901.76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'10'!A26+(B26-SUM(D26:F26))</f>
        <v>5400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'10'!A27+(B27-SUM(D27:F27))</f>
        <v>1252.01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'10'!A28+(B28-SUM(D28:F28))</f>
        <v>318.3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'10'!A29+(B29-SUM(D29:F29))</f>
        <v>109.43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7266.02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1550.8200000000002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425.84000000000003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3595.2400000000021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2659.76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675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'10'!A467+(B467-SUM(D467:F467))</f>
        <v>475.22999999999996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'10'!A468+(B468-SUM(D468:F468))</f>
        <v>198.4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1348.63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200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'11'!A6+(B6-SUM(D6:F6))</f>
        <v>3209.7000000000003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'11'!A7+(B7-SUM(D7:F7))</f>
        <v>523.93000000000006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'11'!A10+(B10-SUM(D10:F10))</f>
        <v>96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'11'!A11+(B11-SUM(D11:F11))</f>
        <v>211.58999999999997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'11'!A13+(B13-SUM(D13:F13))</f>
        <v>66.5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4445.76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'11'!A26+(B26-SUM(D26:F26))</f>
        <v>6300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'11'!A27+(B27-SUM(D27:F27))</f>
        <v>1422.01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'11'!A28+(B28-SUM(D28:F28))</f>
        <v>358.3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'11'!A29+(B29-SUM(D29:F29))</f>
        <v>127.43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8394.02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1809.2900000000002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496.84000000000003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3620.7700000000023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3039.23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'11'!A467+(B467-SUM(D467:F467))</f>
        <v>495.22999999999996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'11'!A468+(B468-SUM(D468:F468))</f>
        <v>203.4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1398.63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topLeftCell="A4" workbookViewId="0">
      <selection activeCell="D26" sqref="D26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41"/>
      <c r="E1" s="42"/>
    </row>
    <row r="2" spans="1:13" ht="12.75" customHeight="1">
      <c r="A2" s="43" t="s">
        <v>89</v>
      </c>
      <c r="B2" s="42"/>
      <c r="C2" s="114"/>
      <c r="E2" s="42"/>
    </row>
    <row r="3" spans="1:13" ht="12.75" customHeight="1">
      <c r="A3" t="s">
        <v>183</v>
      </c>
      <c r="B3" s="114">
        <f>Historico!I25</f>
        <v>43739</v>
      </c>
      <c r="D3" s="44"/>
      <c r="E3" s="45"/>
    </row>
    <row r="4" spans="1:13" ht="12.75" customHeight="1">
      <c r="A4" t="s">
        <v>182</v>
      </c>
      <c r="B4" s="119">
        <v>130048.84</v>
      </c>
      <c r="C4" s="114"/>
      <c r="E4" s="41"/>
    </row>
    <row r="5" spans="1:13" ht="12.75" customHeight="1">
      <c r="A5" t="s">
        <v>90</v>
      </c>
      <c r="B5" s="46">
        <f>((YEAR(B9)-YEAR(B3))*12)+(MONTH(B9)-MONTH(B3)+1)</f>
        <v>341</v>
      </c>
      <c r="E5" s="42"/>
      <c r="J5" s="47" t="s">
        <v>91</v>
      </c>
      <c r="L5" s="44" t="s">
        <v>92</v>
      </c>
      <c r="M5" t="s">
        <v>93</v>
      </c>
    </row>
    <row r="6" spans="1:13" ht="12.75" customHeight="1">
      <c r="A6" t="s">
        <v>94</v>
      </c>
      <c r="B6" s="48">
        <f>E19</f>
        <v>-0.10840000000000005</v>
      </c>
      <c r="C6" s="44" t="s">
        <v>95</v>
      </c>
      <c r="D6" s="43" t="s">
        <v>96</v>
      </c>
      <c r="E6" s="42"/>
      <c r="J6" t="s">
        <v>97</v>
      </c>
      <c r="K6" s="49">
        <f>B4-B15</f>
        <v>129688.22910710827</v>
      </c>
      <c r="L6" s="39">
        <f>B4*(E8/100)</f>
        <v>42.439271453333326</v>
      </c>
      <c r="M6" s="49">
        <f>B13-L6</f>
        <v>360.61089289172935</v>
      </c>
    </row>
    <row r="7" spans="1:13" ht="12.75" customHeight="1">
      <c r="E7" s="42"/>
      <c r="J7" t="s">
        <v>98</v>
      </c>
      <c r="K7" s="49">
        <f>K6-(B13-L7)</f>
        <v>129327.50053486183</v>
      </c>
      <c r="L7" s="39">
        <f>(K6*(E8/100))</f>
        <v>42.321592098619654</v>
      </c>
      <c r="M7" s="49">
        <f>B13-L7</f>
        <v>360.72857224644304</v>
      </c>
    </row>
    <row r="8" spans="1:13" ht="12.75" customHeight="1">
      <c r="B8" s="42"/>
      <c r="D8" t="s">
        <v>186</v>
      </c>
      <c r="E8" s="50">
        <f>(B6+0.5)/12</f>
        <v>3.2633333333333327E-2</v>
      </c>
      <c r="J8" t="s">
        <v>99</v>
      </c>
      <c r="K8" s="49">
        <f>K7-(B13-L8)</f>
        <v>128966.65424485797</v>
      </c>
      <c r="L8" s="39">
        <f>(K7*(E8/100))</f>
        <v>42.203874341209904</v>
      </c>
      <c r="M8" s="49">
        <f>B13-L8</f>
        <v>360.8462900038528</v>
      </c>
    </row>
    <row r="9" spans="1:13" ht="12.75" customHeight="1">
      <c r="A9" t="s">
        <v>313</v>
      </c>
      <c r="B9" s="114">
        <v>54117</v>
      </c>
      <c r="D9" t="s">
        <v>100</v>
      </c>
      <c r="E9" s="50">
        <f>1+(E8/100)</f>
        <v>1.0003263333333334</v>
      </c>
      <c r="J9" t="s">
        <v>101</v>
      </c>
      <c r="K9" s="49">
        <f>K8-(B13-L9)</f>
        <v>128605.69019868148</v>
      </c>
      <c r="L9" s="39">
        <f>(K8*(E8/100))</f>
        <v>42.086118168571979</v>
      </c>
      <c r="M9" s="49">
        <f>B13-L9</f>
        <v>360.96404617649068</v>
      </c>
    </row>
    <row r="10" spans="1:13" ht="12.75" customHeight="1">
      <c r="B10" s="42"/>
      <c r="D10" t="s">
        <v>102</v>
      </c>
      <c r="E10" s="50">
        <f>E9^-B5</f>
        <v>0.89470474097859476</v>
      </c>
      <c r="J10" t="s">
        <v>103</v>
      </c>
      <c r="K10" s="49">
        <f>K9-(B13-L10)</f>
        <v>128244.60835790458</v>
      </c>
      <c r="L10" s="39">
        <f>(K9*(E8/100))</f>
        <v>41.968323568169716</v>
      </c>
      <c r="M10" s="49">
        <f>B13-L10</f>
        <v>361.08184077689299</v>
      </c>
    </row>
    <row r="11" spans="1:13" ht="12.75" customHeight="1">
      <c r="A11" s="43" t="s">
        <v>104</v>
      </c>
      <c r="B11" s="42"/>
      <c r="D11" t="s">
        <v>105</v>
      </c>
      <c r="E11" s="50">
        <f>100*(1-E10)</f>
        <v>10.529525902140524</v>
      </c>
      <c r="J11" t="s">
        <v>106</v>
      </c>
      <c r="K11" s="51">
        <f>K10-(B13-L11)</f>
        <v>127883.40868408699</v>
      </c>
      <c r="L11" s="39">
        <f>(K10*(E8/100))</f>
        <v>41.850490527462853</v>
      </c>
      <c r="M11" s="49">
        <f>B13-L11</f>
        <v>361.19967381759983</v>
      </c>
    </row>
    <row r="12" spans="1:13" ht="12.75" customHeight="1">
      <c r="B12" s="42"/>
      <c r="E12" s="42"/>
    </row>
    <row r="13" spans="1:13" ht="12.75" customHeight="1">
      <c r="A13" t="s">
        <v>107</v>
      </c>
      <c r="B13" s="52">
        <f>(B4*E8)/E11</f>
        <v>403.05016434506268</v>
      </c>
      <c r="E13" s="42"/>
      <c r="F13" s="44"/>
      <c r="G13" s="53"/>
      <c r="L13" s="54">
        <f>SUM(L6:L11)</f>
        <v>252.86967015736744</v>
      </c>
      <c r="M13" s="54">
        <f>SUM(M6:M11)</f>
        <v>2165.4313159130088</v>
      </c>
    </row>
    <row r="14" spans="1:13" ht="12.75" customHeight="1">
      <c r="A14" t="s">
        <v>108</v>
      </c>
      <c r="B14" s="55">
        <f>B4*(E8/100)</f>
        <v>42.439271453333326</v>
      </c>
      <c r="E14" s="42"/>
    </row>
    <row r="15" spans="1:13" ht="12.75" customHeight="1">
      <c r="A15" t="s">
        <v>109</v>
      </c>
      <c r="B15" s="55">
        <f>B13-B14</f>
        <v>360.61089289172935</v>
      </c>
      <c r="E15" s="42"/>
    </row>
    <row r="16" spans="1:13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403.05172434506267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-0.10840000000000005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-2.168000000000001</v>
      </c>
    </row>
    <row r="21" spans="1:9" ht="12.75" customHeight="1">
      <c r="E21" s="42">
        <v>-0.11</v>
      </c>
      <c r="F21">
        <v>1</v>
      </c>
      <c r="G21" s="57">
        <f>IF(E21="",0,1)</f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2165.4313159130088</v>
      </c>
      <c r="C22" s="58">
        <f>B22/170000</f>
        <v>1.2737831270076522E-2</v>
      </c>
      <c r="E22" s="42">
        <v>-0.109</v>
      </c>
      <c r="F22">
        <v>4</v>
      </c>
      <c r="G22" s="57">
        <f t="shared" ref="G22:G40" si="0">IF(E22="",0,1)</f>
        <v>1</v>
      </c>
    </row>
    <row r="23" spans="1:9" ht="12.75" customHeight="1">
      <c r="A23" t="s">
        <v>115</v>
      </c>
      <c r="B23" s="53">
        <f>K11</f>
        <v>127883.40868408699</v>
      </c>
      <c r="C23" s="59">
        <f>6/(40*6)</f>
        <v>2.5000000000000001E-2</v>
      </c>
      <c r="E23" s="42">
        <v>-0.109</v>
      </c>
      <c r="F23">
        <v>5</v>
      </c>
      <c r="G23" s="57">
        <f t="shared" si="0"/>
        <v>1</v>
      </c>
    </row>
    <row r="24" spans="1:9" ht="12.75" customHeight="1">
      <c r="E24" s="42">
        <v>-0.108</v>
      </c>
      <c r="F24">
        <v>6</v>
      </c>
      <c r="G24" s="57">
        <f t="shared" si="0"/>
        <v>1</v>
      </c>
    </row>
    <row r="25" spans="1:9" ht="12.75" customHeight="1">
      <c r="E25" s="42">
        <v>-0.108</v>
      </c>
      <c r="F25">
        <v>7</v>
      </c>
      <c r="G25" s="57">
        <f t="shared" si="0"/>
        <v>1</v>
      </c>
    </row>
    <row r="26" spans="1:9" ht="12.75" customHeight="1">
      <c r="E26" s="42">
        <v>-0.109</v>
      </c>
      <c r="F26">
        <v>8</v>
      </c>
      <c r="G26" s="57">
        <f t="shared" si="0"/>
        <v>1</v>
      </c>
    </row>
    <row r="27" spans="1:9" ht="12.75" customHeight="1">
      <c r="E27" s="42">
        <v>-0.109</v>
      </c>
      <c r="F27">
        <v>11</v>
      </c>
      <c r="G27" s="57">
        <f t="shared" si="0"/>
        <v>1</v>
      </c>
    </row>
    <row r="28" spans="1:9" ht="12.75" customHeight="1">
      <c r="C28" s="59"/>
      <c r="E28" s="42">
        <v>-0.11</v>
      </c>
      <c r="F28">
        <v>12</v>
      </c>
      <c r="G28" s="57">
        <f t="shared" si="0"/>
        <v>1</v>
      </c>
    </row>
    <row r="29" spans="1:9" ht="12.75" customHeight="1">
      <c r="C29" s="59"/>
      <c r="E29" s="42">
        <v>-0.108</v>
      </c>
      <c r="F29">
        <v>13</v>
      </c>
      <c r="G29" s="57">
        <f t="shared" si="0"/>
        <v>1</v>
      </c>
    </row>
    <row r="30" spans="1:9" ht="12.75" customHeight="1">
      <c r="C30" s="59"/>
      <c r="E30" s="42">
        <v>-0.108</v>
      </c>
      <c r="F30">
        <v>14</v>
      </c>
      <c r="G30" s="57">
        <f t="shared" si="0"/>
        <v>1</v>
      </c>
    </row>
    <row r="31" spans="1:9" ht="12.75" customHeight="1">
      <c r="E31" s="42">
        <v>-0.108</v>
      </c>
      <c r="F31">
        <v>15</v>
      </c>
      <c r="G31" s="57">
        <f t="shared" si="0"/>
        <v>1</v>
      </c>
    </row>
    <row r="32" spans="1:9" ht="12.75" customHeight="1">
      <c r="E32" s="42">
        <v>-0.108</v>
      </c>
      <c r="F32">
        <v>18</v>
      </c>
      <c r="G32" s="57">
        <f t="shared" si="0"/>
        <v>1</v>
      </c>
    </row>
    <row r="33" spans="2:10" ht="12.75" customHeight="1">
      <c r="C33" s="59"/>
      <c r="E33" s="42">
        <v>-0.108</v>
      </c>
      <c r="F33">
        <v>19</v>
      </c>
      <c r="G33" s="57">
        <f t="shared" si="0"/>
        <v>1</v>
      </c>
    </row>
    <row r="34" spans="2:10" ht="12.75" customHeight="1">
      <c r="C34" s="58"/>
      <c r="E34" s="42">
        <v>-0.108</v>
      </c>
      <c r="F34">
        <v>20</v>
      </c>
      <c r="G34" s="57">
        <f t="shared" si="0"/>
        <v>1</v>
      </c>
    </row>
    <row r="35" spans="2:10" ht="12.75" customHeight="1">
      <c r="C35" s="58"/>
      <c r="E35" s="42">
        <v>-0.108</v>
      </c>
      <c r="F35">
        <v>21</v>
      </c>
      <c r="G35" s="57">
        <f t="shared" si="0"/>
        <v>1</v>
      </c>
      <c r="J35" t="s">
        <v>365</v>
      </c>
    </row>
    <row r="36" spans="2:10" ht="12.75" customHeight="1">
      <c r="E36" s="42">
        <v>-0.108</v>
      </c>
      <c r="F36">
        <v>22</v>
      </c>
      <c r="G36" s="57">
        <f t="shared" si="0"/>
        <v>1</v>
      </c>
    </row>
    <row r="37" spans="2:10" ht="12.75" customHeight="1">
      <c r="E37" s="42">
        <v>-0.108</v>
      </c>
      <c r="F37">
        <v>25</v>
      </c>
      <c r="G37" s="57">
        <f t="shared" si="0"/>
        <v>1</v>
      </c>
    </row>
    <row r="38" spans="2:10" ht="12.75" customHeight="1">
      <c r="E38" s="42">
        <v>-0.108</v>
      </c>
      <c r="F38">
        <v>26</v>
      </c>
      <c r="G38" s="57">
        <f t="shared" si="0"/>
        <v>1</v>
      </c>
    </row>
    <row r="39" spans="2:10" ht="12.75" customHeight="1">
      <c r="E39" s="42">
        <v>-0.108</v>
      </c>
      <c r="F39">
        <v>27</v>
      </c>
      <c r="G39" s="57">
        <f t="shared" si="0"/>
        <v>1</v>
      </c>
    </row>
    <row r="40" spans="2:10" ht="12.75" customHeight="1">
      <c r="E40" s="42">
        <v>-0.108</v>
      </c>
      <c r="F40">
        <v>28</v>
      </c>
      <c r="G40" s="57">
        <f t="shared" si="0"/>
        <v>1</v>
      </c>
    </row>
    <row r="41" spans="2:10" ht="12.75" customHeight="1">
      <c r="E41" s="42"/>
      <c r="F41">
        <v>29</v>
      </c>
      <c r="G41" s="57">
        <f t="shared" ref="G41:G43" si="1">IF(E41="",0,1)</f>
        <v>0</v>
      </c>
    </row>
    <row r="42" spans="2:10" ht="12.75" customHeight="1">
      <c r="E42" s="42"/>
      <c r="F42">
        <v>30</v>
      </c>
      <c r="G42" s="57">
        <f t="shared" si="1"/>
        <v>0</v>
      </c>
    </row>
    <row r="43" spans="2:10" ht="12.75" customHeight="1">
      <c r="B43" s="39"/>
      <c r="E43" s="42"/>
      <c r="F43">
        <v>31</v>
      </c>
      <c r="G43" s="57">
        <f t="shared" si="1"/>
        <v>0</v>
      </c>
    </row>
    <row r="45" spans="2:10" ht="12.75" customHeight="1">
      <c r="G45" s="57">
        <f>SUM(G21:G43)</f>
        <v>20</v>
      </c>
    </row>
    <row r="46" spans="2:10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2" workbookViewId="0">
      <selection activeCell="E21" sqref="E2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05"/>
  <sheetViews>
    <sheetView workbookViewId="0">
      <selection activeCell="N13" sqref="N13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185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4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3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3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3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3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3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3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3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3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3" ht="12.75" customHeight="1">
      <c r="A25" s="120">
        <f t="shared" si="5"/>
        <v>43678</v>
      </c>
      <c r="B25" s="116">
        <f>Hipoteca!B4</f>
        <v>130048.84</v>
      </c>
      <c r="C25" s="71">
        <f>Hipoteca!B$6/100</f>
        <v>-1.0840000000000005E-3</v>
      </c>
      <c r="D25" s="73">
        <f>Hipoteca!B$13</f>
        <v>403.05016434506268</v>
      </c>
      <c r="E25" s="72">
        <f t="shared" ref="E25" si="10">D25-D24</f>
        <v>-2.9835654937301115E-2</v>
      </c>
      <c r="I25" s="79">
        <f t="shared" si="4"/>
        <v>43739</v>
      </c>
      <c r="J25" s="128"/>
      <c r="K25" s="127"/>
      <c r="L25" s="127"/>
      <c r="M25" s="72"/>
    </row>
    <row r="26" spans="1:13" ht="12.75" customHeight="1">
      <c r="A26" s="120">
        <f t="shared" si="5"/>
        <v>43862</v>
      </c>
      <c r="B26" s="116"/>
      <c r="C26" s="71"/>
      <c r="D26" s="73"/>
      <c r="E26" s="72"/>
      <c r="I26" s="79">
        <f t="shared" si="4"/>
        <v>43922</v>
      </c>
      <c r="J26" s="128"/>
      <c r="K26" s="127"/>
      <c r="L26" s="127"/>
      <c r="M26" s="72"/>
    </row>
    <row r="27" spans="1:13" ht="12.75" customHeight="1">
      <c r="A27" s="120">
        <f t="shared" si="5"/>
        <v>44044</v>
      </c>
      <c r="B27" s="116"/>
      <c r="C27" s="71"/>
      <c r="D27" s="73"/>
      <c r="E27" s="72"/>
      <c r="I27" s="79">
        <f t="shared" si="4"/>
        <v>44105</v>
      </c>
      <c r="J27" s="128"/>
      <c r="K27" s="127"/>
      <c r="L27" s="127"/>
      <c r="M27" s="72"/>
    </row>
    <row r="28" spans="1:13" ht="12.75" customHeight="1">
      <c r="A28" s="120">
        <f t="shared" si="5"/>
        <v>44228</v>
      </c>
      <c r="B28" s="116"/>
      <c r="C28" s="71"/>
      <c r="D28" s="73"/>
      <c r="E28" s="72"/>
      <c r="I28" s="79">
        <f t="shared" si="4"/>
        <v>44287</v>
      </c>
      <c r="J28" s="128"/>
      <c r="K28" s="127"/>
      <c r="L28" s="127"/>
      <c r="M28" s="72"/>
    </row>
    <row r="29" spans="1:13" ht="12.75" customHeight="1">
      <c r="A29" s="120">
        <f t="shared" si="5"/>
        <v>44409</v>
      </c>
      <c r="B29" s="116"/>
      <c r="C29" s="71"/>
      <c r="D29" s="73"/>
      <c r="E29" s="72"/>
      <c r="I29" s="79">
        <f t="shared" si="4"/>
        <v>44470</v>
      </c>
      <c r="J29" s="128"/>
      <c r="K29" s="127"/>
      <c r="L29" s="127"/>
      <c r="M29" s="72"/>
    </row>
    <row r="30" spans="1:13" ht="12.75" customHeight="1">
      <c r="A30" s="120">
        <f t="shared" si="5"/>
        <v>44593</v>
      </c>
      <c r="B30" s="116"/>
      <c r="C30" s="71"/>
      <c r="D30" s="73"/>
      <c r="E30" s="72"/>
      <c r="I30" s="79">
        <f t="shared" si="4"/>
        <v>44652</v>
      </c>
      <c r="J30" s="128"/>
      <c r="K30" s="127"/>
      <c r="L30" s="127"/>
      <c r="M30" s="72"/>
    </row>
    <row r="31" spans="1:13" ht="12.75" customHeight="1">
      <c r="A31" s="120">
        <f t="shared" si="5"/>
        <v>44774</v>
      </c>
      <c r="B31" s="116"/>
      <c r="C31" s="71"/>
      <c r="D31" s="73"/>
      <c r="E31" s="72"/>
      <c r="I31" s="79">
        <f t="shared" si="4"/>
        <v>44835</v>
      </c>
      <c r="J31" s="128"/>
      <c r="K31" s="127"/>
      <c r="L31" s="127"/>
      <c r="M31" s="72"/>
    </row>
    <row r="32" spans="1:13" ht="12.75" customHeight="1">
      <c r="A32" s="120">
        <f t="shared" si="5"/>
        <v>44958</v>
      </c>
      <c r="B32" s="116"/>
      <c r="C32" s="71"/>
      <c r="D32" s="73"/>
      <c r="E32" s="72"/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I63" s="79">
        <f t="shared" ref="I63:I81" si="11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I64" s="79">
        <f t="shared" si="11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I65" s="79">
        <f t="shared" si="11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I66" s="79">
        <f t="shared" si="11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I67" s="79">
        <f t="shared" si="11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I68" s="79">
        <f t="shared" si="11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I69" s="79">
        <f t="shared" si="11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I70" s="79">
        <f t="shared" si="11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I71" s="79">
        <f t="shared" si="11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I72" s="79">
        <f t="shared" si="11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I73" s="79">
        <f t="shared" si="11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I74" s="79">
        <f t="shared" si="11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I75" s="79">
        <f t="shared" si="11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I76" s="79">
        <f t="shared" si="11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I77" s="79">
        <f t="shared" si="11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I78" s="79">
        <f t="shared" si="11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I79" s="79">
        <f t="shared" si="11"/>
        <v>53601</v>
      </c>
      <c r="J79" s="128"/>
      <c r="K79" s="127"/>
      <c r="L79" s="127"/>
      <c r="M79" s="72"/>
    </row>
    <row r="80" spans="1:13" ht="12.75" customHeight="1">
      <c r="A80" s="120">
        <f t="shared" ref="A80:A81" si="12">EDATE(A79,6)</f>
        <v>53724</v>
      </c>
      <c r="B80" s="116"/>
      <c r="C80" s="71"/>
      <c r="D80" s="73"/>
      <c r="E80" s="72"/>
      <c r="I80" s="79">
        <f t="shared" si="11"/>
        <v>53783</v>
      </c>
      <c r="J80" s="128"/>
      <c r="K80" s="127"/>
      <c r="L80" s="127"/>
      <c r="M80" s="72"/>
    </row>
    <row r="81" spans="1:13" ht="12.75" customHeight="1">
      <c r="A81" s="120">
        <f t="shared" si="12"/>
        <v>53905</v>
      </c>
      <c r="B81" s="116"/>
      <c r="C81" s="71"/>
      <c r="D81" s="73"/>
      <c r="E81" s="72"/>
      <c r="I81" s="79">
        <f t="shared" si="11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8.4694482401656297E-3</v>
      </c>
      <c r="D83" s="85">
        <f>AVERAGE(D2:D82)</f>
        <v>492.81483362263265</v>
      </c>
      <c r="E83" s="86">
        <f>AVERAGE(E3:E82)</f>
        <v>-19.347818941519016</v>
      </c>
      <c r="M83" s="86">
        <f>AVERAGE(M3:M82)</f>
        <v>-5756.1722727272727</v>
      </c>
    </row>
    <row r="85" spans="1:13">
      <c r="E85" t="s">
        <v>125</v>
      </c>
      <c r="G85" s="68">
        <f>SUM(G2:G82)</f>
        <v>68547.035055588742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3"/>
  <sheetViews>
    <sheetView workbookViewId="0">
      <selection activeCell="M50" sqref="M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340</v>
      </c>
      <c r="I7" t="s">
        <v>341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357</v>
      </c>
      <c r="I10" t="s">
        <v>358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167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181</v>
      </c>
      <c r="B47" t="s">
        <v>169</v>
      </c>
    </row>
    <row r="48" spans="1:9">
      <c r="A48" t="s">
        <v>168</v>
      </c>
      <c r="B48" t="s">
        <v>169</v>
      </c>
    </row>
    <row r="49" spans="1:2">
      <c r="A49" t="s">
        <v>48</v>
      </c>
      <c r="B49" t="s">
        <v>169</v>
      </c>
    </row>
    <row r="50" spans="1:2">
      <c r="A50" t="s">
        <v>171</v>
      </c>
      <c r="B50" t="s">
        <v>170</v>
      </c>
    </row>
    <row r="51" spans="1:2">
      <c r="A51" t="s">
        <v>196</v>
      </c>
      <c r="B51" t="s">
        <v>169</v>
      </c>
    </row>
    <row r="52" spans="1:2">
      <c r="A52" t="s">
        <v>207</v>
      </c>
      <c r="B52" t="s">
        <v>206</v>
      </c>
    </row>
    <row r="53" spans="1:2">
      <c r="A53" t="s">
        <v>210</v>
      </c>
      <c r="B53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16" workbookViewId="0">
      <selection activeCell="G326" sqref="G326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>
        <v>2018</v>
      </c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187</v>
      </c>
      <c r="I5" s="106" t="s">
        <v>60</v>
      </c>
      <c r="J5" s="107" t="s">
        <v>61</v>
      </c>
      <c r="K5" s="324">
        <v>2901.68</v>
      </c>
      <c r="L5" s="325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326">
        <v>620.05999999999995</v>
      </c>
      <c r="L6" s="327"/>
      <c r="M6" s="1" t="s">
        <v>166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326">
        <v>8035.29</v>
      </c>
      <c r="L7" s="327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326">
        <v>659.39</v>
      </c>
      <c r="L9" s="327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326">
        <f>240+35</f>
        <v>275</v>
      </c>
      <c r="L11" s="327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209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204</v>
      </c>
      <c r="D13" s="137"/>
      <c r="E13" s="138"/>
      <c r="F13" s="138"/>
      <c r="G13" s="16"/>
      <c r="H13" s="112">
        <v>63</v>
      </c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332">
        <f>SUM(K5:K18)</f>
        <v>26383.54</v>
      </c>
      <c r="L19" s="333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12"/>
      <c r="I22" s="316" t="s">
        <v>6</v>
      </c>
      <c r="J22" s="317"/>
      <c r="K22" s="317"/>
      <c r="L22" s="318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12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12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187</v>
      </c>
      <c r="I25" s="303" t="str">
        <f>AÑO!A8</f>
        <v>Manolo Salario</v>
      </c>
      <c r="J25" s="306" t="s">
        <v>294</v>
      </c>
      <c r="K25" s="307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304"/>
      <c r="J26" s="308"/>
      <c r="K26" s="309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304"/>
      <c r="J27" s="308"/>
      <c r="K27" s="309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304"/>
      <c r="J28" s="308"/>
      <c r="K28" s="309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312"/>
      <c r="J29" s="313"/>
      <c r="K29" s="314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299</v>
      </c>
      <c r="H30" s="112">
        <v>593.55999999999995</v>
      </c>
      <c r="I30" s="303" t="str">
        <f>AÑO!A9</f>
        <v>Rocío Salario</v>
      </c>
      <c r="J30" s="306" t="s">
        <v>241</v>
      </c>
      <c r="K30" s="307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304"/>
      <c r="J31" s="308" t="s">
        <v>259</v>
      </c>
      <c r="K31" s="309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304"/>
      <c r="J32" s="315" t="s">
        <v>270</v>
      </c>
      <c r="K32" s="309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304"/>
      <c r="J33" s="308"/>
      <c r="K33" s="3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312"/>
      <c r="J34" s="313"/>
      <c r="K34" s="3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303" t="s">
        <v>221</v>
      </c>
      <c r="J35" s="306" t="s">
        <v>309</v>
      </c>
      <c r="K35" s="307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304"/>
      <c r="J36" s="308"/>
      <c r="K36" s="3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304"/>
      <c r="J37" s="308"/>
      <c r="K37" s="3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304"/>
      <c r="J38" s="308"/>
      <c r="K38" s="3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312"/>
      <c r="J39" s="313"/>
      <c r="K39" s="314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303" t="str">
        <f>AÑO!A11</f>
        <v>Finanazas</v>
      </c>
      <c r="J40" s="306" t="s">
        <v>242</v>
      </c>
      <c r="K40" s="307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304"/>
      <c r="J41" s="308" t="s">
        <v>243</v>
      </c>
      <c r="K41" s="309"/>
      <c r="L41" s="229">
        <v>1.87</v>
      </c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12"/>
      <c r="I42" s="304"/>
      <c r="J42" s="308" t="s">
        <v>272</v>
      </c>
      <c r="K42" s="309"/>
      <c r="L42" s="229">
        <v>0.02</v>
      </c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12"/>
      <c r="I43" s="304"/>
      <c r="J43" s="308"/>
      <c r="K43" s="309"/>
      <c r="L43" s="22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12"/>
      <c r="I44" s="312"/>
      <c r="J44" s="313"/>
      <c r="K44" s="3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12"/>
      <c r="I45" s="303" t="str">
        <f>AÑO!A12</f>
        <v>Regalos</v>
      </c>
      <c r="J45" s="306" t="s">
        <v>302</v>
      </c>
      <c r="K45" s="307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247</v>
      </c>
      <c r="H46" s="112"/>
      <c r="I46" s="304"/>
      <c r="J46" s="308"/>
      <c r="K46" s="3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250</v>
      </c>
      <c r="H47" s="112"/>
      <c r="I47" s="304"/>
      <c r="J47" s="308"/>
      <c r="K47" s="309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255</v>
      </c>
      <c r="H48" s="112"/>
      <c r="I48" s="304"/>
      <c r="J48" s="308"/>
      <c r="K48" s="309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252</v>
      </c>
      <c r="H49" s="112"/>
      <c r="I49" s="312"/>
      <c r="J49" s="313"/>
      <c r="K49" s="314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256</v>
      </c>
      <c r="H50" s="112"/>
      <c r="I50" s="303" t="str">
        <f>AÑO!A13</f>
        <v>Gubernamental</v>
      </c>
      <c r="J50" s="306" t="s">
        <v>262</v>
      </c>
      <c r="K50" s="307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264</v>
      </c>
      <c r="H51" s="112"/>
      <c r="I51" s="304"/>
      <c r="J51" s="308"/>
      <c r="K51" s="309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265</v>
      </c>
      <c r="H52" s="112"/>
      <c r="I52" s="304"/>
      <c r="J52" s="308"/>
      <c r="K52" s="309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268</v>
      </c>
      <c r="H53" s="112"/>
      <c r="I53" s="304"/>
      <c r="J53" s="308"/>
      <c r="K53" s="309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277</v>
      </c>
      <c r="H54" s="112"/>
      <c r="I54" s="312"/>
      <c r="J54" s="313"/>
      <c r="K54" s="314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278</v>
      </c>
      <c r="H55" s="112"/>
      <c r="I55" s="303" t="str">
        <f>AÑO!A14</f>
        <v>Mutualite/DKV</v>
      </c>
      <c r="J55" s="306"/>
      <c r="K55" s="307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280</v>
      </c>
      <c r="H56" s="112"/>
      <c r="I56" s="304"/>
      <c r="J56" s="308"/>
      <c r="K56" s="309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291</v>
      </c>
      <c r="H57" s="112"/>
      <c r="I57" s="304"/>
      <c r="J57" s="308"/>
      <c r="K57" s="309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282</v>
      </c>
      <c r="H58" s="112"/>
      <c r="I58" s="304"/>
      <c r="J58" s="308"/>
      <c r="K58" s="3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312"/>
      <c r="J59" s="313"/>
      <c r="K59" s="314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303" t="str">
        <f>AÑO!A15</f>
        <v>Alquiler Cartama</v>
      </c>
      <c r="J60" s="306"/>
      <c r="K60" s="3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12"/>
      <c r="I62" s="304"/>
      <c r="J62" s="308"/>
      <c r="K62" s="309"/>
      <c r="L62" s="22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12"/>
      <c r="I63" s="304"/>
      <c r="J63" s="308"/>
      <c r="K63" s="309"/>
      <c r="L63" s="22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12"/>
      <c r="I64" s="312"/>
      <c r="J64" s="313"/>
      <c r="K64" s="31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12"/>
      <c r="I65" s="303" t="str">
        <f>AÑO!A16</f>
        <v>Otros</v>
      </c>
      <c r="J65" s="306" t="s">
        <v>299</v>
      </c>
      <c r="K65" s="307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248</v>
      </c>
      <c r="H66" s="112">
        <v>42.13</v>
      </c>
      <c r="I66" s="304"/>
      <c r="J66" s="308"/>
      <c r="K66" s="309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304"/>
      <c r="J67" s="308"/>
      <c r="K67" s="309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267</v>
      </c>
      <c r="H68" s="112"/>
      <c r="I68" s="304"/>
      <c r="J68" s="308"/>
      <c r="K68" s="309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271</v>
      </c>
      <c r="H69" s="112"/>
      <c r="I69" s="305"/>
      <c r="J69" s="310"/>
      <c r="K69" s="311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269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297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298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305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240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12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12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12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>
        <v>2</v>
      </c>
      <c r="F86" s="138"/>
      <c r="G86" s="16" t="s">
        <v>263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266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287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301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304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12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12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12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187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208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12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12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12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12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12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23.67</v>
      </c>
      <c r="E146" s="138"/>
      <c r="F146" s="138"/>
      <c r="G146" s="16" t="s">
        <v>281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245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308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>
        <v>45.97</v>
      </c>
      <c r="F186" s="138"/>
      <c r="G186" s="16" t="s">
        <v>279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  <c r="H202" s="112"/>
    </row>
    <row r="203" spans="2:12" ht="15" customHeight="1" thickBot="1">
      <c r="B203" s="319"/>
      <c r="C203" s="320"/>
      <c r="D203" s="320"/>
      <c r="E203" s="320"/>
      <c r="F203" s="320"/>
      <c r="G203" s="321"/>
      <c r="H203" s="112"/>
    </row>
    <row r="204" spans="2:12" ht="15.75">
      <c r="B204" s="329" t="s">
        <v>8</v>
      </c>
      <c r="C204" s="330"/>
      <c r="D204" s="331" t="s">
        <v>9</v>
      </c>
      <c r="E204" s="331"/>
      <c r="F204" s="331"/>
      <c r="G204" s="330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289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328" t="str">
        <f>AÑO!A31</f>
        <v>Deportes</v>
      </c>
      <c r="C222" s="317"/>
      <c r="D222" s="317"/>
      <c r="E222" s="317"/>
      <c r="F222" s="317"/>
      <c r="G222" s="318"/>
      <c r="H222" s="112"/>
    </row>
    <row r="223" spans="2:8" ht="15" customHeight="1" thickBot="1">
      <c r="B223" s="319"/>
      <c r="C223" s="320"/>
      <c r="D223" s="320"/>
      <c r="E223" s="320"/>
      <c r="F223" s="320"/>
      <c r="G223" s="321"/>
      <c r="H223" s="112"/>
    </row>
    <row r="224" spans="2:8" ht="15.75">
      <c r="B224" s="329" t="s">
        <v>8</v>
      </c>
      <c r="C224" s="330"/>
      <c r="D224" s="331" t="s">
        <v>9</v>
      </c>
      <c r="E224" s="331"/>
      <c r="F224" s="331"/>
      <c r="G224" s="330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268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328" t="str">
        <f>AÑO!A32</f>
        <v>Hogar</v>
      </c>
      <c r="C242" s="317"/>
      <c r="D242" s="317"/>
      <c r="E242" s="317"/>
      <c r="F242" s="317"/>
      <c r="G242" s="318"/>
      <c r="H242" s="112"/>
    </row>
    <row r="243" spans="2:8" ht="15" customHeight="1" thickBot="1">
      <c r="B243" s="319"/>
      <c r="C243" s="320"/>
      <c r="D243" s="320"/>
      <c r="E243" s="320"/>
      <c r="F243" s="320"/>
      <c r="G243" s="321"/>
      <c r="H243" s="112"/>
    </row>
    <row r="244" spans="2:8" ht="15" customHeight="1">
      <c r="B244" s="329" t="s">
        <v>8</v>
      </c>
      <c r="C244" s="330"/>
      <c r="D244" s="331" t="s">
        <v>9</v>
      </c>
      <c r="E244" s="331"/>
      <c r="F244" s="331"/>
      <c r="G244" s="330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306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328" t="str">
        <f>AÑO!A33</f>
        <v>Formación</v>
      </c>
      <c r="C262" s="317"/>
      <c r="D262" s="317"/>
      <c r="E262" s="317"/>
      <c r="F262" s="317"/>
      <c r="G262" s="318"/>
      <c r="H262" s="112"/>
    </row>
    <row r="263" spans="2:8" ht="15" customHeight="1" thickBot="1">
      <c r="B263" s="319"/>
      <c r="C263" s="320"/>
      <c r="D263" s="320"/>
      <c r="E263" s="320"/>
      <c r="F263" s="320"/>
      <c r="G263" s="321"/>
      <c r="H263" s="112"/>
    </row>
    <row r="264" spans="2:8" ht="15.75">
      <c r="B264" s="329" t="s">
        <v>8</v>
      </c>
      <c r="C264" s="330"/>
      <c r="D264" s="331" t="s">
        <v>9</v>
      </c>
      <c r="E264" s="331"/>
      <c r="F264" s="331"/>
      <c r="G264" s="330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296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307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  <c r="H282" s="112"/>
    </row>
    <row r="283" spans="2:8" ht="15" customHeight="1" thickBot="1">
      <c r="B283" s="319"/>
      <c r="C283" s="320"/>
      <c r="D283" s="320"/>
      <c r="E283" s="320"/>
      <c r="F283" s="320"/>
      <c r="G283" s="321"/>
      <c r="H283" s="112"/>
    </row>
    <row r="284" spans="2:8" ht="15.75">
      <c r="B284" s="329" t="s">
        <v>8</v>
      </c>
      <c r="C284" s="330"/>
      <c r="D284" s="331" t="s">
        <v>9</v>
      </c>
      <c r="E284" s="331"/>
      <c r="F284" s="331"/>
      <c r="G284" s="330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251</v>
      </c>
      <c r="H286" s="112"/>
    </row>
    <row r="287" spans="2:8" ht="15.75">
      <c r="B287" s="134">
        <v>137</v>
      </c>
      <c r="C287" s="16" t="s">
        <v>303</v>
      </c>
      <c r="D287" s="137">
        <v>11.43</v>
      </c>
      <c r="E287" s="138"/>
      <c r="F287" s="138"/>
      <c r="G287" s="16" t="s">
        <v>253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254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275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284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285</v>
      </c>
      <c r="H291" s="112" t="s">
        <v>283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286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  <c r="H302" s="112"/>
    </row>
    <row r="303" spans="2:8" ht="15" customHeight="1" thickBot="1">
      <c r="B303" s="319"/>
      <c r="C303" s="320"/>
      <c r="D303" s="320"/>
      <c r="E303" s="320"/>
      <c r="F303" s="320"/>
      <c r="G303" s="321"/>
      <c r="H303" s="112"/>
    </row>
    <row r="304" spans="2:8" ht="15.75">
      <c r="B304" s="329" t="s">
        <v>8</v>
      </c>
      <c r="C304" s="330"/>
      <c r="D304" s="331" t="s">
        <v>9</v>
      </c>
      <c r="E304" s="331"/>
      <c r="F304" s="331"/>
      <c r="G304" s="330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  <c r="H305" s="112"/>
    </row>
    <row r="306" spans="2:8" ht="15.75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261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328" t="str">
        <f>AÑO!A36</f>
        <v>Martina</v>
      </c>
      <c r="C322" s="317"/>
      <c r="D322" s="317"/>
      <c r="E322" s="317"/>
      <c r="F322" s="317"/>
      <c r="G322" s="318"/>
      <c r="H322" s="112"/>
    </row>
    <row r="323" spans="2:8" ht="15" customHeight="1" thickBot="1">
      <c r="B323" s="319"/>
      <c r="C323" s="320"/>
      <c r="D323" s="320"/>
      <c r="E323" s="320"/>
      <c r="F323" s="320"/>
      <c r="G323" s="321"/>
      <c r="H323" s="112"/>
    </row>
    <row r="324" spans="2:8" ht="15.75">
      <c r="B324" s="329" t="s">
        <v>8</v>
      </c>
      <c r="C324" s="330"/>
      <c r="D324" s="331" t="s">
        <v>9</v>
      </c>
      <c r="E324" s="331"/>
      <c r="F324" s="331"/>
      <c r="G324" s="330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290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328" t="str">
        <f>AÑO!A37</f>
        <v>Impuestos</v>
      </c>
      <c r="C342" s="317"/>
      <c r="D342" s="317"/>
      <c r="E342" s="317"/>
      <c r="F342" s="317"/>
      <c r="G342" s="318"/>
      <c r="H342" s="112"/>
    </row>
    <row r="343" spans="2:8" ht="15" customHeight="1" thickBot="1">
      <c r="B343" s="319"/>
      <c r="C343" s="320"/>
      <c r="D343" s="320"/>
      <c r="E343" s="320"/>
      <c r="F343" s="320"/>
      <c r="G343" s="321"/>
      <c r="H343" s="112"/>
    </row>
    <row r="344" spans="2:8" ht="15.75">
      <c r="B344" s="329" t="s">
        <v>8</v>
      </c>
      <c r="C344" s="330"/>
      <c r="D344" s="331" t="s">
        <v>9</v>
      </c>
      <c r="E344" s="331"/>
      <c r="F344" s="331"/>
      <c r="G344" s="330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  <c r="H345" s="112"/>
    </row>
    <row r="346" spans="2:8" ht="15.75">
      <c r="B346" s="133">
        <v>45</v>
      </c>
      <c r="C346" s="19" t="s">
        <v>202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328" t="str">
        <f>AÑO!A38</f>
        <v>Gastos Curros</v>
      </c>
      <c r="C362" s="317"/>
      <c r="D362" s="317"/>
      <c r="E362" s="317"/>
      <c r="F362" s="317"/>
      <c r="G362" s="318"/>
      <c r="H362" s="112"/>
    </row>
    <row r="363" spans="2:8" ht="15" customHeight="1" thickBot="1">
      <c r="B363" s="319"/>
      <c r="C363" s="320"/>
      <c r="D363" s="320"/>
      <c r="E363" s="320"/>
      <c r="F363" s="320"/>
      <c r="G363" s="321"/>
      <c r="H363" s="112"/>
    </row>
    <row r="364" spans="2:8" ht="15.75">
      <c r="B364" s="329" t="s">
        <v>8</v>
      </c>
      <c r="C364" s="330"/>
      <c r="D364" s="331" t="s">
        <v>9</v>
      </c>
      <c r="E364" s="331"/>
      <c r="F364" s="331"/>
      <c r="G364" s="330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268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292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328" t="str">
        <f>AÑO!A39</f>
        <v>Dreamed Holidays</v>
      </c>
      <c r="C382" s="317"/>
      <c r="D382" s="317"/>
      <c r="E382" s="317"/>
      <c r="F382" s="317"/>
      <c r="G382" s="318"/>
      <c r="H382" s="112"/>
    </row>
    <row r="383" spans="2:8" ht="15" customHeight="1" thickBot="1">
      <c r="B383" s="319"/>
      <c r="C383" s="320"/>
      <c r="D383" s="320"/>
      <c r="E383" s="320"/>
      <c r="F383" s="320"/>
      <c r="G383" s="321"/>
      <c r="H383" s="112"/>
    </row>
    <row r="384" spans="2:8" ht="15.75">
      <c r="B384" s="329" t="s">
        <v>8</v>
      </c>
      <c r="C384" s="330"/>
      <c r="D384" s="331" t="s">
        <v>9</v>
      </c>
      <c r="E384" s="331"/>
      <c r="F384" s="331"/>
      <c r="G384" s="330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328" t="str">
        <f>AÑO!A40</f>
        <v>Financieros</v>
      </c>
      <c r="C402" s="317"/>
      <c r="D402" s="317"/>
      <c r="E402" s="317"/>
      <c r="F402" s="317"/>
      <c r="G402" s="318"/>
      <c r="H402" s="112"/>
    </row>
    <row r="403" spans="2:8" ht="15" customHeight="1" thickBot="1">
      <c r="B403" s="319"/>
      <c r="C403" s="320"/>
      <c r="D403" s="320"/>
      <c r="E403" s="320"/>
      <c r="F403" s="320"/>
      <c r="G403" s="321"/>
      <c r="H403" s="112"/>
    </row>
    <row r="404" spans="2:8" ht="15.75">
      <c r="B404" s="329" t="s">
        <v>8</v>
      </c>
      <c r="C404" s="330"/>
      <c r="D404" s="331" t="s">
        <v>9</v>
      </c>
      <c r="E404" s="331"/>
      <c r="F404" s="331"/>
      <c r="G404" s="330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249</v>
      </c>
      <c r="H406" s="112"/>
    </row>
    <row r="407" spans="2:8" ht="15.75">
      <c r="B407" s="134">
        <v>1.87</v>
      </c>
      <c r="C407" s="16" t="s">
        <v>243</v>
      </c>
      <c r="D407" s="137">
        <v>25.87</v>
      </c>
      <c r="E407" s="138"/>
      <c r="F407" s="138"/>
      <c r="G407" s="16" t="s">
        <v>276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328" t="str">
        <f>AÑO!A41</f>
        <v>Ahorros Colchón</v>
      </c>
      <c r="C422" s="334"/>
      <c r="D422" s="334"/>
      <c r="E422" s="334"/>
      <c r="F422" s="334"/>
      <c r="G422" s="335"/>
      <c r="H422" s="112"/>
    </row>
    <row r="423" spans="1:8" ht="15" customHeight="1" thickBot="1">
      <c r="B423" s="336"/>
      <c r="C423" s="337"/>
      <c r="D423" s="337"/>
      <c r="E423" s="337"/>
      <c r="F423" s="337"/>
      <c r="G423" s="338"/>
      <c r="H423" s="112"/>
    </row>
    <row r="424" spans="1:8" ht="15.75">
      <c r="B424" s="329" t="s">
        <v>8</v>
      </c>
      <c r="C424" s="330"/>
      <c r="D424" s="331" t="s">
        <v>9</v>
      </c>
      <c r="E424" s="331"/>
      <c r="F424" s="331"/>
      <c r="G424" s="330"/>
      <c r="H424" s="112"/>
    </row>
    <row r="425" spans="1:8" ht="15.75">
      <c r="A425" s="89" t="s">
        <v>223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212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237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328" t="str">
        <f>AÑO!A42</f>
        <v>Dinero Bloqueado</v>
      </c>
      <c r="C442" s="334"/>
      <c r="D442" s="334"/>
      <c r="E442" s="334"/>
      <c r="F442" s="334"/>
      <c r="G442" s="335"/>
      <c r="H442" s="112"/>
    </row>
    <row r="443" spans="2:8" ht="15" customHeight="1" thickBot="1">
      <c r="B443" s="336"/>
      <c r="C443" s="337"/>
      <c r="D443" s="337"/>
      <c r="E443" s="337"/>
      <c r="F443" s="337"/>
      <c r="G443" s="338"/>
      <c r="H443" s="112"/>
    </row>
    <row r="444" spans="2:8" ht="15.75">
      <c r="B444" s="329" t="s">
        <v>8</v>
      </c>
      <c r="C444" s="330"/>
      <c r="D444" s="331" t="s">
        <v>9</v>
      </c>
      <c r="E444" s="331"/>
      <c r="F444" s="331"/>
      <c r="G444" s="330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244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328" t="str">
        <f>AÑO!A43</f>
        <v>Cartama Finanazas</v>
      </c>
      <c r="C462" s="334"/>
      <c r="D462" s="334"/>
      <c r="E462" s="334"/>
      <c r="F462" s="334"/>
      <c r="G462" s="335"/>
      <c r="H462" s="112"/>
    </row>
    <row r="463" spans="2:8" ht="15" customHeight="1" thickBot="1">
      <c r="B463" s="336"/>
      <c r="C463" s="337"/>
      <c r="D463" s="337"/>
      <c r="E463" s="337"/>
      <c r="F463" s="337"/>
      <c r="G463" s="338"/>
      <c r="H463" s="112"/>
    </row>
    <row r="464" spans="2:8" ht="15.75">
      <c r="B464" s="329" t="s">
        <v>8</v>
      </c>
      <c r="C464" s="330"/>
      <c r="D464" s="331" t="s">
        <v>9</v>
      </c>
      <c r="E464" s="331"/>
      <c r="F464" s="331"/>
      <c r="G464" s="330"/>
      <c r="H464" s="112"/>
    </row>
    <row r="465" spans="1:8" ht="15.75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187</v>
      </c>
    </row>
    <row r="466" spans="1:8" ht="15.75">
      <c r="A466" s="112">
        <f>H466+(B466-SUM(D466:F466))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188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189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328" t="str">
        <f>AÑO!A44</f>
        <v>NULO</v>
      </c>
      <c r="C482" s="334"/>
      <c r="D482" s="334"/>
      <c r="E482" s="334"/>
      <c r="F482" s="334"/>
      <c r="G482" s="335"/>
      <c r="H482" s="112"/>
    </row>
    <row r="483" spans="2:8" ht="15" customHeight="1" thickBot="1">
      <c r="B483" s="336"/>
      <c r="C483" s="337"/>
      <c r="D483" s="337"/>
      <c r="E483" s="337"/>
      <c r="F483" s="337"/>
      <c r="G483" s="338"/>
      <c r="H483" s="112"/>
    </row>
    <row r="484" spans="2:8" ht="15.75">
      <c r="B484" s="329" t="s">
        <v>8</v>
      </c>
      <c r="C484" s="330"/>
      <c r="D484" s="331" t="s">
        <v>9</v>
      </c>
      <c r="E484" s="331"/>
      <c r="F484" s="331"/>
      <c r="G484" s="330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328" t="str">
        <f>AÑO!A45</f>
        <v>OTROS</v>
      </c>
      <c r="C502" s="334"/>
      <c r="D502" s="334"/>
      <c r="E502" s="334"/>
      <c r="F502" s="334"/>
      <c r="G502" s="335"/>
      <c r="H502" s="112"/>
    </row>
    <row r="503" spans="2:8" ht="15" customHeight="1" thickBot="1">
      <c r="B503" s="336"/>
      <c r="C503" s="337"/>
      <c r="D503" s="337"/>
      <c r="E503" s="337"/>
      <c r="F503" s="337"/>
      <c r="G503" s="338"/>
      <c r="H503" s="112"/>
    </row>
    <row r="504" spans="2:8" ht="15.75">
      <c r="B504" s="329" t="s">
        <v>8</v>
      </c>
      <c r="C504" s="330"/>
      <c r="D504" s="331" t="s">
        <v>9</v>
      </c>
      <c r="E504" s="331"/>
      <c r="F504" s="331"/>
      <c r="G504" s="330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288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5" zoomScaleNormal="100" workbookViewId="0">
      <selection activeCell="J25" sqref="J25:K25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f>2397.48-4.45</f>
        <v>2393.0300000000002</v>
      </c>
      <c r="L5" s="325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184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>
        <f>7340.23-4.45</f>
        <v>7335.78</v>
      </c>
      <c r="L7" s="327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326">
        <v>7001.87</v>
      </c>
      <c r="L8" s="327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669.52</v>
      </c>
      <c r="L9" s="327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f>160+155</f>
        <v>315</v>
      </c>
      <c r="L11" s="327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25229.379999999997</v>
      </c>
      <c r="L19" s="333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 t="s">
        <v>405</v>
      </c>
      <c r="K25" s="307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317</v>
      </c>
      <c r="K30" s="307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322</v>
      </c>
      <c r="K31" s="309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 t="s">
        <v>331</v>
      </c>
      <c r="K32" s="309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 t="s">
        <v>317</v>
      </c>
      <c r="K33" s="309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 t="s">
        <v>362</v>
      </c>
      <c r="K35" s="307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 t="s">
        <v>160</v>
      </c>
      <c r="K45" s="307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310</v>
      </c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311</v>
      </c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315</v>
      </c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316</v>
      </c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327</v>
      </c>
      <c r="H50" s="1"/>
      <c r="I50" s="303" t="str">
        <f>AÑO!A13</f>
        <v>Gubernamental</v>
      </c>
      <c r="J50" s="306" t="s">
        <v>262</v>
      </c>
      <c r="K50" s="307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334</v>
      </c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335</v>
      </c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348</v>
      </c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352</v>
      </c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353</v>
      </c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303" t="str">
        <f>AÑO!A15</f>
        <v>Alquiler Cartama</v>
      </c>
      <c r="J60" s="306" t="s">
        <v>318</v>
      </c>
      <c r="K60" s="307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323</v>
      </c>
      <c r="H66" s="1"/>
      <c r="I66" s="304"/>
      <c r="J66" s="308"/>
      <c r="K66" s="309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337</v>
      </c>
      <c r="H67" s="1"/>
      <c r="I67" s="304"/>
      <c r="J67" s="308"/>
      <c r="K67" s="309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339</v>
      </c>
      <c r="H68" s="1"/>
      <c r="I68" s="304"/>
      <c r="J68" s="308"/>
      <c r="K68" s="309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344</v>
      </c>
      <c r="H69" s="1"/>
      <c r="I69" s="305"/>
      <c r="J69" s="310"/>
      <c r="K69" s="311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356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48.45</v>
      </c>
      <c r="E86" s="138"/>
      <c r="F86" s="138"/>
      <c r="G86" s="16" t="s">
        <v>332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347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346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360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43.29-10.82</f>
        <v>32.47</v>
      </c>
      <c r="E146" s="138"/>
      <c r="F146" s="138"/>
      <c r="G146" s="16" t="s">
        <v>311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330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343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319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333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5</v>
      </c>
      <c r="E186" s="138"/>
      <c r="F186" s="138"/>
      <c r="G186" s="16" t="s">
        <v>325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353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353</v>
      </c>
    </row>
    <row r="247" spans="2:7" ht="15" customHeight="1">
      <c r="B247" s="134">
        <v>40</v>
      </c>
      <c r="C247" s="16" t="s">
        <v>364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320</v>
      </c>
    </row>
    <row r="267" spans="2:7">
      <c r="B267" s="134"/>
      <c r="C267" s="16"/>
      <c r="D267" s="137">
        <v>10.45</v>
      </c>
      <c r="E267" s="138"/>
      <c r="F267" s="138"/>
      <c r="G267" s="16" t="s">
        <v>324</v>
      </c>
    </row>
    <row r="268" spans="2:7">
      <c r="B268" s="134"/>
      <c r="C268" s="16"/>
      <c r="D268" s="137"/>
      <c r="E268" s="138">
        <v>57.96</v>
      </c>
      <c r="F268" s="138"/>
      <c r="G268" s="16" t="s">
        <v>350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13.6</v>
      </c>
      <c r="E306" s="138"/>
      <c r="F306" s="138"/>
      <c r="G306" s="16" t="s">
        <v>336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349</v>
      </c>
    </row>
    <row r="308" spans="2:7">
      <c r="B308" s="134">
        <v>61.11</v>
      </c>
      <c r="C308" s="27" t="s">
        <v>363</v>
      </c>
      <c r="D308" s="137">
        <v>11.12</v>
      </c>
      <c r="E308" s="138"/>
      <c r="F308" s="138"/>
      <c r="G308" s="16" t="s">
        <v>354</v>
      </c>
    </row>
    <row r="309" spans="2:7">
      <c r="B309" s="134"/>
      <c r="C309" s="16"/>
      <c r="D309" s="137">
        <v>6</v>
      </c>
      <c r="E309" s="138"/>
      <c r="F309" s="138"/>
      <c r="G309" s="16" t="s">
        <v>353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285.64999999999998</v>
      </c>
      <c r="E346" s="138"/>
      <c r="F346" s="138"/>
      <c r="G346" s="16" t="s">
        <v>321</v>
      </c>
    </row>
    <row r="347" spans="2:7">
      <c r="B347" s="134"/>
      <c r="C347" s="16"/>
      <c r="D347" s="137"/>
      <c r="E347" s="138"/>
      <c r="F347" s="138">
        <v>30</v>
      </c>
      <c r="G347" s="16" t="s">
        <v>345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330</v>
      </c>
    </row>
    <row r="368" spans="2:7">
      <c r="B368" s="134"/>
      <c r="C368" s="16"/>
      <c r="D368" s="137">
        <v>60</v>
      </c>
      <c r="E368" s="138"/>
      <c r="F368" s="138"/>
      <c r="G368" s="16" t="s">
        <v>338</v>
      </c>
    </row>
    <row r="369" spans="2:7">
      <c r="B369" s="134"/>
      <c r="C369" s="16"/>
      <c r="D369" s="137">
        <v>26.58</v>
      </c>
      <c r="E369" s="138"/>
      <c r="F369" s="138"/>
      <c r="G369" s="16" t="s">
        <v>342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276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8" ht="15" customHeight="1" thickBot="1">
      <c r="B423" s="336"/>
      <c r="C423" s="337"/>
      <c r="D423" s="337"/>
      <c r="E423" s="337"/>
      <c r="F423" s="337"/>
      <c r="G423" s="338"/>
    </row>
    <row r="424" spans="1:8">
      <c r="B424" s="329" t="s">
        <v>8</v>
      </c>
      <c r="C424" s="330"/>
      <c r="D424" s="331" t="s">
        <v>9</v>
      </c>
      <c r="E424" s="331"/>
      <c r="F424" s="331"/>
      <c r="G424" s="330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359</v>
      </c>
    </row>
    <row r="426" spans="1:8" ht="15.75">
      <c r="A426" s="112">
        <v>3900</v>
      </c>
      <c r="B426" s="134">
        <f>A425-SUM(A426:A439)</f>
        <v>120.06999999999971</v>
      </c>
      <c r="C426" s="19" t="s">
        <v>237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188</v>
      </c>
      <c r="D467" s="137"/>
      <c r="E467" s="138">
        <v>500</v>
      </c>
      <c r="F467" s="138"/>
      <c r="G467" s="16" t="s">
        <v>312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361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08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v>1559.34</v>
      </c>
      <c r="L5" s="325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184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203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326">
        <v>8577.0300000000007</v>
      </c>
      <c r="L7" s="327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3501.87</v>
      </c>
      <c r="L8" s="327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326">
        <v>4167.34</v>
      </c>
      <c r="L9" s="327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v>255</v>
      </c>
      <c r="L11" s="327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329</v>
      </c>
      <c r="D13" s="137"/>
      <c r="E13" s="138">
        <v>79</v>
      </c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25574.760000000002</v>
      </c>
      <c r="L19" s="333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 t="s">
        <v>405</v>
      </c>
      <c r="K25" s="307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366</v>
      </c>
      <c r="K30" s="307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241</v>
      </c>
      <c r="K31" s="309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 t="s">
        <v>331</v>
      </c>
      <c r="K32" s="309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 t="s">
        <v>383</v>
      </c>
      <c r="K45" s="307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367</v>
      </c>
      <c r="H46" s="1"/>
      <c r="I46" s="304"/>
      <c r="J46" s="308" t="s">
        <v>160</v>
      </c>
      <c r="K46" s="309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368</v>
      </c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375</v>
      </c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379</v>
      </c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378</v>
      </c>
      <c r="H50" s="1"/>
      <c r="I50" s="303" t="str">
        <f>AÑO!A13</f>
        <v>Gubernamental</v>
      </c>
      <c r="J50" s="306" t="s">
        <v>262</v>
      </c>
      <c r="K50" s="307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385</v>
      </c>
      <c r="H51" s="1"/>
      <c r="I51" s="304"/>
      <c r="J51" s="308" t="s">
        <v>421</v>
      </c>
      <c r="K51" s="309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390</v>
      </c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391</v>
      </c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411</v>
      </c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425</v>
      </c>
      <c r="H55" s="1"/>
      <c r="I55" s="303" t="str">
        <f>AÑO!A14</f>
        <v>Mutualite/DKV</v>
      </c>
      <c r="J55" s="339" t="str">
        <f>G306</f>
        <v>12/03 Chirec</v>
      </c>
      <c r="K55" s="307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 t="s">
        <v>370</v>
      </c>
      <c r="K60" s="307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369</v>
      </c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377</v>
      </c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381</v>
      </c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392</v>
      </c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394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424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426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371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49.03</v>
      </c>
      <c r="E86" s="138"/>
      <c r="F86" s="138"/>
      <c r="G86" s="16" t="s">
        <v>396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398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402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73.66</v>
      </c>
      <c r="E146" s="138"/>
      <c r="F146" s="138"/>
      <c r="G146" s="16" t="s">
        <v>376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390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187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40.5</v>
      </c>
      <c r="E186" s="138"/>
      <c r="F186" s="138"/>
      <c r="G186" s="16" t="s">
        <v>414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388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412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8" ht="15" customHeight="1" thickBot="1">
      <c r="B243" s="319"/>
      <c r="C243" s="320"/>
      <c r="D243" s="320"/>
      <c r="E243" s="320"/>
      <c r="F243" s="320"/>
      <c r="G243" s="321"/>
    </row>
    <row r="244" spans="1:8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382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386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403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413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409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408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31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372</v>
      </c>
    </row>
    <row r="267" spans="1:7">
      <c r="B267" s="134">
        <v>4021.94</v>
      </c>
      <c r="C267" s="16" t="s">
        <v>421</v>
      </c>
      <c r="D267" s="137"/>
      <c r="E267" s="138"/>
      <c r="F267" s="138">
        <v>15</v>
      </c>
      <c r="G267" s="16" t="s">
        <v>427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>
        <v>45.36</v>
      </c>
      <c r="E306" s="138"/>
      <c r="F306" s="138"/>
      <c r="G306" s="16" t="s">
        <v>384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399</v>
      </c>
    </row>
    <row r="308" spans="2:7">
      <c r="B308" s="134">
        <f>L55</f>
        <v>9.44</v>
      </c>
      <c r="C308" s="27" t="s">
        <v>410</v>
      </c>
      <c r="D308" s="137">
        <v>8.27</v>
      </c>
      <c r="E308" s="138"/>
      <c r="F308" s="138"/>
      <c r="G308" s="16" t="s">
        <v>400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420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422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395</v>
      </c>
    </row>
    <row r="327" spans="2:7">
      <c r="B327" s="134">
        <v>100</v>
      </c>
      <c r="C327" s="16" t="s">
        <v>383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>
        <v>16</v>
      </c>
      <c r="E346" s="138"/>
      <c r="F346" s="138"/>
      <c r="G346" s="16" t="s">
        <v>373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374</v>
      </c>
    </row>
    <row r="348" spans="2:7">
      <c r="B348" s="134"/>
      <c r="C348" s="16"/>
      <c r="D348" s="137">
        <v>16</v>
      </c>
      <c r="E348" s="138"/>
      <c r="F348" s="138"/>
      <c r="G348" s="16" t="s">
        <v>387</v>
      </c>
    </row>
    <row r="349" spans="2:7">
      <c r="B349" s="134"/>
      <c r="C349" s="16"/>
      <c r="D349" s="137">
        <v>10</v>
      </c>
      <c r="E349" s="138"/>
      <c r="F349" s="138"/>
      <c r="G349" s="16" t="s">
        <v>388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401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416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276</v>
      </c>
    </row>
    <row r="407" spans="2:7">
      <c r="B407" s="134">
        <v>-984.2</v>
      </c>
      <c r="C407" s="16" t="s">
        <v>416</v>
      </c>
      <c r="D407" s="137">
        <v>44.93</v>
      </c>
      <c r="E407" s="138"/>
      <c r="F407" s="138"/>
      <c r="G407" s="16" t="s">
        <v>415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237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419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9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417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188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189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423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36" workbookViewId="0">
      <selection activeCell="B42" sqref="B42:G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29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v>861.84</v>
      </c>
      <c r="L5" s="325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380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326">
        <v>620.08000000000004</v>
      </c>
      <c r="L6" s="327"/>
      <c r="M6" s="1" t="s">
        <v>166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6">
        <v>10075.709999999999</v>
      </c>
      <c r="L7" s="327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326">
        <v>3501.87</v>
      </c>
      <c r="L8" s="327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6">
        <v>35.96</v>
      </c>
      <c r="L9" s="327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v>370</v>
      </c>
      <c r="L11" s="327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f>5092.08+4084.2</f>
        <v>9176.2799999999988</v>
      </c>
      <c r="L12" s="327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1">
        <f>SUM(K5:K18)</f>
        <v>26443.759999999998</v>
      </c>
      <c r="L19" s="342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29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 t="s">
        <v>405</v>
      </c>
      <c r="K25" s="307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4"/>
      <c r="J26" s="308"/>
      <c r="K26" s="309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304"/>
      <c r="J27" s="308"/>
      <c r="K27" s="309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2"/>
      <c r="J29" s="313"/>
      <c r="K29" s="314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366</v>
      </c>
      <c r="K30" s="307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434</v>
      </c>
      <c r="K31" s="309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 t="s">
        <v>331</v>
      </c>
      <c r="K32" s="309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 t="s">
        <v>428</v>
      </c>
      <c r="K40" s="307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 t="s">
        <v>448</v>
      </c>
      <c r="K41" s="309"/>
      <c r="L41" s="229">
        <v>352.82</v>
      </c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 t="s">
        <v>60</v>
      </c>
      <c r="K42" s="309"/>
      <c r="L42" s="229">
        <v>0.02</v>
      </c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229"/>
      <c r="M43" s="1"/>
      <c r="R43" s="3"/>
    </row>
    <row r="44" spans="1:18" ht="15.75">
      <c r="A44" s="1"/>
      <c r="B44" s="329" t="s">
        <v>8</v>
      </c>
      <c r="C44" s="330"/>
      <c r="D44" s="329" t="s">
        <v>9</v>
      </c>
      <c r="E44" s="331"/>
      <c r="F44" s="331"/>
      <c r="G44" s="330"/>
      <c r="H44" s="1"/>
      <c r="I44" s="312"/>
      <c r="J44" s="313"/>
      <c r="K44" s="3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449</v>
      </c>
      <c r="H46" s="1"/>
      <c r="I46" s="304"/>
      <c r="J46" s="308"/>
      <c r="K46" s="309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455</v>
      </c>
      <c r="H47" s="1"/>
      <c r="I47" s="304"/>
      <c r="J47" s="308"/>
      <c r="K47" s="309"/>
      <c r="L47" s="229"/>
      <c r="M47" s="1"/>
      <c r="R47" s="3"/>
    </row>
    <row r="48" spans="1:18" ht="15.75">
      <c r="A48" s="1"/>
      <c r="B48" s="134">
        <v>40</v>
      </c>
      <c r="C48" s="16" t="s">
        <v>433</v>
      </c>
      <c r="D48" s="137">
        <v>5.35</v>
      </c>
      <c r="E48" s="138"/>
      <c r="F48" s="138"/>
      <c r="G48" s="16" t="s">
        <v>460</v>
      </c>
      <c r="H48" s="1"/>
      <c r="I48" s="304"/>
      <c r="J48" s="308"/>
      <c r="K48" s="309"/>
      <c r="L48" s="229"/>
      <c r="M48" s="1"/>
      <c r="R48" s="3"/>
    </row>
    <row r="49" spans="1:18" ht="15.75">
      <c r="A49" s="1"/>
      <c r="B49" s="134"/>
      <c r="C49" s="16" t="s">
        <v>465</v>
      </c>
      <c r="D49" s="137"/>
      <c r="E49" s="138"/>
      <c r="F49" s="138"/>
      <c r="G49" s="16"/>
      <c r="H49" s="1"/>
      <c r="I49" s="312"/>
      <c r="J49" s="313"/>
      <c r="K49" s="314"/>
      <c r="L49" s="230"/>
      <c r="M49" s="1"/>
      <c r="R49" s="3"/>
    </row>
    <row r="50" spans="1:18" ht="15.75" customHeight="1">
      <c r="A50" s="1"/>
      <c r="B50" s="134">
        <v>-146</v>
      </c>
      <c r="C50" s="16" t="s">
        <v>468</v>
      </c>
      <c r="D50" s="137"/>
      <c r="E50" s="138"/>
      <c r="F50" s="138"/>
      <c r="G50" s="16"/>
      <c r="H50" s="1"/>
      <c r="I50" s="303" t="str">
        <f>AÑO!A13</f>
        <v>Gubernamental</v>
      </c>
      <c r="J50" s="306" t="s">
        <v>437</v>
      </c>
      <c r="K50" s="307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39" t="str">
        <f>'03'!G307</f>
        <v>22/03 Chirec</v>
      </c>
      <c r="K55" s="307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40" t="str">
        <f>'03'!G309</f>
        <v>26/03 Ginecologa</v>
      </c>
      <c r="K56" s="309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 t="s">
        <v>452</v>
      </c>
      <c r="K57" s="309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22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229"/>
      <c r="M63" s="1"/>
      <c r="R63" s="3"/>
    </row>
    <row r="64" spans="1:18" ht="15.75">
      <c r="A64" s="1"/>
      <c r="B64" s="329" t="s">
        <v>8</v>
      </c>
      <c r="C64" s="330"/>
      <c r="D64" s="329" t="s">
        <v>9</v>
      </c>
      <c r="E64" s="331"/>
      <c r="F64" s="331"/>
      <c r="G64" s="330"/>
      <c r="H64" s="1"/>
      <c r="I64" s="312"/>
      <c r="J64" s="313"/>
      <c r="K64" s="31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456</v>
      </c>
      <c r="H66" s="1"/>
      <c r="I66" s="304"/>
      <c r="J66" s="308"/>
      <c r="K66" s="309"/>
      <c r="L66" s="229"/>
      <c r="M66" s="1"/>
      <c r="R66" s="3"/>
    </row>
    <row r="67" spans="1:18" ht="15.75">
      <c r="A67" s="1"/>
      <c r="B67" s="134">
        <v>-50</v>
      </c>
      <c r="C67" s="16" t="s">
        <v>468</v>
      </c>
      <c r="D67" s="137">
        <v>41</v>
      </c>
      <c r="E67" s="138"/>
      <c r="F67" s="138"/>
      <c r="G67" s="31" t="s">
        <v>462</v>
      </c>
      <c r="H67" s="1"/>
      <c r="I67" s="304"/>
      <c r="J67" s="308"/>
      <c r="K67" s="3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29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57.56</v>
      </c>
      <c r="E86" s="138"/>
      <c r="F86" s="138"/>
      <c r="G86" s="16" t="s">
        <v>446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463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29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190</v>
      </c>
      <c r="D108" s="137">
        <v>50</v>
      </c>
      <c r="E108" s="138"/>
      <c r="F108" s="138"/>
      <c r="G108" s="34" t="s">
        <v>458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459</v>
      </c>
      <c r="D109" s="137">
        <v>11</v>
      </c>
      <c r="E109" s="138"/>
      <c r="F109" s="138">
        <v>3</v>
      </c>
      <c r="G109" s="31" t="s">
        <v>464</v>
      </c>
      <c r="H109" s="1"/>
      <c r="M109" s="1"/>
      <c r="R109" s="3"/>
    </row>
    <row r="110" spans="1:18" ht="15.75">
      <c r="B110" s="134">
        <v>1370</v>
      </c>
      <c r="C110" s="18" t="s">
        <v>447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29" t="s">
        <v>9</v>
      </c>
      <c r="E124" s="331"/>
      <c r="F124" s="331"/>
      <c r="G124" s="330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29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v>16.579999999999998</v>
      </c>
      <c r="E146" s="138"/>
      <c r="F146" s="138"/>
      <c r="G146" s="16" t="s">
        <v>430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29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438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441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443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450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467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29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f>25.99</f>
        <v>25.99</v>
      </c>
      <c r="E186" s="138"/>
      <c r="F186" s="138"/>
      <c r="G186" s="16" t="s">
        <v>440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432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29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439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29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7" ht="15" customHeight="1" thickBot="1">
      <c r="B243" s="319"/>
      <c r="C243" s="320"/>
      <c r="D243" s="320"/>
      <c r="E243" s="320"/>
      <c r="F243" s="320"/>
      <c r="G243" s="321"/>
    </row>
    <row r="244" spans="1:7" ht="15" customHeight="1">
      <c r="B244" s="329" t="s">
        <v>8</v>
      </c>
      <c r="C244" s="330"/>
      <c r="D244" s="329" t="s">
        <v>9</v>
      </c>
      <c r="E244" s="331"/>
      <c r="F244" s="331"/>
      <c r="G244" s="330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29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431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29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436</v>
      </c>
    </row>
    <row r="287" spans="2:8">
      <c r="B287" s="134"/>
      <c r="C287" s="16"/>
      <c r="D287" s="137">
        <v>9.65</v>
      </c>
      <c r="E287" s="138"/>
      <c r="F287" s="138"/>
      <c r="G287" s="16" t="s">
        <v>442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451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29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f>37.5+37.5</f>
        <v>75</v>
      </c>
      <c r="E306" s="138"/>
      <c r="F306" s="138"/>
      <c r="G306" s="16" t="s">
        <v>466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445</v>
      </c>
    </row>
    <row r="308" spans="2:7">
      <c r="B308" s="134">
        <f>L55+L56+L57</f>
        <v>37.980000000000004</v>
      </c>
      <c r="C308" s="27" t="s">
        <v>470</v>
      </c>
      <c r="D308" s="137"/>
      <c r="E308" s="138"/>
      <c r="F308" s="138">
        <v>50</v>
      </c>
      <c r="G308" s="16" t="s">
        <v>452</v>
      </c>
    </row>
    <row r="309" spans="2:7">
      <c r="B309" s="134"/>
      <c r="C309" s="16"/>
      <c r="D309" s="137">
        <v>63.9</v>
      </c>
      <c r="E309" s="138"/>
      <c r="F309" s="138"/>
      <c r="G309" s="16" t="s">
        <v>472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34"/>
      <c r="D322" s="334"/>
      <c r="E322" s="334"/>
      <c r="F322" s="334"/>
      <c r="G322" s="335"/>
    </row>
    <row r="323" spans="2:7" ht="15" customHeight="1" thickBot="1">
      <c r="B323" s="336"/>
      <c r="C323" s="337"/>
      <c r="D323" s="337"/>
      <c r="E323" s="337"/>
      <c r="F323" s="337"/>
      <c r="G323" s="338"/>
    </row>
    <row r="324" spans="2:7">
      <c r="B324" s="329" t="s">
        <v>8</v>
      </c>
      <c r="C324" s="330"/>
      <c r="D324" s="329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29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29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34"/>
      <c r="D382" s="334"/>
      <c r="E382" s="334"/>
      <c r="F382" s="334"/>
      <c r="G382" s="335"/>
    </row>
    <row r="383" spans="2:7" ht="15" customHeight="1" thickBot="1">
      <c r="B383" s="336"/>
      <c r="C383" s="337"/>
      <c r="D383" s="337"/>
      <c r="E383" s="337"/>
      <c r="F383" s="337"/>
      <c r="G383" s="338"/>
    </row>
    <row r="384" spans="2:7">
      <c r="B384" s="329" t="s">
        <v>8</v>
      </c>
      <c r="C384" s="330"/>
      <c r="D384" s="329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447</v>
      </c>
      <c r="D387" s="137"/>
      <c r="E387" s="138"/>
      <c r="F387" s="138"/>
      <c r="G387" s="16"/>
    </row>
    <row r="388" spans="2:7">
      <c r="B388" s="134">
        <v>106.26</v>
      </c>
      <c r="C388" s="27" t="s">
        <v>448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29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429</v>
      </c>
    </row>
    <row r="407" spans="2:7">
      <c r="B407" s="134">
        <v>3.75</v>
      </c>
      <c r="C407" s="16" t="s">
        <v>428</v>
      </c>
      <c r="D407" s="137"/>
      <c r="E407" s="138">
        <f>10+10</f>
        <v>20</v>
      </c>
      <c r="F407" s="138"/>
      <c r="G407" s="16" t="s">
        <v>453</v>
      </c>
    </row>
    <row r="408" spans="2:7">
      <c r="B408" s="134">
        <v>984.2</v>
      </c>
      <c r="C408" s="18" t="s">
        <v>447</v>
      </c>
      <c r="D408" s="137"/>
      <c r="E408" s="138"/>
      <c r="F408" s="138"/>
      <c r="G408" s="16"/>
    </row>
    <row r="409" spans="2:7">
      <c r="B409" s="134">
        <v>85.02</v>
      </c>
      <c r="C409" s="27" t="s">
        <v>448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29" t="s">
        <v>9</v>
      </c>
      <c r="E424" s="331"/>
      <c r="F424" s="331"/>
      <c r="G424" s="330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237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471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447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189</v>
      </c>
      <c r="D468" s="137"/>
      <c r="E468" s="138"/>
      <c r="F468" s="138"/>
      <c r="G468" s="16"/>
    </row>
    <row r="469" spans="1:7">
      <c r="B469" s="134">
        <v>500</v>
      </c>
      <c r="C469" s="18" t="s">
        <v>447</v>
      </c>
      <c r="D469" s="137"/>
      <c r="E469" s="138"/>
      <c r="F469" s="138"/>
      <c r="G469" s="16"/>
    </row>
    <row r="470" spans="1:7">
      <c r="B470" s="134">
        <v>43.19</v>
      </c>
      <c r="C470" s="27" t="s">
        <v>448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29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355" workbookViewId="0">
      <selection activeCell="B362" sqref="B362:G36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29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>
        <v>1773.93</v>
      </c>
      <c r="L5" s="325"/>
      <c r="M5" s="1"/>
      <c r="N5" s="1"/>
      <c r="R5" s="3"/>
    </row>
    <row r="6" spans="1:22" ht="15.75">
      <c r="A6" s="112">
        <f>'04'!A6+(B6-SUM(D6:F6))</f>
        <v>409.08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620.1</v>
      </c>
      <c r="L6" s="327"/>
      <c r="M6" s="1" t="s">
        <v>166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6">
        <v>7144.52</v>
      </c>
      <c r="L7" s="327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10005.620000000001</v>
      </c>
      <c r="L8" s="327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6">
        <v>514.82000000000005</v>
      </c>
      <c r="L9" s="327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326">
        <f>210</f>
        <v>210</v>
      </c>
      <c r="L11" s="327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1">
        <f>SUM(K5:K18)</f>
        <v>27163.090000000004</v>
      </c>
      <c r="L19" s="342"/>
      <c r="M19" s="1"/>
      <c r="N19" s="1"/>
      <c r="R19" s="3"/>
    </row>
    <row r="20" spans="1:18" ht="16.5" thickBot="1">
      <c r="A20" s="112">
        <f>SUM(A6:A15)</f>
        <v>637.76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29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231"/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304"/>
      <c r="J26" s="308"/>
      <c r="K26" s="309"/>
      <c r="L26" s="229"/>
      <c r="M26" s="1"/>
      <c r="R26" s="3"/>
    </row>
    <row r="27" spans="1:18" ht="15.75">
      <c r="A27" s="112">
        <f>'04'!A27+(B27-SUM(D27:F27))</f>
        <v>212.01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304"/>
      <c r="J28" s="308"/>
      <c r="K28" s="309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312"/>
      <c r="J29" s="313"/>
      <c r="K29" s="314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 t="s">
        <v>434</v>
      </c>
      <c r="K30" s="307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 t="s">
        <v>366</v>
      </c>
      <c r="K31" s="309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 t="s">
        <v>331</v>
      </c>
      <c r="K32" s="309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30"/>
      <c r="M39" s="1"/>
      <c r="R39" s="3"/>
    </row>
    <row r="40" spans="1:18" ht="16.5" thickBot="1">
      <c r="A40" s="112">
        <f>SUM(A26:A35)</f>
        <v>478.02</v>
      </c>
      <c r="B40" s="135">
        <f>SUM(B26:B39)</f>
        <v>1148</v>
      </c>
      <c r="C40" s="17" t="s">
        <v>53</v>
      </c>
      <c r="D40" s="135">
        <f>SUM(D26:D39)</f>
        <v>1085.77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 t="s">
        <v>477</v>
      </c>
      <c r="K40" s="307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22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22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229"/>
      <c r="M43" s="1"/>
      <c r="R43" s="3"/>
    </row>
    <row r="44" spans="1:18" ht="15.75">
      <c r="A44" s="1"/>
      <c r="B44" s="329" t="s">
        <v>8</v>
      </c>
      <c r="C44" s="330"/>
      <c r="D44" s="329" t="s">
        <v>9</v>
      </c>
      <c r="E44" s="331"/>
      <c r="F44" s="331"/>
      <c r="G44" s="330"/>
      <c r="H44" s="1"/>
      <c r="I44" s="312"/>
      <c r="J44" s="313"/>
      <c r="K44" s="3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476</v>
      </c>
      <c r="H46" s="1"/>
      <c r="I46" s="304"/>
      <c r="J46" s="308"/>
      <c r="K46" s="3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479</v>
      </c>
      <c r="H47" s="1"/>
      <c r="I47" s="304"/>
      <c r="J47" s="308"/>
      <c r="K47" s="309"/>
      <c r="L47" s="229"/>
      <c r="M47" s="1"/>
      <c r="R47" s="3"/>
    </row>
    <row r="48" spans="1:18" ht="15.75">
      <c r="A48" s="1"/>
      <c r="B48" s="134"/>
      <c r="C48" s="16" t="s">
        <v>461</v>
      </c>
      <c r="D48" s="137">
        <v>27.34</v>
      </c>
      <c r="E48" s="138"/>
      <c r="F48" s="138"/>
      <c r="G48" s="16" t="s">
        <v>486</v>
      </c>
      <c r="H48" s="1"/>
      <c r="I48" s="304"/>
      <c r="J48" s="308"/>
      <c r="K48" s="309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487</v>
      </c>
      <c r="H49" s="1"/>
      <c r="I49" s="312"/>
      <c r="J49" s="313"/>
      <c r="K49" s="314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495</v>
      </c>
      <c r="H50" s="1"/>
      <c r="I50" s="303" t="str">
        <f>AÑO!A13</f>
        <v>Gubernamental</v>
      </c>
      <c r="J50" s="306" t="s">
        <v>488</v>
      </c>
      <c r="K50" s="307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496</v>
      </c>
      <c r="H51" s="1"/>
      <c r="I51" s="304"/>
      <c r="J51" s="308"/>
      <c r="K51" s="309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500</v>
      </c>
      <c r="H52" s="1"/>
      <c r="I52" s="304"/>
      <c r="J52" s="308"/>
      <c r="K52" s="3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 t="s">
        <v>482</v>
      </c>
      <c r="K55" s="307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202.62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22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229"/>
      <c r="M63" s="1"/>
      <c r="R63" s="3"/>
    </row>
    <row r="64" spans="1:18" ht="15.75">
      <c r="A64" s="1"/>
      <c r="B64" s="329" t="s">
        <v>8</v>
      </c>
      <c r="C64" s="330"/>
      <c r="D64" s="329" t="s">
        <v>9</v>
      </c>
      <c r="E64" s="331"/>
      <c r="F64" s="331"/>
      <c r="G64" s="330"/>
      <c r="H64" s="1"/>
      <c r="I64" s="312"/>
      <c r="J64" s="313"/>
      <c r="K64" s="31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231"/>
      <c r="M65" s="1"/>
      <c r="R65" s="3"/>
    </row>
    <row r="66" spans="1:18" ht="15.75">
      <c r="A66" s="112">
        <f>'04'!A66+(B66-SUM(D66:F78))</f>
        <v>31.33000000000002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475</v>
      </c>
      <c r="H66" s="1"/>
      <c r="I66" s="304"/>
      <c r="J66" s="308"/>
      <c r="K66" s="309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484</v>
      </c>
      <c r="H67" s="1"/>
      <c r="I67" s="304"/>
      <c r="J67" s="308"/>
      <c r="K67" s="309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485</v>
      </c>
      <c r="H68" s="1"/>
      <c r="I68" s="304"/>
      <c r="J68" s="308"/>
      <c r="K68" s="309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493</v>
      </c>
      <c r="H69" s="1"/>
      <c r="I69" s="305"/>
      <c r="J69" s="310"/>
      <c r="K69" s="311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494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501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101.33000000000001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29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>
        <v>55.61</v>
      </c>
      <c r="E86" s="138"/>
      <c r="F86" s="138"/>
      <c r="G86" s="16" t="s">
        <v>480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497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109.25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29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'04'!A109+(B109-SUM(D109:F109))</f>
        <v>3400.0600000000009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29" t="s">
        <v>9</v>
      </c>
      <c r="E124" s="331"/>
      <c r="F124" s="331"/>
      <c r="G124" s="330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32.5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45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29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>
        <f>59</f>
        <v>59</v>
      </c>
      <c r="E146" s="138"/>
      <c r="F146" s="138"/>
      <c r="G146" s="16" t="s">
        <v>479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499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29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29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>
        <v>47.63</v>
      </c>
      <c r="E186" s="138"/>
      <c r="F186" s="138"/>
      <c r="G186" s="16" t="s">
        <v>502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29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498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29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7" ht="15" customHeight="1" thickBot="1">
      <c r="B243" s="319"/>
      <c r="C243" s="320"/>
      <c r="D243" s="320"/>
      <c r="E243" s="320"/>
      <c r="F243" s="320"/>
      <c r="G243" s="321"/>
    </row>
    <row r="244" spans="1:7" ht="15" customHeight="1">
      <c r="B244" s="329" t="s">
        <v>8</v>
      </c>
      <c r="C244" s="330"/>
      <c r="D244" s="329" t="s">
        <v>9</v>
      </c>
      <c r="E244" s="331"/>
      <c r="F244" s="331"/>
      <c r="G244" s="330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'04'!A246+(B246-SUM(D246:F255))</f>
        <v>119.72</v>
      </c>
      <c r="B246" s="134">
        <v>45</v>
      </c>
      <c r="C246" s="27" t="s">
        <v>406</v>
      </c>
      <c r="D246" s="137">
        <v>15</v>
      </c>
      <c r="E246" s="138"/>
      <c r="F246" s="138"/>
      <c r="G246" s="16" t="s">
        <v>496</v>
      </c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8" ht="15.75">
      <c r="A257" s="112">
        <f>'04'!A257+(B257-SUM(D257:F257))</f>
        <v>309.13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8" ht="15.75">
      <c r="A258" s="112">
        <f>'04'!A258+(B258-SUM(D258:F258))</f>
        <v>30</v>
      </c>
      <c r="B258" s="134">
        <v>5</v>
      </c>
      <c r="C258" s="16" t="s">
        <v>407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8" ht="16.5" thickBot="1">
      <c r="A260" s="112">
        <f>SUM(A246:A255)</f>
        <v>119.72</v>
      </c>
      <c r="B260" s="135">
        <f>SUM(B246:B259)</f>
        <v>100</v>
      </c>
      <c r="C260" s="17" t="s">
        <v>53</v>
      </c>
      <c r="D260" s="135">
        <f>SUM(D246:D259)</f>
        <v>15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8" ht="15" customHeight="1" thickBot="1">
      <c r="B263" s="319"/>
      <c r="C263" s="320"/>
      <c r="D263" s="320"/>
      <c r="E263" s="320"/>
      <c r="F263" s="320"/>
      <c r="G263" s="321"/>
    </row>
    <row r="264" spans="1:8">
      <c r="B264" s="329" t="s">
        <v>8</v>
      </c>
      <c r="C264" s="330"/>
      <c r="D264" s="329" t="s">
        <v>9</v>
      </c>
      <c r="E264" s="331"/>
      <c r="F264" s="331"/>
      <c r="G264" s="330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483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29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491</v>
      </c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137.85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29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>
        <v>4.4000000000000004</v>
      </c>
      <c r="E306" s="138"/>
      <c r="F306" s="138"/>
      <c r="G306" s="16" t="s">
        <v>474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482</v>
      </c>
    </row>
    <row r="308" spans="2:7">
      <c r="B308" s="134">
        <v>17.45</v>
      </c>
      <c r="C308" s="27" t="s">
        <v>492</v>
      </c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147.44999999999999</v>
      </c>
      <c r="C320" s="17" t="s">
        <v>53</v>
      </c>
      <c r="D320" s="135">
        <f>SUM(D306:D319)</f>
        <v>4.4000000000000004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28" t="str">
        <f>AÑO!A36</f>
        <v>Martina</v>
      </c>
      <c r="C322" s="334"/>
      <c r="D322" s="334"/>
      <c r="E322" s="334"/>
      <c r="F322" s="334"/>
      <c r="G322" s="335"/>
    </row>
    <row r="323" spans="2:7" ht="15" customHeight="1" thickBot="1">
      <c r="B323" s="336"/>
      <c r="C323" s="337"/>
      <c r="D323" s="337"/>
      <c r="E323" s="337"/>
      <c r="F323" s="337"/>
      <c r="G323" s="338"/>
    </row>
    <row r="324" spans="2:7">
      <c r="B324" s="329" t="s">
        <v>8</v>
      </c>
      <c r="C324" s="330"/>
      <c r="D324" s="329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489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29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29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>
        <f>4.45</f>
        <v>4.45</v>
      </c>
      <c r="F366" s="138">
        <f>3.4+4.45+3.4+4.45+3.4</f>
        <v>19.099999999999998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4.45</v>
      </c>
      <c r="F380" s="135">
        <f>SUM(F366:F379)</f>
        <v>19.099999999999998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28" t="str">
        <f>AÑO!A39</f>
        <v>Dreamed Holidays</v>
      </c>
      <c r="C382" s="334"/>
      <c r="D382" s="334"/>
      <c r="E382" s="334"/>
      <c r="F382" s="334"/>
      <c r="G382" s="335"/>
    </row>
    <row r="383" spans="2:7" ht="15" customHeight="1" thickBot="1">
      <c r="B383" s="336"/>
      <c r="C383" s="337"/>
      <c r="D383" s="337"/>
      <c r="E383" s="337"/>
      <c r="F383" s="337"/>
      <c r="G383" s="338"/>
    </row>
    <row r="384" spans="2:7">
      <c r="B384" s="329" t="s">
        <v>8</v>
      </c>
      <c r="C384" s="330"/>
      <c r="D384" s="329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29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478</v>
      </c>
    </row>
    <row r="407" spans="2:7">
      <c r="B407" s="134">
        <v>45.86</v>
      </c>
      <c r="C407" s="16" t="s">
        <v>477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95.86</v>
      </c>
      <c r="C420" s="17" t="s">
        <v>53</v>
      </c>
      <c r="D420" s="135">
        <f>SUM(D406:D419)</f>
        <v>2.27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29" t="s">
        <v>9</v>
      </c>
      <c r="E424" s="331"/>
      <c r="F424" s="331"/>
      <c r="G424" s="330"/>
    </row>
    <row r="425" spans="1:7">
      <c r="A425" s="113">
        <f>AÑO!S17</f>
        <v>1389.62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-2676.13</v>
      </c>
      <c r="C426" s="19" t="s">
        <v>237</v>
      </c>
      <c r="D426" s="137"/>
      <c r="E426" s="138"/>
      <c r="F426" s="138"/>
      <c r="G426" s="16"/>
    </row>
    <row r="427" spans="1:7">
      <c r="A427" s="113">
        <v>45.86</v>
      </c>
      <c r="B427" s="134"/>
      <c r="C427" s="16"/>
      <c r="D427" s="137"/>
      <c r="E427" s="138"/>
      <c r="F427" s="138"/>
      <c r="G427" s="16"/>
    </row>
    <row r="428" spans="1:7">
      <c r="A428" s="113">
        <v>102.44</v>
      </c>
      <c r="B428" s="134"/>
      <c r="C428" s="16"/>
      <c r="D428" s="137"/>
      <c r="E428" s="138"/>
      <c r="F428" s="138"/>
      <c r="G428" s="16"/>
    </row>
    <row r="429" spans="1:7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-2676.13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'04'!A467+(B467-SUM(D467:F467))</f>
        <v>325.22999999999996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'04'!A468+(B468-SUM(D468:F468))</f>
        <v>158.4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1033.6300000000001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29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7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43" t="s">
        <v>4</v>
      </c>
      <c r="J2" s="344"/>
      <c r="K2" s="344"/>
      <c r="L2" s="345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46"/>
      <c r="J3" s="347"/>
      <c r="K3" s="347"/>
      <c r="L3" s="348"/>
      <c r="M3" s="1"/>
      <c r="N3" s="1"/>
      <c r="R3" s="3"/>
    </row>
    <row r="4" spans="1:22" ht="15.75">
      <c r="A4" s="1"/>
      <c r="B4" s="329" t="s">
        <v>8</v>
      </c>
      <c r="C4" s="330"/>
      <c r="D4" s="329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'05'!A6+(B6-SUM(D6:F6))</f>
        <v>812.16</v>
      </c>
      <c r="B6" s="133">
        <v>403.08</v>
      </c>
      <c r="C6" s="19" t="s">
        <v>380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620.1</v>
      </c>
      <c r="L6" s="327"/>
      <c r="M6" s="1" t="s">
        <v>166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404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'05'!A8+(B8-SUM(D8:F8))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10005.620000000001</v>
      </c>
      <c r="L8" s="327"/>
      <c r="M8" s="1"/>
      <c r="N8" s="1"/>
      <c r="R8" s="3"/>
    </row>
    <row r="9" spans="1:22" ht="15.75">
      <c r="A9" s="112">
        <f>'05'!A9+(B9-SUM(D9:F9))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326">
        <v>514.82000000000005</v>
      </c>
      <c r="L9" s="327"/>
      <c r="M9" s="1"/>
      <c r="N9" s="1"/>
      <c r="R9" s="3"/>
    </row>
    <row r="10" spans="1:22" ht="15.75">
      <c r="A10" s="112">
        <f>'05'!A10+(B10-SUM(D10:F10))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1802.02</v>
      </c>
      <c r="L10" s="327"/>
      <c r="M10" s="1" t="s">
        <v>156</v>
      </c>
      <c r="N10" s="1"/>
      <c r="R10" s="3"/>
    </row>
    <row r="11" spans="1:22" ht="15.75">
      <c r="A11" s="112">
        <f>'05'!A11+(B11-SUM(D11:F11))</f>
        <v>30.210000000000004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329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41">
        <f>SUM(K5:K18)</f>
        <v>18034.64</v>
      </c>
      <c r="L19" s="342"/>
      <c r="M19" s="1"/>
      <c r="N19" s="1"/>
      <c r="R19" s="3"/>
    </row>
    <row r="20" spans="1:18" ht="16.5" thickBot="1">
      <c r="A20" s="112">
        <f>SUM(A6:A15)</f>
        <v>1181.76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11140.539999999999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43" t="s">
        <v>6</v>
      </c>
      <c r="J22" s="344"/>
      <c r="K22" s="344"/>
      <c r="L22" s="345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46"/>
      <c r="J23" s="347"/>
      <c r="K23" s="347"/>
      <c r="L23" s="348"/>
      <c r="M23" s="1"/>
      <c r="R23" s="3"/>
    </row>
    <row r="24" spans="1:18" ht="15.75">
      <c r="A24" s="1"/>
      <c r="B24" s="329" t="s">
        <v>8</v>
      </c>
      <c r="C24" s="330"/>
      <c r="D24" s="329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231"/>
      <c r="M25" s="1"/>
      <c r="R25" s="3"/>
    </row>
    <row r="26" spans="1:18" ht="15.75">
      <c r="A26" s="112">
        <f>'05'!A26+(B26-SUM(D26:F26))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229"/>
      <c r="M26" s="1"/>
      <c r="R26" s="3"/>
    </row>
    <row r="27" spans="1:18" ht="15.75">
      <c r="A27" s="112">
        <f>'05'!A27+(B27-SUM(D27:F27))</f>
        <v>402.01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229"/>
      <c r="M28" s="1"/>
      <c r="R28" s="3"/>
    </row>
    <row r="29" spans="1:18" ht="15.75">
      <c r="A29" s="112">
        <f>'05'!A29+(B29-SUM(D29:F29))</f>
        <v>19.430000000000003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30"/>
      <c r="M39" s="1"/>
      <c r="R39" s="3"/>
    </row>
    <row r="40" spans="1:18" ht="16.5" thickBot="1">
      <c r="A40" s="112">
        <f>SUM(A26:A35)</f>
        <v>1626.02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22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22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229"/>
      <c r="M43" s="1"/>
      <c r="R43" s="3"/>
    </row>
    <row r="44" spans="1:18" ht="15.75">
      <c r="A44" s="1"/>
      <c r="B44" s="329" t="s">
        <v>8</v>
      </c>
      <c r="C44" s="330"/>
      <c r="D44" s="329" t="s">
        <v>9</v>
      </c>
      <c r="E44" s="331"/>
      <c r="F44" s="331"/>
      <c r="G44" s="330"/>
      <c r="H44" s="1"/>
      <c r="I44" s="312"/>
      <c r="J44" s="313"/>
      <c r="K44" s="314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231"/>
      <c r="M45" s="1"/>
      <c r="R45" s="3"/>
    </row>
    <row r="46" spans="1:18" ht="15.75">
      <c r="A46" s="1"/>
      <c r="B46" s="133">
        <v>239.2</v>
      </c>
      <c r="C46" s="19"/>
      <c r="D46" s="137"/>
      <c r="E46" s="138"/>
      <c r="F46" s="138"/>
      <c r="G46" s="30"/>
      <c r="H46" s="1"/>
      <c r="I46" s="304"/>
      <c r="J46" s="308"/>
      <c r="K46" s="309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229"/>
      <c r="M47" s="1"/>
      <c r="R47" s="3"/>
    </row>
    <row r="48" spans="1:18" ht="15.75">
      <c r="A48" s="1"/>
      <c r="B48" s="134"/>
      <c r="C48" s="16" t="s">
        <v>490</v>
      </c>
      <c r="D48" s="137"/>
      <c r="E48" s="138"/>
      <c r="F48" s="138"/>
      <c r="G48" s="16"/>
      <c r="H48" s="1"/>
      <c r="I48" s="304"/>
      <c r="J48" s="308"/>
      <c r="K48" s="309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30"/>
      <c r="M59" s="1"/>
      <c r="R59" s="3"/>
    </row>
    <row r="60" spans="1:18" ht="16.5" customHeight="1" thickBot="1">
      <c r="A60" s="1"/>
      <c r="B60" s="135">
        <f>SUM(B46:B59)</f>
        <v>246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22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22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229"/>
      <c r="M63" s="1"/>
      <c r="R63" s="3"/>
    </row>
    <row r="64" spans="1:18" ht="15.75">
      <c r="A64" s="1"/>
      <c r="B64" s="329" t="s">
        <v>8</v>
      </c>
      <c r="C64" s="330"/>
      <c r="D64" s="329" t="s">
        <v>9</v>
      </c>
      <c r="E64" s="331"/>
      <c r="F64" s="331"/>
      <c r="G64" s="330"/>
      <c r="H64" s="1"/>
      <c r="I64" s="312"/>
      <c r="J64" s="313"/>
      <c r="K64" s="314"/>
      <c r="L64" s="230"/>
      <c r="M64" s="1"/>
      <c r="R64" s="3"/>
    </row>
    <row r="65" spans="1:18" ht="15.75">
      <c r="A65" s="1" t="s">
        <v>187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231"/>
      <c r="M65" s="1"/>
      <c r="R65" s="3"/>
    </row>
    <row r="66" spans="1:18" ht="15.75">
      <c r="A66" s="112">
        <f>'05'!A66+(B66-SUM(D66:F78))</f>
        <v>191.33</v>
      </c>
      <c r="B66" s="133">
        <v>160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240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271.33000000000004</v>
      </c>
      <c r="B80" s="233">
        <f>SUM(B66:B79)</f>
        <v>170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29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29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70.840000000000032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3467.5900000000011</v>
      </c>
      <c r="B109" s="134">
        <v>67.53</v>
      </c>
      <c r="C109" s="18" t="s">
        <v>459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762.41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29" t="s">
        <v>9</v>
      </c>
      <c r="E124" s="331"/>
      <c r="F124" s="331"/>
      <c r="G124" s="330"/>
      <c r="H124" s="1"/>
      <c r="M124" s="1"/>
      <c r="R124" s="3"/>
    </row>
    <row r="125" spans="1:18" ht="15.75">
      <c r="A125" s="89" t="s">
        <v>187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62.5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27.5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8.02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90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29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29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29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29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29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1:7" ht="15" customHeight="1" thickBot="1">
      <c r="B243" s="319"/>
      <c r="C243" s="320"/>
      <c r="D243" s="320"/>
      <c r="E243" s="320"/>
      <c r="F243" s="320"/>
      <c r="G243" s="321"/>
    </row>
    <row r="244" spans="1:7" ht="15" customHeight="1">
      <c r="B244" s="329" t="s">
        <v>8</v>
      </c>
      <c r="C244" s="330"/>
      <c r="D244" s="329" t="s">
        <v>9</v>
      </c>
      <c r="E244" s="331"/>
      <c r="F244" s="331"/>
      <c r="G244" s="330"/>
    </row>
    <row r="245" spans="1:7" ht="15" customHeight="1">
      <c r="A245" s="1" t="s">
        <v>187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1:7" ht="15" customHeight="1">
      <c r="A246" s="112">
        <f>'05'!A246+(B246-SUM(D246:F255))</f>
        <v>164.72</v>
      </c>
      <c r="B246" s="134">
        <v>45</v>
      </c>
      <c r="C246" s="27" t="s">
        <v>406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'05'!A256+(B256-SUM(D256:F265))</f>
        <v>25</v>
      </c>
      <c r="B256" s="134">
        <v>5</v>
      </c>
      <c r="C256" s="16" t="s">
        <v>413</v>
      </c>
      <c r="D256" s="137"/>
      <c r="E256" s="138"/>
      <c r="F256" s="138"/>
      <c r="G256" s="16"/>
    </row>
    <row r="257" spans="1:7" ht="15.75">
      <c r="A257" s="112">
        <f>'05'!A257+(B257-SUM(D257:F266))</f>
        <v>349.13</v>
      </c>
      <c r="B257" s="134">
        <v>40</v>
      </c>
      <c r="C257" s="16" t="s">
        <v>435</v>
      </c>
      <c r="D257" s="137"/>
      <c r="E257" s="138"/>
      <c r="F257" s="138"/>
      <c r="G257" s="16"/>
    </row>
    <row r="258" spans="1:7" ht="15.75">
      <c r="A258" s="112">
        <f>'05'!A258+(B258-SUM(D258:F267))</f>
        <v>35</v>
      </c>
      <c r="B258" s="134">
        <v>5</v>
      </c>
      <c r="C258" s="16" t="s">
        <v>407</v>
      </c>
      <c r="D258" s="137"/>
      <c r="E258" s="138"/>
      <c r="F258" s="138"/>
      <c r="G258" s="16"/>
    </row>
    <row r="259" spans="1:7" ht="16.5" thickBot="1">
      <c r="A259" s="112">
        <f>'05'!A259+(B259-SUM(D259:F268))</f>
        <v>25</v>
      </c>
      <c r="B259" s="135">
        <v>5</v>
      </c>
      <c r="C259" s="17" t="s">
        <v>408</v>
      </c>
      <c r="D259" s="135"/>
      <c r="E259" s="139"/>
      <c r="F259" s="139"/>
      <c r="G259" s="17"/>
    </row>
    <row r="260" spans="1:7" ht="16.5" thickBot="1">
      <c r="A260" s="112">
        <f>SUM(A246:A255)</f>
        <v>164.72</v>
      </c>
      <c r="B260" s="135">
        <f>SUM(B246:B259)</f>
        <v>100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  <c r="F261" s="237"/>
      <c r="G261" s="238"/>
    </row>
    <row r="262" spans="1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1:7" ht="15" customHeight="1" thickBot="1">
      <c r="B263" s="319"/>
      <c r="C263" s="320"/>
      <c r="D263" s="320"/>
      <c r="E263" s="320"/>
      <c r="F263" s="320"/>
      <c r="G263" s="321"/>
    </row>
    <row r="264" spans="1:7">
      <c r="B264" s="329" t="s">
        <v>8</v>
      </c>
      <c r="C264" s="330"/>
      <c r="D264" s="329" t="s">
        <v>9</v>
      </c>
      <c r="E264" s="331"/>
      <c r="F264" s="331"/>
      <c r="G264" s="330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/>
      <c r="E266" s="138"/>
      <c r="F266" s="138"/>
      <c r="G266" s="16"/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29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29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115</v>
      </c>
      <c r="C306" s="19" t="s">
        <v>236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328" t="str">
        <f>AÑO!A36</f>
        <v>Martina</v>
      </c>
      <c r="C322" s="334"/>
      <c r="D322" s="334"/>
      <c r="E322" s="334"/>
      <c r="F322" s="334"/>
      <c r="G322" s="335"/>
    </row>
    <row r="323" spans="2:7" ht="15" customHeight="1" thickBot="1">
      <c r="B323" s="336"/>
      <c r="C323" s="337"/>
      <c r="D323" s="337"/>
      <c r="E323" s="337"/>
      <c r="F323" s="337"/>
      <c r="G323" s="338"/>
    </row>
    <row r="324" spans="2:7">
      <c r="B324" s="329" t="s">
        <v>8</v>
      </c>
      <c r="C324" s="330"/>
      <c r="D324" s="329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29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29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328" t="str">
        <f>AÑO!A39</f>
        <v>Dreamed Holidays</v>
      </c>
      <c r="C382" s="334"/>
      <c r="D382" s="334"/>
      <c r="E382" s="334"/>
      <c r="F382" s="334"/>
      <c r="G382" s="335"/>
    </row>
    <row r="383" spans="2:7" ht="15" customHeight="1" thickBot="1">
      <c r="B383" s="336"/>
      <c r="C383" s="337"/>
      <c r="D383" s="337"/>
      <c r="E383" s="337"/>
      <c r="F383" s="337"/>
      <c r="G383" s="338"/>
    </row>
    <row r="384" spans="2:7">
      <c r="B384" s="329" t="s">
        <v>8</v>
      </c>
      <c r="C384" s="330"/>
      <c r="D384" s="329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29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  <c r="F421" s="237"/>
      <c r="G421" s="238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29" t="s">
        <v>9</v>
      </c>
      <c r="E424" s="331"/>
      <c r="F424" s="331"/>
      <c r="G424" s="330"/>
    </row>
    <row r="425" spans="1:7">
      <c r="A425" s="113">
        <f>AÑO!W17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237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550</v>
      </c>
      <c r="B466" s="134">
        <v>0</v>
      </c>
      <c r="C466" s="16" t="s">
        <v>351</v>
      </c>
      <c r="D466" s="137"/>
      <c r="E466" s="138"/>
      <c r="F466" s="138"/>
      <c r="G466" s="16"/>
    </row>
    <row r="467" spans="1:7" ht="15.75">
      <c r="A467" s="112">
        <f>'05'!A467+(B467-SUM(D467:F467))</f>
        <v>375.22999999999996</v>
      </c>
      <c r="B467" s="134">
        <v>50</v>
      </c>
      <c r="C467" s="16" t="s">
        <v>457</v>
      </c>
      <c r="D467" s="137"/>
      <c r="E467" s="138"/>
      <c r="F467" s="138"/>
      <c r="G467" s="16"/>
    </row>
    <row r="468" spans="1:7" ht="15.75">
      <c r="A468" s="112">
        <f>'05'!A468+(B468-SUM(D468:F468))</f>
        <v>173.4</v>
      </c>
      <c r="B468" s="134">
        <f>15</f>
        <v>15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1098.6300000000001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29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S20:V20" display="AÑO!S20:V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S21:V21" display="AÑO!S21:V21" xr:uid="{C970DD7C-6B6B-4623-86F9-67FE2986FC1B}"/>
    <hyperlink ref="B42" location="Trimestre!C25:F26" display="HIPOTECA" xr:uid="{CCD608B7-652A-424C-8450-8D21A6CAB32E}"/>
    <hyperlink ref="B42:G43" location="AÑO!S22:V22" display="AÑO!S22:V22" xr:uid="{5DAC9651-92CB-4B35-A7E7-5B937AAA1CDC}"/>
    <hyperlink ref="B62" location="Trimestre!C25:F26" display="HIPOTECA" xr:uid="{85376C4C-D3D9-4A89-9A53-FC980DA1B72D}"/>
    <hyperlink ref="B62:G63" location="AÑO!S23:V23" display="AÑO!S23:V23" xr:uid="{0E402A44-7D95-47CA-ACFC-F020562EEE9C}"/>
    <hyperlink ref="B82" location="Trimestre!C25:F26" display="HIPOTECA" xr:uid="{3FE09476-1DDE-4CAF-B2EC-21CCD3C2C328}"/>
    <hyperlink ref="B82:G83" location="AÑO!S24:V24" display="AÑO!S24:V24" xr:uid="{DB737FED-966E-415D-8C26-E437B7981E2F}"/>
    <hyperlink ref="B102" location="Trimestre!C25:F26" display="HIPOTECA" xr:uid="{00DC005D-247A-4D21-9061-866AE19681E9}"/>
    <hyperlink ref="B102:G103" location="AÑO!S25:V25" display="AÑO!S25:V25" xr:uid="{45082976-83C9-4CBF-B824-AB20B5E878BF}"/>
    <hyperlink ref="B122" location="Trimestre!C25:F26" display="HIPOTECA" xr:uid="{809A540D-9B15-442F-ABF4-E13063969D3E}"/>
    <hyperlink ref="B122:G123" location="AÑO!S26:V26" display="AÑO!S26:V26" xr:uid="{2D9C2949-2780-4310-BB08-8CD4C828FDB2}"/>
    <hyperlink ref="B142" location="Trimestre!C25:F26" display="HIPOTECA" xr:uid="{FC0831B9-AC1B-4953-B67A-43ACF9F36AFE}"/>
    <hyperlink ref="B142:G143" location="AÑO!S27:V27" display="AÑO!S27:V27" xr:uid="{1759BAC5-1B77-4325-86FE-75AFAAE070A1}"/>
    <hyperlink ref="B162" location="Trimestre!C25:F26" display="HIPOTECA" xr:uid="{E6D41C3D-713F-454C-8558-542C07EDE443}"/>
    <hyperlink ref="B162:G163" location="AÑO!S28:V28" display="AÑO!S28:V28" xr:uid="{B0A872C0-2891-4136-B00C-C496A1900AD5}"/>
    <hyperlink ref="B182" location="Trimestre!C25:F26" display="HIPOTECA" xr:uid="{B4B69845-9743-4992-8FAB-5756A8695DA3}"/>
    <hyperlink ref="B182:G183" location="AÑO!S29:V29" display="AÑO!S29:V29" xr:uid="{6E7DD210-E74D-4F40-8724-5EEE41D7DE5F}"/>
    <hyperlink ref="B202" location="Trimestre!C25:F26" display="HIPOTECA" xr:uid="{57DD9A53-8885-4936-B3AC-90A89FBE503C}"/>
    <hyperlink ref="B202:G203" location="AÑO!S30:V30" display="AÑO!S30:V30" xr:uid="{AD6A6C05-B994-4464-BADE-0A1EC792F45A}"/>
    <hyperlink ref="B222" location="Trimestre!C25:F26" display="HIPOTECA" xr:uid="{569ABEBF-CADC-4219-9F59-8E5F8A0DC5C1}"/>
    <hyperlink ref="B222:G223" location="AÑO!S31:V31" display="AÑO!S31:V31" xr:uid="{C2123514-2FBE-4B7E-9A27-FA2677AF659C}"/>
    <hyperlink ref="B242" location="Trimestre!C25:F26" display="HIPOTECA" xr:uid="{F960F257-9A31-4EA0-9C35-17BE03BF784F}"/>
    <hyperlink ref="B242:G243" location="AÑO!S32:V32" display="AÑO!S32:V32" xr:uid="{E8282D48-23D8-4ADF-93AD-D69651254A9C}"/>
    <hyperlink ref="B262" location="Trimestre!C25:F26" display="HIPOTECA" xr:uid="{ECF73BA6-20B2-4C63-A6D6-54240B32F4B1}"/>
    <hyperlink ref="B262:G263" location="AÑO!S33:V33" display="AÑO!S33:V33" xr:uid="{4A4EA5B9-9B9E-4434-B2AF-5F1F2954FD9C}"/>
    <hyperlink ref="B282" location="Trimestre!C25:F26" display="HIPOTECA" xr:uid="{72B1D4EE-306A-47AE-9D2E-35AC0C5F007C}"/>
    <hyperlink ref="B282:G283" location="AÑO!S34:V34" display="AÑO!S34:V34" xr:uid="{955679F8-C326-49B1-AEFD-ED6ACE44D8D1}"/>
    <hyperlink ref="B302" location="Trimestre!C25:F26" display="HIPOTECA" xr:uid="{0D3CB661-04D3-49A7-B08D-F1391433FB04}"/>
    <hyperlink ref="B302:G303" location="AÑO!S35:V35" display="AÑO!S35:V35" xr:uid="{3F49CD76-506D-4763-982B-B02227D65106}"/>
    <hyperlink ref="B322" location="Trimestre!C25:F26" display="HIPOTECA" xr:uid="{9D10FB17-6F1D-4F88-A3ED-5DD57BD8D0DE}"/>
    <hyperlink ref="B322:G323" location="AÑO!S36:V36" display="AÑO!S36:V36" xr:uid="{8644B60D-DD50-426B-858A-C94DD04F76DF}"/>
    <hyperlink ref="B342" location="Trimestre!C25:F26" display="HIPOTECA" xr:uid="{9218D1A0-BC4E-487A-9A38-2C4C7663C8B1}"/>
    <hyperlink ref="B342:G343" location="AÑO!S37:V37" display="AÑO!S37:V37" xr:uid="{A4D22A1A-AD19-442F-9D94-9B9D0F2048B0}"/>
    <hyperlink ref="B362" location="Trimestre!C25:F26" display="HIPOTECA" xr:uid="{9ED8BB8F-F32C-402A-B4F6-908DA76EA86D}"/>
    <hyperlink ref="B362:G363" location="AÑO!S38:V38" display="AÑO!S38:V38" xr:uid="{A5CD3ECA-0FCC-4E28-9E36-A188F7710686}"/>
    <hyperlink ref="B382" location="Trimestre!C25:F26" display="HIPOTECA" xr:uid="{B8668375-2FE4-477B-BE37-C33AFA8579A9}"/>
    <hyperlink ref="B382:G383" location="AÑO!S39:V39" display="AÑO!S39:V39" xr:uid="{317EDCAE-F153-444A-8C5B-BF5F1346012D}"/>
    <hyperlink ref="B402" location="Trimestre!C25:F26" display="HIPOTECA" xr:uid="{848E53AC-4FA4-485F-9786-CFBDC41CDCA6}"/>
    <hyperlink ref="B402:G403" location="AÑO!S40:V40" display="AÑO!S40:V40" xr:uid="{0407D3B1-89E8-4DA8-B417-A0D8D9DB6101}"/>
    <hyperlink ref="B422" location="Trimestre!C25:F26" display="HIPOTECA" xr:uid="{B323137B-9FEC-4589-9805-31276D7D178B}"/>
    <hyperlink ref="B422:G423" location="AÑO!S41:V41" display="AÑO!S41:V41" xr:uid="{17EAB0DC-C684-4FF4-B35A-DC054656CE62}"/>
    <hyperlink ref="B442" location="Trimestre!C25:F26" display="HIPOTECA" xr:uid="{17D2B360-577D-4D90-A0F2-19C70E498CDA}"/>
    <hyperlink ref="B442:G443" location="AÑO!S42:V42" display="AÑO!S42:V42" xr:uid="{7626C6B4-0DC5-4717-BAAC-22EC8A1567E6}"/>
    <hyperlink ref="B462" location="Trimestre!C25:F26" display="HIPOTECA" xr:uid="{0C07E8E6-F16E-41EF-8CEF-D3B172C71492}"/>
    <hyperlink ref="B462:G463" location="AÑO!S43:V43" display="AÑO!S43:V43" xr:uid="{49B14C1F-E19B-4E66-A339-BB6B1D7EB6B9}"/>
    <hyperlink ref="B482" location="Trimestre!C25:F26" display="HIPOTECA" xr:uid="{B1749E88-0C12-4EF3-98FF-E9B4169AB33A}"/>
    <hyperlink ref="B482:G483" location="AÑO!S44:V44" display="AÑO!S44:V44" xr:uid="{ACAF3C81-C442-4A76-969D-49B6EB1C885F}"/>
    <hyperlink ref="B502" location="Trimestre!C25:F26" display="HIPOTECA" xr:uid="{050C5B32-2449-4B2F-9583-532EE23527D7}"/>
    <hyperlink ref="B502:G503" location="AÑO!S45:V45" display="AÑO!S45:V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70" workbookViewId="0">
      <selection activeCell="F15" sqref="F15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'06'!A6+(B6-SUM(D6:F6))</f>
        <v>1211.75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'06'!A7+(B7-SUM(D7:F7))</f>
        <v>173.02999999999997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'06'!A8+(B8-SUM(D8:F8))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'06'!A10+(B10-SUM(D10:F10))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'06'!A11+(B11-SUM(D11:F11))</f>
        <v>60.440000000000005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'06'!A13+(B13-SUM(D13:F13))</f>
        <v>31.5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1725.76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'06'!A26+(B26-SUM(D26:F26))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'06'!A27+(B27-SUM(D27:F27))</f>
        <v>572.01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'06'!A29+(B29-SUM(D29:F29))</f>
        <v>37.430000000000007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2754.0200000000004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141.84000000000003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3493.1200000000013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1141.8800000000001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AÑO!AA17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575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'06'!A467+(B467-SUM(D467:F467))</f>
        <v>395.22999999999996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'06'!A468+(B468-SUM(D468:F468))</f>
        <v>178.4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1148.6300000000001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C4FAD153-9D80-4FDD-88E8-5F44C882AC55}"/>
    <hyperlink ref="I22:L23" location="AÑO!G7:J17" display="INGRESOS" xr:uid="{B4430DB1-2074-4805-A92B-5AA80292CE17}"/>
    <hyperlink ref="I2" location="Trimestre!C39:F40" display="TELÉFONO" xr:uid="{EF73BD2A-D772-443F-9C17-5DB77CF0B513}"/>
    <hyperlink ref="I2:L3" location="AÑO!G4:J5" display="SALDO REAL" xr:uid="{688EBF1B-17D2-4ECD-9CE1-FEB14C7C1CB0}"/>
    <hyperlink ref="B2" location="Trimestre!C25:F26" display="HIPOTECA" xr:uid="{AA96B9DE-37EF-4F6B-85A9-890390E2A59C}"/>
    <hyperlink ref="B2:G3" location="AÑO!G20:J20" display="AÑO!G20:J20" xr:uid="{A6522E1F-EA49-4841-92D5-8AAFD5EDA6EE}"/>
    <hyperlink ref="B22" location="Trimestre!C25:F26" display="HIPOTECA" xr:uid="{80E89E02-DC02-4879-9123-6E864B13A9B8}"/>
    <hyperlink ref="B22:G23" location="AÑO!G21:J21" display="AÑO!G21:J21" xr:uid="{8F318D17-A2A4-4461-A3A1-5458AEC5ADAC}"/>
    <hyperlink ref="B42" location="Trimestre!C25:F26" display="HIPOTECA" xr:uid="{2DEDCFCF-1151-4917-9BFE-56754F6CE7B7}"/>
    <hyperlink ref="B42:G43" location="AÑO!G22:J22" display="AÑO!G22:J22" xr:uid="{64AF1417-F675-4930-A0D3-C123C10736E9}"/>
    <hyperlink ref="B62" location="Trimestre!C25:F26" display="HIPOTECA" xr:uid="{07503445-43C2-4962-B90C-A42779A968C0}"/>
    <hyperlink ref="B62:G63" location="AÑO!G23:J23" display="AÑO!G23:J23" xr:uid="{9C50D6B5-EFDC-45AD-8E95-34AAA35F6AF5}"/>
    <hyperlink ref="B82" location="Trimestre!C25:F26" display="HIPOTECA" xr:uid="{7C0AD437-5C74-4EB3-8A62-64051D66873A}"/>
    <hyperlink ref="B82:G83" location="AÑO!G24:J24" display="AÑO!G24:J24" xr:uid="{EBB7C52F-5D79-462A-91FE-C3794E7C8C79}"/>
    <hyperlink ref="B102" location="Trimestre!C25:F26" display="HIPOTECA" xr:uid="{5B9211F8-CC2F-45D9-B4FC-419C8448A089}"/>
    <hyperlink ref="B102:G103" location="AÑO!G25:J25" display="AÑO!G25:J25" xr:uid="{74439E9C-6FCA-4890-8340-052F284362E7}"/>
    <hyperlink ref="B122" location="Trimestre!C25:F26" display="HIPOTECA" xr:uid="{082323B9-7C18-4AC2-9A7D-14415C32BFEB}"/>
    <hyperlink ref="B122:G123" location="AÑO!G26:J26" display="AÑO!G26:J26" xr:uid="{3B2EDF1E-9C2D-497F-8072-A81438A13CDC}"/>
    <hyperlink ref="B142" location="Trimestre!C25:F26" display="HIPOTECA" xr:uid="{72BC6314-8BDD-4ED4-B088-5B3595BA7FA4}"/>
    <hyperlink ref="B142:G143" location="AÑO!G27:J27" display="AÑO!G27:J27" xr:uid="{61072580-A3C6-4F20-9073-75097BD3300E}"/>
    <hyperlink ref="B162" location="Trimestre!C25:F26" display="HIPOTECA" xr:uid="{42BE6DDE-2E51-4EA9-BACB-15B8C15B46C5}"/>
    <hyperlink ref="B162:G163" location="AÑO!G28:J28" display="AÑO!G28:J28" xr:uid="{1B5AC02F-2F5E-4D80-A5D9-AD5EDC3F2EC2}"/>
    <hyperlink ref="B182" location="Trimestre!C25:F26" display="HIPOTECA" xr:uid="{5E69867C-CE78-4E76-AA01-2B1171C10B15}"/>
    <hyperlink ref="B182:G183" location="AÑO!G29:J29" display="AÑO!G29:J29" xr:uid="{18FB84D7-C033-4A6F-9C80-7379B480E20A}"/>
    <hyperlink ref="B202" location="Trimestre!C25:F26" display="HIPOTECA" xr:uid="{AB46D951-B130-4181-AC2E-14B17018B497}"/>
    <hyperlink ref="B202:G203" location="AÑO!G30:J30" display="AÑO!G30:J30" xr:uid="{0B041309-EB33-48E1-95A4-B8F03F00CE0F}"/>
    <hyperlink ref="B222" location="Trimestre!C25:F26" display="HIPOTECA" xr:uid="{C91FA9D1-F8F6-492F-9741-24FB89B8BBE4}"/>
    <hyperlink ref="B222:G223" location="AÑO!G31:J31" display="AÑO!G31:J31" xr:uid="{E43F3B43-EF07-4181-8472-EE967522EAC3}"/>
    <hyperlink ref="B242" location="Trimestre!C25:F26" display="HIPOTECA" xr:uid="{15420100-2A4F-4C86-BDE2-BB047260E7A5}"/>
    <hyperlink ref="B242:G243" location="AÑO!G32:J32" display="AÑO!G32:J32" xr:uid="{6E758209-9C62-409B-A2F1-BB509E11AF02}"/>
    <hyperlink ref="B262" location="Trimestre!C25:F26" display="HIPOTECA" xr:uid="{48BB9E21-7F12-4179-BB25-238BBDF06C54}"/>
    <hyperlink ref="B262:G263" location="AÑO!G33:J33" display="AÑO!G33:J33" xr:uid="{C3084964-68B9-4AB6-8912-0FE43B168FE7}"/>
    <hyperlink ref="B282" location="Trimestre!C25:F26" display="HIPOTECA" xr:uid="{FFADDBC2-AB25-4C53-8DA0-B8FC46BF3752}"/>
    <hyperlink ref="B282:G283" location="AÑO!G34:J34" display="AÑO!G34:J34" xr:uid="{382B2A60-A3C7-4C82-87A6-13AC00E7393F}"/>
    <hyperlink ref="B302" location="Trimestre!C25:F26" display="HIPOTECA" xr:uid="{2969AE9F-9511-43F9-A505-8C78B5801B17}"/>
    <hyperlink ref="B302:G303" location="AÑO!G35:J35" display="AÑO!G35:J35" xr:uid="{6724DC12-B636-4D75-911B-1AF12C5FAF68}"/>
    <hyperlink ref="B322" location="Trimestre!C25:F26" display="HIPOTECA" xr:uid="{62309EB7-ED45-46F5-89F7-A81F49B7360C}"/>
    <hyperlink ref="B322:G323" location="AÑO!G36:J36" display="AÑO!G36:J36" xr:uid="{269204F8-2060-4406-9ECD-42126D1A73ED}"/>
    <hyperlink ref="B342" location="Trimestre!C25:F26" display="HIPOTECA" xr:uid="{DDBE3E49-886D-42DE-B415-DDB8B2CAD1F7}"/>
    <hyperlink ref="B342:G343" location="AÑO!G37:J37" display="AÑO!G37:J37" xr:uid="{8849CAF5-98FC-4E56-A647-A0501BD11714}"/>
    <hyperlink ref="B362" location="Trimestre!C25:F26" display="HIPOTECA" xr:uid="{69FEC310-DCF2-4B95-B5D7-70F2966FFF97}"/>
    <hyperlink ref="B362:G363" location="AÑO!G38:J38" display="AÑO!G38:J38" xr:uid="{0C6746FE-992C-4B06-85C6-A5BD392B8923}"/>
    <hyperlink ref="B382" location="Trimestre!C25:F26" display="HIPOTECA" xr:uid="{120E8191-6F22-4C3C-81A3-660273C27F21}"/>
    <hyperlink ref="B382:G383" location="AÑO!G39:J39" display="AÑO!G39:J39" xr:uid="{8DB9E4C7-8069-406F-A580-EC033768E32C}"/>
    <hyperlink ref="B402" location="Trimestre!C25:F26" display="HIPOTECA" xr:uid="{2D8CD89F-A2DE-4E3A-91FC-CE5DCE6CDAB2}"/>
    <hyperlink ref="B402:G403" location="AÑO!G40:J40" display="AÑO!G40:J40" xr:uid="{0BE29D5E-FAD6-44F1-8F57-D64C799F81AC}"/>
    <hyperlink ref="B422" location="Trimestre!C25:F26" display="HIPOTECA" xr:uid="{CF74C97B-E5C1-4E5B-8E14-75FD8303BD65}"/>
    <hyperlink ref="B422:G423" location="AÑO!G41:J41" display="AÑO!G41:J41" xr:uid="{F4EB874D-AFDF-4490-AF90-30D4456BFB80}"/>
    <hyperlink ref="B442" location="Trimestre!C25:F26" display="HIPOTECA" xr:uid="{928B64CF-2C22-47E0-90DD-C71F8194634E}"/>
    <hyperlink ref="B442:G443" location="AÑO!G42:J42" display="AÑO!G42:J42" xr:uid="{C639C1E1-BC6D-4A77-B3F3-2F59369F3B07}"/>
    <hyperlink ref="B462" location="Trimestre!C25:F26" display="HIPOTECA" xr:uid="{34438581-007D-496C-9B19-7F2ECB430DB4}"/>
    <hyperlink ref="B462:G463" location="AÑO!G43:J43" display="AÑO!G43:J43" xr:uid="{80751D27-40A4-43E1-BA48-CDA75BFC42D6}"/>
    <hyperlink ref="B482" location="Trimestre!C25:F26" display="HIPOTECA" xr:uid="{D7B5E4C5-D8E2-4AC0-BCE1-093C59C71D4F}"/>
    <hyperlink ref="B482:G483" location="AÑO!G44:J44" display="AÑO!G44:J44" xr:uid="{21B02695-9B10-41B5-A0BA-FD494FA02B6B}"/>
    <hyperlink ref="B502" location="Trimestre!C25:F26" display="HIPOTECA" xr:uid="{0D902F4D-FB42-4896-928B-3210027AD2C3}"/>
    <hyperlink ref="B502:G503" location="AÑO!G45:J45" display="AÑO!G45:J45" xr:uid="{5DD3A650-71D6-4DB9-AFBF-CDC2C697140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workbookViewId="0">
      <selection activeCell="B2" sqref="B2:G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230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328" t="str">
        <f>AÑO!A20</f>
        <v>Cártama Gastos</v>
      </c>
      <c r="C2" s="317"/>
      <c r="D2" s="317"/>
      <c r="E2" s="317"/>
      <c r="F2" s="317"/>
      <c r="G2" s="318"/>
      <c r="H2" s="222"/>
      <c r="I2" s="316" t="s">
        <v>4</v>
      </c>
      <c r="J2" s="317"/>
      <c r="K2" s="317"/>
      <c r="L2" s="318"/>
      <c r="M2" s="1"/>
      <c r="N2" s="1"/>
      <c r="R2" s="3"/>
    </row>
    <row r="3" spans="1:22" ht="16.5" thickBot="1">
      <c r="A3" s="1"/>
      <c r="B3" s="319"/>
      <c r="C3" s="320"/>
      <c r="D3" s="320"/>
      <c r="E3" s="320"/>
      <c r="F3" s="320"/>
      <c r="G3" s="321"/>
      <c r="H3" s="1"/>
      <c r="I3" s="319"/>
      <c r="J3" s="320"/>
      <c r="K3" s="320"/>
      <c r="L3" s="321"/>
      <c r="M3" s="1"/>
      <c r="N3" s="1"/>
      <c r="R3" s="3"/>
    </row>
    <row r="4" spans="1:22" ht="15.75">
      <c r="A4" s="1"/>
      <c r="B4" s="329" t="s">
        <v>8</v>
      </c>
      <c r="C4" s="330"/>
      <c r="D4" s="331" t="s">
        <v>9</v>
      </c>
      <c r="E4" s="331"/>
      <c r="F4" s="331"/>
      <c r="G4" s="330"/>
      <c r="H4" s="222"/>
      <c r="I4" s="40" t="s">
        <v>57</v>
      </c>
      <c r="J4" s="105" t="s">
        <v>58</v>
      </c>
      <c r="K4" s="322" t="s">
        <v>59</v>
      </c>
      <c r="L4" s="323"/>
      <c r="M4" s="1"/>
      <c r="N4" s="1"/>
      <c r="R4" s="3"/>
    </row>
    <row r="5" spans="1:22" ht="15.75">
      <c r="A5" s="1" t="s">
        <v>187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324"/>
      <c r="L5" s="325"/>
      <c r="M5" s="1"/>
      <c r="N5" s="1"/>
      <c r="R5" s="3"/>
    </row>
    <row r="6" spans="1:22" ht="15.75">
      <c r="A6" s="112">
        <f>'07'!A6+(B6-SUM(D6:F6))</f>
        <v>1611.34</v>
      </c>
      <c r="B6" s="133">
        <v>399.59</v>
      </c>
      <c r="C6" s="19" t="s">
        <v>184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326">
        <v>550</v>
      </c>
      <c r="L6" s="327"/>
      <c r="M6" s="1" t="s">
        <v>166</v>
      </c>
      <c r="N6" s="1"/>
      <c r="R6" s="3"/>
    </row>
    <row r="7" spans="1:22" ht="15.75">
      <c r="A7" s="112">
        <f>'07'!A7+(B7-SUM(D7:F7))</f>
        <v>243.20999999999998</v>
      </c>
      <c r="B7" s="134">
        <v>70.180000000000007</v>
      </c>
      <c r="C7" s="16" t="s">
        <v>203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326"/>
      <c r="L7" s="327"/>
      <c r="M7" s="1"/>
      <c r="N7" s="1"/>
      <c r="R7" s="3"/>
    </row>
    <row r="8" spans="1:22" ht="15.75">
      <c r="A8" s="112">
        <f>'07'!A8+(B8-SUM(D8:F8))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326">
        <v>7000</v>
      </c>
      <c r="L8" s="327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326">
        <v>659.77</v>
      </c>
      <c r="L9" s="327"/>
      <c r="M9" s="1"/>
      <c r="N9" s="1"/>
      <c r="R9" s="3"/>
    </row>
    <row r="10" spans="1:22" ht="15.75">
      <c r="A10" s="112">
        <f>'07'!A10+(B10-SUM(D10:F10))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326">
        <v>1800.04</v>
      </c>
      <c r="L10" s="327"/>
      <c r="M10" s="1" t="s">
        <v>156</v>
      </c>
      <c r="N10" s="1"/>
      <c r="R10" s="3"/>
    </row>
    <row r="11" spans="1:22" ht="15.75">
      <c r="A11" s="112">
        <f>'07'!A11+(B11-SUM(D11:F11))</f>
        <v>90.67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326"/>
      <c r="L11" s="327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209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326">
        <v>5092.08</v>
      </c>
      <c r="L12" s="327"/>
      <c r="M12" s="92"/>
      <c r="N12" s="1"/>
      <c r="R12" s="3"/>
    </row>
    <row r="13" spans="1:22" ht="15.75">
      <c r="A13" s="112">
        <f>'07'!A13+(B13-SUM(D13:F13))</f>
        <v>38.5</v>
      </c>
      <c r="B13" s="134">
        <v>7</v>
      </c>
      <c r="C13" s="16" t="s">
        <v>204</v>
      </c>
      <c r="D13" s="137"/>
      <c r="E13" s="138"/>
      <c r="F13" s="138"/>
      <c r="G13" s="16"/>
      <c r="H13" s="1"/>
      <c r="I13" s="108"/>
      <c r="J13" s="107"/>
      <c r="K13" s="326"/>
      <c r="L13" s="327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326"/>
      <c r="L14" s="327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326"/>
      <c r="L15" s="327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326"/>
      <c r="L16" s="327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326"/>
      <c r="L17" s="327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332"/>
      <c r="L18" s="333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332">
        <f>SUM(K5:K18)</f>
        <v>15101.890000000001</v>
      </c>
      <c r="L19" s="333"/>
      <c r="M19" s="1"/>
      <c r="N19" s="1"/>
      <c r="R19" s="3"/>
    </row>
    <row r="20" spans="1:18" ht="16.5" thickBot="1">
      <c r="A20" s="112">
        <f>SUM(A6:A15)</f>
        <v>2269.7600000000002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328" t="str">
        <f>AÑO!A21</f>
        <v>Waterloo</v>
      </c>
      <c r="C22" s="317"/>
      <c r="D22" s="317"/>
      <c r="E22" s="317"/>
      <c r="F22" s="317"/>
      <c r="G22" s="318"/>
      <c r="H22" s="1"/>
      <c r="I22" s="316" t="s">
        <v>6</v>
      </c>
      <c r="J22" s="317"/>
      <c r="K22" s="317"/>
      <c r="L22" s="318"/>
      <c r="M22" s="1"/>
      <c r="R22" s="3"/>
    </row>
    <row r="23" spans="1:18" ht="16.149999999999999" customHeight="1" thickBot="1">
      <c r="A23" s="1"/>
      <c r="B23" s="319"/>
      <c r="C23" s="320"/>
      <c r="D23" s="320"/>
      <c r="E23" s="320"/>
      <c r="F23" s="320"/>
      <c r="G23" s="321"/>
      <c r="H23" s="1"/>
      <c r="I23" s="319"/>
      <c r="J23" s="320"/>
      <c r="K23" s="320"/>
      <c r="L23" s="321"/>
      <c r="M23" s="1"/>
      <c r="R23" s="3"/>
    </row>
    <row r="24" spans="1:18" ht="15.75">
      <c r="A24" s="1"/>
      <c r="B24" s="329" t="s">
        <v>8</v>
      </c>
      <c r="C24" s="330"/>
      <c r="D24" s="331" t="s">
        <v>9</v>
      </c>
      <c r="E24" s="331"/>
      <c r="F24" s="331"/>
      <c r="G24" s="330"/>
      <c r="H24" s="1"/>
      <c r="I24" s="40" t="s">
        <v>31</v>
      </c>
      <c r="J24" s="301" t="s">
        <v>87</v>
      </c>
      <c r="K24" s="302"/>
      <c r="L24" s="197" t="s">
        <v>88</v>
      </c>
      <c r="M24" s="1"/>
      <c r="R24" s="3"/>
    </row>
    <row r="25" spans="1:18" ht="15.75" customHeight="1">
      <c r="A25" s="1" t="s">
        <v>187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303" t="str">
        <f>AÑO!A8</f>
        <v>Manolo Salario</v>
      </c>
      <c r="J25" s="306"/>
      <c r="K25" s="307"/>
      <c r="L25" s="198"/>
      <c r="M25" s="1"/>
      <c r="R25" s="3"/>
    </row>
    <row r="26" spans="1:18" ht="15.75">
      <c r="A26" s="112">
        <f>'07'!A26+(B26-SUM(D26:F26))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304"/>
      <c r="J26" s="308"/>
      <c r="K26" s="309"/>
      <c r="L26" s="199"/>
      <c r="M26" s="1"/>
      <c r="R26" s="3"/>
    </row>
    <row r="27" spans="1:18" ht="15.75">
      <c r="A27" s="112">
        <f>'07'!A27+(B27-SUM(D27:F27))</f>
        <v>742.01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304"/>
      <c r="J27" s="308"/>
      <c r="K27" s="309"/>
      <c r="L27" s="199"/>
      <c r="M27" s="1"/>
      <c r="R27" s="3"/>
    </row>
    <row r="28" spans="1:18" ht="15.75">
      <c r="A28" s="112">
        <f>'07'!A28+(B28-SUM(D28:F28))</f>
        <v>198.3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304"/>
      <c r="J28" s="308"/>
      <c r="K28" s="309"/>
      <c r="L28" s="199"/>
      <c r="M28" s="1"/>
      <c r="R28" s="3"/>
    </row>
    <row r="29" spans="1:18" ht="15.75">
      <c r="A29" s="112">
        <f>'07'!A29+(B29-SUM(D29:F29))</f>
        <v>55.430000000000007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312"/>
      <c r="J29" s="313"/>
      <c r="K29" s="314"/>
      <c r="L29" s="201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303" t="str">
        <f>AÑO!A9</f>
        <v>Rocío Salario</v>
      </c>
      <c r="J30" s="306"/>
      <c r="K30" s="307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304"/>
      <c r="J31" s="308"/>
      <c r="K31" s="309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304"/>
      <c r="J32" s="308"/>
      <c r="K32" s="309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304"/>
      <c r="J33" s="308"/>
      <c r="K33" s="309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312"/>
      <c r="J34" s="313"/>
      <c r="K34" s="314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303" t="s">
        <v>221</v>
      </c>
      <c r="J35" s="306"/>
      <c r="K35" s="307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304"/>
      <c r="J36" s="308"/>
      <c r="K36" s="309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304"/>
      <c r="J37" s="308"/>
      <c r="K37" s="309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304"/>
      <c r="J38" s="308"/>
      <c r="K38" s="309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312"/>
      <c r="J39" s="313"/>
      <c r="K39" s="314"/>
      <c r="L39" s="201"/>
      <c r="M39" s="1"/>
      <c r="R39" s="3"/>
    </row>
    <row r="40" spans="1:18" ht="16.5" thickBot="1">
      <c r="A40" s="112">
        <f>SUM(A26:A35)</f>
        <v>3882.0200000000004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303" t="str">
        <f>AÑO!A11</f>
        <v>Finanazas</v>
      </c>
      <c r="J40" s="306"/>
      <c r="K40" s="307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304"/>
      <c r="J41" s="308"/>
      <c r="K41" s="309"/>
      <c r="L41" s="199"/>
      <c r="M41" s="1"/>
      <c r="R41" s="3"/>
    </row>
    <row r="42" spans="1:18" ht="15.6" customHeight="1">
      <c r="A42" s="1"/>
      <c r="B42" s="328" t="str">
        <f>AÑO!A22</f>
        <v>Comida+Limpieza</v>
      </c>
      <c r="C42" s="317"/>
      <c r="D42" s="317"/>
      <c r="E42" s="317"/>
      <c r="F42" s="317"/>
      <c r="G42" s="318"/>
      <c r="H42" s="1"/>
      <c r="I42" s="304"/>
      <c r="J42" s="308"/>
      <c r="K42" s="309"/>
      <c r="L42" s="199"/>
      <c r="M42" s="1"/>
      <c r="R42" s="3"/>
    </row>
    <row r="43" spans="1:18" ht="16.149999999999999" customHeight="1" thickBot="1">
      <c r="A43" s="1"/>
      <c r="B43" s="319"/>
      <c r="C43" s="320"/>
      <c r="D43" s="320"/>
      <c r="E43" s="320"/>
      <c r="F43" s="320"/>
      <c r="G43" s="321"/>
      <c r="H43" s="1"/>
      <c r="I43" s="304"/>
      <c r="J43" s="308"/>
      <c r="K43" s="309"/>
      <c r="L43" s="199"/>
      <c r="M43" s="1"/>
      <c r="R43" s="3"/>
    </row>
    <row r="44" spans="1:18" ht="15.75">
      <c r="A44" s="1"/>
      <c r="B44" s="329" t="s">
        <v>8</v>
      </c>
      <c r="C44" s="330"/>
      <c r="D44" s="331" t="s">
        <v>9</v>
      </c>
      <c r="E44" s="331"/>
      <c r="F44" s="331"/>
      <c r="G44" s="330"/>
      <c r="H44" s="1"/>
      <c r="I44" s="312"/>
      <c r="J44" s="313"/>
      <c r="K44" s="314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165</v>
      </c>
      <c r="H45" s="1"/>
      <c r="I45" s="303" t="str">
        <f>AÑO!A12</f>
        <v>Regalos</v>
      </c>
      <c r="J45" s="306"/>
      <c r="K45" s="307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304"/>
      <c r="J46" s="308"/>
      <c r="K46" s="309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304"/>
      <c r="J47" s="308"/>
      <c r="K47" s="309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304"/>
      <c r="J48" s="308"/>
      <c r="K48" s="309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312"/>
      <c r="J49" s="313"/>
      <c r="K49" s="314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303" t="str">
        <f>AÑO!A13</f>
        <v>Gubernamental</v>
      </c>
      <c r="J50" s="306"/>
      <c r="K50" s="307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304"/>
      <c r="J51" s="308"/>
      <c r="K51" s="309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304"/>
      <c r="J52" s="308"/>
      <c r="K52" s="309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304"/>
      <c r="J53" s="308"/>
      <c r="K53" s="309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312"/>
      <c r="J54" s="313"/>
      <c r="K54" s="314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303" t="str">
        <f>AÑO!A14</f>
        <v>Mutualite/DKV</v>
      </c>
      <c r="J55" s="306"/>
      <c r="K55" s="307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304"/>
      <c r="J56" s="308"/>
      <c r="K56" s="309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304"/>
      <c r="J57" s="308"/>
      <c r="K57" s="309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304"/>
      <c r="J58" s="308"/>
      <c r="K58" s="309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312"/>
      <c r="J59" s="313"/>
      <c r="K59" s="314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303" t="str">
        <f>AÑO!A15</f>
        <v>Alquiler Cartama</v>
      </c>
      <c r="J60" s="306"/>
      <c r="K60" s="307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304"/>
      <c r="J61" s="308"/>
      <c r="K61" s="309"/>
      <c r="L61" s="199"/>
      <c r="M61" s="1"/>
      <c r="R61" s="3"/>
    </row>
    <row r="62" spans="1:18" ht="15.6" customHeight="1">
      <c r="A62" s="1"/>
      <c r="B62" s="328" t="str">
        <f>AÑO!A23</f>
        <v>Ocio</v>
      </c>
      <c r="C62" s="317"/>
      <c r="D62" s="317"/>
      <c r="E62" s="317"/>
      <c r="F62" s="317"/>
      <c r="G62" s="318"/>
      <c r="H62" s="1"/>
      <c r="I62" s="304"/>
      <c r="J62" s="308"/>
      <c r="K62" s="309"/>
      <c r="L62" s="199"/>
      <c r="M62" s="1"/>
      <c r="R62" s="3"/>
    </row>
    <row r="63" spans="1:18" ht="16.149999999999999" customHeight="1" thickBot="1">
      <c r="A63" s="1"/>
      <c r="B63" s="319"/>
      <c r="C63" s="320"/>
      <c r="D63" s="320"/>
      <c r="E63" s="320"/>
      <c r="F63" s="320"/>
      <c r="G63" s="321"/>
      <c r="H63" s="1"/>
      <c r="I63" s="304"/>
      <c r="J63" s="308"/>
      <c r="K63" s="309"/>
      <c r="L63" s="199"/>
      <c r="M63" s="1"/>
      <c r="R63" s="3"/>
    </row>
    <row r="64" spans="1:18" ht="15.75">
      <c r="A64" s="1"/>
      <c r="B64" s="329" t="s">
        <v>8</v>
      </c>
      <c r="C64" s="330"/>
      <c r="D64" s="331" t="s">
        <v>9</v>
      </c>
      <c r="E64" s="331"/>
      <c r="F64" s="331"/>
      <c r="G64" s="330"/>
      <c r="H64" s="1"/>
      <c r="I64" s="312"/>
      <c r="J64" s="313"/>
      <c r="K64" s="314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165</v>
      </c>
      <c r="H65" s="1"/>
      <c r="I65" s="303" t="str">
        <f>AÑO!A16</f>
        <v>Otros</v>
      </c>
      <c r="J65" s="306"/>
      <c r="K65" s="307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304"/>
      <c r="J66" s="308"/>
      <c r="K66" s="309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304"/>
      <c r="J67" s="308"/>
      <c r="K67" s="309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304"/>
      <c r="J68" s="308"/>
      <c r="K68" s="309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305"/>
      <c r="J69" s="310"/>
      <c r="K69" s="311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328" t="str">
        <f>AÑO!A24</f>
        <v>Transportes</v>
      </c>
      <c r="C82" s="317"/>
      <c r="D82" s="317"/>
      <c r="E82" s="317"/>
      <c r="F82" s="317"/>
      <c r="G82" s="318"/>
      <c r="H82" s="1"/>
      <c r="M82" s="1"/>
      <c r="R82" s="3"/>
    </row>
    <row r="83" spans="1:18" ht="16.149999999999999" customHeight="1" thickBot="1">
      <c r="A83" s="1"/>
      <c r="B83" s="319"/>
      <c r="C83" s="320"/>
      <c r="D83" s="320"/>
      <c r="E83" s="320"/>
      <c r="F83" s="320"/>
      <c r="G83" s="321"/>
      <c r="H83" s="1"/>
      <c r="M83" s="1"/>
      <c r="R83" s="3"/>
    </row>
    <row r="84" spans="1:18" ht="15.75">
      <c r="A84" s="1"/>
      <c r="B84" s="329" t="s">
        <v>8</v>
      </c>
      <c r="C84" s="330"/>
      <c r="D84" s="331" t="s">
        <v>9</v>
      </c>
      <c r="E84" s="331"/>
      <c r="F84" s="331"/>
      <c r="G84" s="330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165</v>
      </c>
      <c r="H85" s="1"/>
      <c r="M85" s="1"/>
      <c r="R85" s="3"/>
    </row>
    <row r="86" spans="1:18" ht="15.75">
      <c r="A86" s="1"/>
      <c r="B86" s="133">
        <v>160</v>
      </c>
      <c r="C86" s="19" t="s">
        <v>205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328" t="str">
        <f>AÑO!A25</f>
        <v>Coche</v>
      </c>
      <c r="C102" s="317"/>
      <c r="D102" s="317"/>
      <c r="E102" s="317"/>
      <c r="F102" s="317"/>
      <c r="G102" s="318"/>
      <c r="H102" s="1"/>
      <c r="M102" s="1"/>
      <c r="R102" s="3"/>
    </row>
    <row r="103" spans="1:18" ht="16.149999999999999" customHeight="1" thickBot="1">
      <c r="A103" s="1"/>
      <c r="B103" s="319"/>
      <c r="C103" s="320"/>
      <c r="D103" s="320"/>
      <c r="E103" s="320"/>
      <c r="F103" s="320"/>
      <c r="G103" s="321"/>
      <c r="H103" s="1"/>
      <c r="M103" s="1"/>
      <c r="R103" s="3"/>
    </row>
    <row r="104" spans="1:18" ht="15.75">
      <c r="A104" s="1"/>
      <c r="B104" s="329" t="s">
        <v>8</v>
      </c>
      <c r="C104" s="330"/>
      <c r="D104" s="331" t="s">
        <v>9</v>
      </c>
      <c r="E104" s="331"/>
      <c r="F104" s="331"/>
      <c r="G104" s="330"/>
      <c r="H104" s="1"/>
      <c r="M104" s="1"/>
      <c r="R104" s="3"/>
    </row>
    <row r="105" spans="1:18" ht="15.75">
      <c r="A105" s="89" t="s">
        <v>187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212.84000000000003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190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</f>
        <v>3518.6500000000015</v>
      </c>
      <c r="B109" s="134">
        <v>25.53</v>
      </c>
      <c r="C109" s="18" t="s">
        <v>208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1521.35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328" t="str">
        <f>AÑO!A26</f>
        <v>Teléfono</v>
      </c>
      <c r="C122" s="317"/>
      <c r="D122" s="317"/>
      <c r="E122" s="317"/>
      <c r="F122" s="317"/>
      <c r="G122" s="318"/>
      <c r="H122" s="1"/>
      <c r="M122" s="1"/>
      <c r="R122" s="3"/>
    </row>
    <row r="123" spans="1:18" ht="16.149999999999999" customHeight="1" thickBot="1">
      <c r="A123" s="1"/>
      <c r="B123" s="319"/>
      <c r="C123" s="320"/>
      <c r="D123" s="320"/>
      <c r="E123" s="320"/>
      <c r="F123" s="320"/>
      <c r="G123" s="321"/>
      <c r="H123" s="1"/>
      <c r="M123" s="1"/>
      <c r="R123" s="3"/>
    </row>
    <row r="124" spans="1:18" ht="15.75">
      <c r="A124" s="1"/>
      <c r="B124" s="329" t="s">
        <v>8</v>
      </c>
      <c r="C124" s="330"/>
      <c r="D124" s="331" t="s">
        <v>9</v>
      </c>
      <c r="E124" s="331"/>
      <c r="F124" s="331"/>
      <c r="G124" s="330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328" t="str">
        <f>AÑO!A27</f>
        <v>Gatos</v>
      </c>
      <c r="C142" s="317"/>
      <c r="D142" s="317"/>
      <c r="E142" s="317"/>
      <c r="F142" s="317"/>
      <c r="G142" s="318"/>
      <c r="H142" s="1"/>
      <c r="M142" s="1"/>
      <c r="R142" s="3"/>
    </row>
    <row r="143" spans="1:18" ht="16.149999999999999" customHeight="1" thickBot="1">
      <c r="A143" s="1"/>
      <c r="B143" s="319"/>
      <c r="C143" s="320"/>
      <c r="D143" s="320"/>
      <c r="E143" s="320"/>
      <c r="F143" s="320"/>
      <c r="G143" s="321"/>
      <c r="H143" s="1"/>
      <c r="M143" s="1"/>
      <c r="R143" s="3"/>
    </row>
    <row r="144" spans="1:18" ht="15.75">
      <c r="A144" s="1"/>
      <c r="B144" s="329" t="s">
        <v>8</v>
      </c>
      <c r="C144" s="330"/>
      <c r="D144" s="331" t="s">
        <v>9</v>
      </c>
      <c r="E144" s="331"/>
      <c r="F144" s="331"/>
      <c r="G144" s="330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165</v>
      </c>
      <c r="H145" s="1"/>
      <c r="M145" s="1"/>
      <c r="R145" s="3"/>
    </row>
    <row r="146" spans="1:22" ht="15.75">
      <c r="A146" s="1"/>
      <c r="B146" s="133">
        <v>50</v>
      </c>
      <c r="C146" s="19" t="s">
        <v>178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328" t="str">
        <f>AÑO!A28</f>
        <v>Vacaciones</v>
      </c>
      <c r="C162" s="317"/>
      <c r="D162" s="317"/>
      <c r="E162" s="317"/>
      <c r="F162" s="317"/>
      <c r="G162" s="318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319"/>
      <c r="C163" s="320"/>
      <c r="D163" s="320"/>
      <c r="E163" s="320"/>
      <c r="F163" s="320"/>
      <c r="G163" s="321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329" t="s">
        <v>8</v>
      </c>
      <c r="C164" s="330"/>
      <c r="D164" s="331" t="s">
        <v>9</v>
      </c>
      <c r="E164" s="331"/>
      <c r="F164" s="331"/>
      <c r="G164" s="330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328" t="str">
        <f>AÑO!A29</f>
        <v>Ropa</v>
      </c>
      <c r="C182" s="317"/>
      <c r="D182" s="317"/>
      <c r="E182" s="317"/>
      <c r="F182" s="317"/>
      <c r="G182" s="31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319"/>
      <c r="C183" s="320"/>
      <c r="D183" s="320"/>
      <c r="E183" s="320"/>
      <c r="F183" s="320"/>
      <c r="G183" s="32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329" t="s">
        <v>8</v>
      </c>
      <c r="C184" s="330"/>
      <c r="D184" s="331" t="s">
        <v>9</v>
      </c>
      <c r="E184" s="331"/>
      <c r="F184" s="331"/>
      <c r="G184" s="330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180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328" t="str">
        <f>AÑO!A30</f>
        <v>Belleza</v>
      </c>
      <c r="C202" s="317"/>
      <c r="D202" s="317"/>
      <c r="E202" s="317"/>
      <c r="F202" s="317"/>
      <c r="G202" s="318"/>
    </row>
    <row r="203" spans="2:12" ht="15" customHeight="1" thickBot="1">
      <c r="B203" s="319"/>
      <c r="C203" s="320"/>
      <c r="D203" s="320"/>
      <c r="E203" s="320"/>
      <c r="F203" s="320"/>
      <c r="G203" s="321"/>
    </row>
    <row r="204" spans="2:12">
      <c r="B204" s="329" t="s">
        <v>8</v>
      </c>
      <c r="C204" s="330"/>
      <c r="D204" s="331" t="s">
        <v>9</v>
      </c>
      <c r="E204" s="331"/>
      <c r="F204" s="331"/>
      <c r="G204" s="330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165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328" t="str">
        <f>AÑO!A31</f>
        <v>Deportes</v>
      </c>
      <c r="C222" s="317"/>
      <c r="D222" s="317"/>
      <c r="E222" s="317"/>
      <c r="F222" s="317"/>
      <c r="G222" s="318"/>
    </row>
    <row r="223" spans="2:7" ht="15" customHeight="1" thickBot="1">
      <c r="B223" s="319"/>
      <c r="C223" s="320"/>
      <c r="D223" s="320"/>
      <c r="E223" s="320"/>
      <c r="F223" s="320"/>
      <c r="G223" s="321"/>
    </row>
    <row r="224" spans="2:7">
      <c r="B224" s="329" t="s">
        <v>8</v>
      </c>
      <c r="C224" s="330"/>
      <c r="D224" s="331" t="s">
        <v>9</v>
      </c>
      <c r="E224" s="331"/>
      <c r="F224" s="331"/>
      <c r="G224" s="330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328" t="str">
        <f>AÑO!A32</f>
        <v>Hogar</v>
      </c>
      <c r="C242" s="317"/>
      <c r="D242" s="317"/>
      <c r="E242" s="317"/>
      <c r="F242" s="317"/>
      <c r="G242" s="318"/>
    </row>
    <row r="243" spans="2:7" ht="15" customHeight="1" thickBot="1">
      <c r="B243" s="319"/>
      <c r="C243" s="320"/>
      <c r="D243" s="320"/>
      <c r="E243" s="320"/>
      <c r="F243" s="320"/>
      <c r="G243" s="321"/>
    </row>
    <row r="244" spans="2:7" ht="15" customHeight="1">
      <c r="B244" s="329" t="s">
        <v>8</v>
      </c>
      <c r="C244" s="330"/>
      <c r="D244" s="331" t="s">
        <v>9</v>
      </c>
      <c r="E244" s="331"/>
      <c r="F244" s="331"/>
      <c r="G244" s="330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165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328" t="str">
        <f>AÑO!A33</f>
        <v>Formación</v>
      </c>
      <c r="C262" s="317"/>
      <c r="D262" s="317"/>
      <c r="E262" s="317"/>
      <c r="F262" s="317"/>
      <c r="G262" s="318"/>
    </row>
    <row r="263" spans="2:7" ht="15" customHeight="1" thickBot="1">
      <c r="B263" s="319"/>
      <c r="C263" s="320"/>
      <c r="D263" s="320"/>
      <c r="E263" s="320"/>
      <c r="F263" s="320"/>
      <c r="G263" s="321"/>
    </row>
    <row r="264" spans="2:7">
      <c r="B264" s="329" t="s">
        <v>8</v>
      </c>
      <c r="C264" s="330"/>
      <c r="D264" s="331" t="s">
        <v>9</v>
      </c>
      <c r="E264" s="331"/>
      <c r="F264" s="331"/>
      <c r="G264" s="330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328" t="str">
        <f>AÑO!A34</f>
        <v>Regalos</v>
      </c>
      <c r="C282" s="317"/>
      <c r="D282" s="317"/>
      <c r="E282" s="317"/>
      <c r="F282" s="317"/>
      <c r="G282" s="318"/>
    </row>
    <row r="283" spans="2:8" ht="15" customHeight="1" thickBot="1">
      <c r="B283" s="319"/>
      <c r="C283" s="320"/>
      <c r="D283" s="320"/>
      <c r="E283" s="320"/>
      <c r="F283" s="320"/>
      <c r="G283" s="321"/>
    </row>
    <row r="284" spans="2:8">
      <c r="B284" s="329" t="s">
        <v>8</v>
      </c>
      <c r="C284" s="330"/>
      <c r="D284" s="331" t="s">
        <v>9</v>
      </c>
      <c r="E284" s="331"/>
      <c r="F284" s="331"/>
      <c r="G284" s="330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165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328" t="str">
        <f>AÑO!A35</f>
        <v>Salud</v>
      </c>
      <c r="C302" s="317"/>
      <c r="D302" s="317"/>
      <c r="E302" s="317"/>
      <c r="F302" s="317"/>
      <c r="G302" s="318"/>
    </row>
    <row r="303" spans="2:8" ht="15" customHeight="1" thickBot="1">
      <c r="B303" s="319"/>
      <c r="C303" s="320"/>
      <c r="D303" s="320"/>
      <c r="E303" s="320"/>
      <c r="F303" s="320"/>
      <c r="G303" s="321"/>
    </row>
    <row r="304" spans="2:8">
      <c r="B304" s="329" t="s">
        <v>8</v>
      </c>
      <c r="C304" s="330"/>
      <c r="D304" s="331" t="s">
        <v>9</v>
      </c>
      <c r="E304" s="331"/>
      <c r="F304" s="331"/>
      <c r="G304" s="330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165</v>
      </c>
    </row>
    <row r="306" spans="2:7">
      <c r="B306" s="133">
        <v>100</v>
      </c>
      <c r="C306" s="19" t="s">
        <v>175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328" t="str">
        <f>AÑO!A36</f>
        <v>Martina</v>
      </c>
      <c r="C322" s="317"/>
      <c r="D322" s="317"/>
      <c r="E322" s="317"/>
      <c r="F322" s="317"/>
      <c r="G322" s="318"/>
    </row>
    <row r="323" spans="2:7" ht="15" customHeight="1" thickBot="1">
      <c r="B323" s="319"/>
      <c r="C323" s="320"/>
      <c r="D323" s="320"/>
      <c r="E323" s="320"/>
      <c r="F323" s="320"/>
      <c r="G323" s="321"/>
    </row>
    <row r="324" spans="2:7">
      <c r="B324" s="329" t="s">
        <v>8</v>
      </c>
      <c r="C324" s="330"/>
      <c r="D324" s="331" t="s">
        <v>9</v>
      </c>
      <c r="E324" s="331"/>
      <c r="F324" s="331"/>
      <c r="G324" s="330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165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328" t="str">
        <f>AÑO!A37</f>
        <v>Impuestos</v>
      </c>
      <c r="C342" s="317"/>
      <c r="D342" s="317"/>
      <c r="E342" s="317"/>
      <c r="F342" s="317"/>
      <c r="G342" s="318"/>
    </row>
    <row r="343" spans="2:7" ht="15" customHeight="1" thickBot="1">
      <c r="B343" s="319"/>
      <c r="C343" s="320"/>
      <c r="D343" s="320"/>
      <c r="E343" s="320"/>
      <c r="F343" s="320"/>
      <c r="G343" s="321"/>
    </row>
    <row r="344" spans="2:7">
      <c r="B344" s="329" t="s">
        <v>8</v>
      </c>
      <c r="C344" s="330"/>
      <c r="D344" s="331" t="s">
        <v>9</v>
      </c>
      <c r="E344" s="331"/>
      <c r="F344" s="331"/>
      <c r="G344" s="330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165</v>
      </c>
    </row>
    <row r="346" spans="2:7">
      <c r="B346" s="133">
        <v>45</v>
      </c>
      <c r="C346" s="19" t="s">
        <v>202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328" t="str">
        <f>AÑO!A38</f>
        <v>Gastos Curros</v>
      </c>
      <c r="C362" s="317"/>
      <c r="D362" s="317"/>
      <c r="E362" s="317"/>
      <c r="F362" s="317"/>
      <c r="G362" s="318"/>
    </row>
    <row r="363" spans="2:7" ht="15" customHeight="1" thickBot="1">
      <c r="B363" s="319"/>
      <c r="C363" s="320"/>
      <c r="D363" s="320"/>
      <c r="E363" s="320"/>
      <c r="F363" s="320"/>
      <c r="G363" s="321"/>
    </row>
    <row r="364" spans="2:7">
      <c r="B364" s="329" t="s">
        <v>8</v>
      </c>
      <c r="C364" s="330"/>
      <c r="D364" s="331" t="s">
        <v>9</v>
      </c>
      <c r="E364" s="331"/>
      <c r="F364" s="331"/>
      <c r="G364" s="330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165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328" t="str">
        <f>AÑO!A39</f>
        <v>Dreamed Holidays</v>
      </c>
      <c r="C382" s="317"/>
      <c r="D382" s="317"/>
      <c r="E382" s="317"/>
      <c r="F382" s="317"/>
      <c r="G382" s="318"/>
    </row>
    <row r="383" spans="2:7" ht="15" customHeight="1" thickBot="1">
      <c r="B383" s="319"/>
      <c r="C383" s="320"/>
      <c r="D383" s="320"/>
      <c r="E383" s="320"/>
      <c r="F383" s="320"/>
      <c r="G383" s="321"/>
    </row>
    <row r="384" spans="2:7">
      <c r="B384" s="329" t="s">
        <v>8</v>
      </c>
      <c r="C384" s="330"/>
      <c r="D384" s="331" t="s">
        <v>9</v>
      </c>
      <c r="E384" s="331"/>
      <c r="F384" s="331"/>
      <c r="G384" s="330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328" t="str">
        <f>AÑO!A40</f>
        <v>Financieros</v>
      </c>
      <c r="C402" s="317"/>
      <c r="D402" s="317"/>
      <c r="E402" s="317"/>
      <c r="F402" s="317"/>
      <c r="G402" s="318"/>
    </row>
    <row r="403" spans="2:7" ht="15" customHeight="1" thickBot="1">
      <c r="B403" s="319"/>
      <c r="C403" s="320"/>
      <c r="D403" s="320"/>
      <c r="E403" s="320"/>
      <c r="F403" s="320"/>
      <c r="G403" s="321"/>
    </row>
    <row r="404" spans="2:7">
      <c r="B404" s="329" t="s">
        <v>8</v>
      </c>
      <c r="C404" s="330"/>
      <c r="D404" s="331" t="s">
        <v>9</v>
      </c>
      <c r="E404" s="331"/>
      <c r="F404" s="331"/>
      <c r="G404" s="330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328" t="str">
        <f>AÑO!A41</f>
        <v>Ahorros Colchón</v>
      </c>
      <c r="C422" s="334"/>
      <c r="D422" s="334"/>
      <c r="E422" s="334"/>
      <c r="F422" s="334"/>
      <c r="G422" s="335"/>
    </row>
    <row r="423" spans="1:7" ht="15" customHeight="1" thickBot="1">
      <c r="B423" s="336"/>
      <c r="C423" s="337"/>
      <c r="D423" s="337"/>
      <c r="E423" s="337"/>
      <c r="F423" s="337"/>
      <c r="G423" s="338"/>
    </row>
    <row r="424" spans="1:7">
      <c r="B424" s="329" t="s">
        <v>8</v>
      </c>
      <c r="C424" s="330"/>
      <c r="D424" s="331" t="s">
        <v>9</v>
      </c>
      <c r="E424" s="331"/>
      <c r="F424" s="331"/>
      <c r="G424" s="330"/>
    </row>
    <row r="425" spans="1:7">
      <c r="A425" s="113">
        <f>AÑO!AE17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201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328" t="str">
        <f>AÑO!A42</f>
        <v>Dinero Bloqueado</v>
      </c>
      <c r="C442" s="334"/>
      <c r="D442" s="334"/>
      <c r="E442" s="334"/>
      <c r="F442" s="334"/>
      <c r="G442" s="335"/>
    </row>
    <row r="443" spans="2:7" ht="15" customHeight="1" thickBot="1">
      <c r="B443" s="336"/>
      <c r="C443" s="337"/>
      <c r="D443" s="337"/>
      <c r="E443" s="337"/>
      <c r="F443" s="337"/>
      <c r="G443" s="338"/>
    </row>
    <row r="444" spans="2:7">
      <c r="B444" s="329" t="s">
        <v>8</v>
      </c>
      <c r="C444" s="330"/>
      <c r="D444" s="331" t="s">
        <v>9</v>
      </c>
      <c r="E444" s="331"/>
      <c r="F444" s="331"/>
      <c r="G444" s="330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328" t="str">
        <f>AÑO!A43</f>
        <v>Cartama Finanazas</v>
      </c>
      <c r="C462" s="334"/>
      <c r="D462" s="334"/>
      <c r="E462" s="334"/>
      <c r="F462" s="334"/>
      <c r="G462" s="335"/>
    </row>
    <row r="463" spans="2:7" ht="15" customHeight="1" thickBot="1">
      <c r="B463" s="336"/>
      <c r="C463" s="337"/>
      <c r="D463" s="337"/>
      <c r="E463" s="337"/>
      <c r="F463" s="337"/>
      <c r="G463" s="338"/>
    </row>
    <row r="464" spans="2:7">
      <c r="B464" s="329" t="s">
        <v>8</v>
      </c>
      <c r="C464" s="330"/>
      <c r="D464" s="331" t="s">
        <v>9</v>
      </c>
      <c r="E464" s="331"/>
      <c r="F464" s="331"/>
      <c r="G464" s="330"/>
    </row>
    <row r="465" spans="1:7">
      <c r="A465" s="89" t="s">
        <v>187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600</v>
      </c>
      <c r="B466" s="134">
        <v>25</v>
      </c>
      <c r="C466" s="16" t="s">
        <v>177</v>
      </c>
      <c r="D466" s="137"/>
      <c r="E466" s="138"/>
      <c r="F466" s="138"/>
      <c r="G466" s="16"/>
    </row>
    <row r="467" spans="1:7" ht="15.75">
      <c r="A467" s="112">
        <f>'07'!A467+(B467-SUM(D467:F467))</f>
        <v>415.22999999999996</v>
      </c>
      <c r="B467" s="134">
        <v>20</v>
      </c>
      <c r="C467" s="16" t="s">
        <v>188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v>5</v>
      </c>
      <c r="C468" s="16" t="s">
        <v>189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1198.6300000000001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328" t="str">
        <f>AÑO!A44</f>
        <v>NULO</v>
      </c>
      <c r="C482" s="334"/>
      <c r="D482" s="334"/>
      <c r="E482" s="334"/>
      <c r="F482" s="334"/>
      <c r="G482" s="335"/>
    </row>
    <row r="483" spans="2:7" ht="15" customHeight="1" thickBot="1">
      <c r="B483" s="336"/>
      <c r="C483" s="337"/>
      <c r="D483" s="337"/>
      <c r="E483" s="337"/>
      <c r="F483" s="337"/>
      <c r="G483" s="338"/>
    </row>
    <row r="484" spans="2:7">
      <c r="B484" s="329" t="s">
        <v>8</v>
      </c>
      <c r="C484" s="330"/>
      <c r="D484" s="331" t="s">
        <v>9</v>
      </c>
      <c r="E484" s="331"/>
      <c r="F484" s="331"/>
      <c r="G484" s="330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328" t="str">
        <f>AÑO!A45</f>
        <v>OTROS</v>
      </c>
      <c r="C502" s="334"/>
      <c r="D502" s="334"/>
      <c r="E502" s="334"/>
      <c r="F502" s="334"/>
      <c r="G502" s="335"/>
    </row>
    <row r="503" spans="2:7" ht="15" customHeight="1" thickBot="1">
      <c r="B503" s="336"/>
      <c r="C503" s="337"/>
      <c r="D503" s="337"/>
      <c r="E503" s="337"/>
      <c r="F503" s="337"/>
      <c r="G503" s="338"/>
    </row>
    <row r="504" spans="2:7">
      <c r="B504" s="329" t="s">
        <v>8</v>
      </c>
      <c r="C504" s="330"/>
      <c r="D504" s="331" t="s">
        <v>9</v>
      </c>
      <c r="E504" s="331"/>
      <c r="F504" s="331"/>
      <c r="G504" s="330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93F3DB3C-A973-4A85-ACD1-DD017C52B9CE}"/>
    <hyperlink ref="I22:L23" location="AÑO!G7:J17" display="INGRESOS" xr:uid="{D46CFA37-1B09-41EE-B8CD-85B505BDFC34}"/>
    <hyperlink ref="I2" location="Trimestre!C39:F40" display="TELÉFONO" xr:uid="{0B26EA72-A3C8-44F7-9DD8-49A0E7D1D6CE}"/>
    <hyperlink ref="I2:L3" location="AÑO!G4:J5" display="SALDO REAL" xr:uid="{FDAB739F-B576-44C0-B280-41F2D547D52F}"/>
    <hyperlink ref="B2" location="Trimestre!C25:F26" display="HIPOTECA" xr:uid="{CD5B92BA-EE58-4B76-9237-005A61C0B64E}"/>
    <hyperlink ref="B2:G3" location="AÑO!G20:J20" display="AÑO!G20:J20" xr:uid="{73693965-C635-44A8-8269-C3649F9FA992}"/>
    <hyperlink ref="B22" location="Trimestre!C25:F26" display="HIPOTECA" xr:uid="{1712F9F5-DCD9-411B-B446-9A272D72B695}"/>
    <hyperlink ref="B22:G23" location="AÑO!G21:J21" display="AÑO!G21:J21" xr:uid="{8F4D7C93-C008-4D90-A3B4-21B38ABA0D92}"/>
    <hyperlink ref="B42" location="Trimestre!C25:F26" display="HIPOTECA" xr:uid="{17A2C85C-352D-42BB-9F5B-3E51E4D607D4}"/>
    <hyperlink ref="B42:G43" location="AÑO!G22:J22" display="AÑO!G22:J22" xr:uid="{3138702B-ED86-4BB3-9068-0E9BF4C997BF}"/>
    <hyperlink ref="B62" location="Trimestre!C25:F26" display="HIPOTECA" xr:uid="{8381ED44-4CEC-4013-8EB7-5D6E8098501B}"/>
    <hyperlink ref="B62:G63" location="AÑO!G23:J23" display="AÑO!G23:J23" xr:uid="{44FB67C7-CE88-4E25-B8B0-E20564223B50}"/>
    <hyperlink ref="B82" location="Trimestre!C25:F26" display="HIPOTECA" xr:uid="{C06CE3B0-8133-4725-A8DA-6B48EE99EFB1}"/>
    <hyperlink ref="B82:G83" location="AÑO!G24:J24" display="AÑO!G24:J24" xr:uid="{B145D278-4045-42C3-BFE5-8A59A620AFBD}"/>
    <hyperlink ref="B102" location="Trimestre!C25:F26" display="HIPOTECA" xr:uid="{AB899E71-A161-4F0D-BFED-9D6232E314A8}"/>
    <hyperlink ref="B102:G103" location="AÑO!G25:J25" display="AÑO!G25:J25" xr:uid="{F24B5D08-52EF-46AB-AC67-016DA5E47979}"/>
    <hyperlink ref="B122" location="Trimestre!C25:F26" display="HIPOTECA" xr:uid="{1653D824-05BA-47DB-A5E9-3631F0904013}"/>
    <hyperlink ref="B122:G123" location="AÑO!G26:J26" display="AÑO!G26:J26" xr:uid="{838A785A-BA39-4593-A6DD-151C9EA69BF0}"/>
    <hyperlink ref="B142" location="Trimestre!C25:F26" display="HIPOTECA" xr:uid="{23C88B4F-29EC-4045-B8B3-A33F2A67AB0A}"/>
    <hyperlink ref="B142:G143" location="AÑO!G27:J27" display="AÑO!G27:J27" xr:uid="{AF35E281-B405-4DE6-8249-90DE89686715}"/>
    <hyperlink ref="B162" location="Trimestre!C25:F26" display="HIPOTECA" xr:uid="{213B4F73-A2EA-4AF0-8E1E-DEC550DC18D5}"/>
    <hyperlink ref="B162:G163" location="AÑO!G28:J28" display="AÑO!G28:J28" xr:uid="{9C6DE6E1-40DB-4370-A602-E2AB8C11B9A8}"/>
    <hyperlink ref="B182" location="Trimestre!C25:F26" display="HIPOTECA" xr:uid="{E06351F4-7136-48AB-A29C-23FA82C28687}"/>
    <hyperlink ref="B182:G183" location="AÑO!G29:J29" display="AÑO!G29:J29" xr:uid="{7A82A385-FA82-4A71-8912-9D86980AB356}"/>
    <hyperlink ref="B202" location="Trimestre!C25:F26" display="HIPOTECA" xr:uid="{A271DBB7-F4FE-4D12-9339-C6A70ABAB68F}"/>
    <hyperlink ref="B202:G203" location="AÑO!G30:J30" display="AÑO!G30:J30" xr:uid="{F509249A-733B-4049-94FB-72BC3EB96381}"/>
    <hyperlink ref="B222" location="Trimestre!C25:F26" display="HIPOTECA" xr:uid="{ACD60C91-1189-4353-AFA1-7470D5B34051}"/>
    <hyperlink ref="B222:G223" location="AÑO!G31:J31" display="AÑO!G31:J31" xr:uid="{0B345A66-0BE7-4993-8781-DB9BADA82C67}"/>
    <hyperlink ref="B242" location="Trimestre!C25:F26" display="HIPOTECA" xr:uid="{B695A5F3-14A2-47AA-A659-E317A1B47698}"/>
    <hyperlink ref="B242:G243" location="AÑO!G32:J32" display="AÑO!G32:J32" xr:uid="{CD001BCA-9782-466C-95CA-B5CAF468AD27}"/>
    <hyperlink ref="B262" location="Trimestre!C25:F26" display="HIPOTECA" xr:uid="{EAB38DEA-100B-4DE4-B043-4DB08E3DE842}"/>
    <hyperlink ref="B262:G263" location="AÑO!G33:J33" display="AÑO!G33:J33" xr:uid="{F04DFD03-AA93-44E3-B634-61C379994CC9}"/>
    <hyperlink ref="B282" location="Trimestre!C25:F26" display="HIPOTECA" xr:uid="{C264E35A-2295-4212-9C8A-7A82C5436A7B}"/>
    <hyperlink ref="B282:G283" location="AÑO!G34:J34" display="AÑO!G34:J34" xr:uid="{43AF6309-96B3-4125-B41D-2588C72DEC50}"/>
    <hyperlink ref="B302" location="Trimestre!C25:F26" display="HIPOTECA" xr:uid="{B7B1CA86-62C6-405C-8293-9CF5DBE9E222}"/>
    <hyperlink ref="B302:G303" location="AÑO!G35:J35" display="AÑO!G35:J35" xr:uid="{BE4E3A27-CB6A-4456-A9C6-CECC82A3AFDA}"/>
    <hyperlink ref="B322" location="Trimestre!C25:F26" display="HIPOTECA" xr:uid="{96966532-1E4C-4F44-B99A-46420D0DDEF6}"/>
    <hyperlink ref="B322:G323" location="AÑO!G36:J36" display="AÑO!G36:J36" xr:uid="{0F8ECD39-9D7A-4F9B-BF25-32DB2B41F9E4}"/>
    <hyperlink ref="B342" location="Trimestre!C25:F26" display="HIPOTECA" xr:uid="{A53DA7AA-CC9F-4CC2-B1B8-CB3F35DDCA12}"/>
    <hyperlink ref="B342:G343" location="AÑO!G37:J37" display="AÑO!G37:J37" xr:uid="{531F81E8-28B8-4A23-9574-BFEC6AFBEB68}"/>
    <hyperlink ref="B362" location="Trimestre!C25:F26" display="HIPOTECA" xr:uid="{8CD2867A-2B65-4FC6-9B96-13AFB17075C2}"/>
    <hyperlink ref="B362:G363" location="AÑO!G38:J38" display="AÑO!G38:J38" xr:uid="{CD693938-E6E0-4C52-B0D9-323F45DF10F2}"/>
    <hyperlink ref="B382" location="Trimestre!C25:F26" display="HIPOTECA" xr:uid="{E3E141CD-286F-442A-BE3A-E6AA804F0BD5}"/>
    <hyperlink ref="B382:G383" location="AÑO!G39:J39" display="AÑO!G39:J39" xr:uid="{853E325D-51D7-4F79-A73C-AF2EB8E63282}"/>
    <hyperlink ref="B402" location="Trimestre!C25:F26" display="HIPOTECA" xr:uid="{BB90412A-D64B-4EA1-9EE9-4456F90D19D2}"/>
    <hyperlink ref="B402:G403" location="AÑO!G40:J40" display="AÑO!G40:J40" xr:uid="{A6EA651D-A835-4177-A83C-A7CA8F0F1A76}"/>
    <hyperlink ref="B422" location="Trimestre!C25:F26" display="HIPOTECA" xr:uid="{8E5403E8-506E-49FB-A18E-3358E8B19CFE}"/>
    <hyperlink ref="B422:G423" location="AÑO!G41:J41" display="AÑO!G41:J41" xr:uid="{151F526A-2AB8-49C9-A4C6-6F12A6E8C290}"/>
    <hyperlink ref="B442" location="Trimestre!C25:F26" display="HIPOTECA" xr:uid="{1AAFA757-72C4-4495-AF7F-F433F3A72077}"/>
    <hyperlink ref="B442:G443" location="AÑO!G42:J42" display="AÑO!G42:J42" xr:uid="{C47139C8-5838-49C6-ABB0-3A53E9A1FF69}"/>
    <hyperlink ref="B462" location="Trimestre!C25:F26" display="HIPOTECA" xr:uid="{31D40F87-FA67-4FCF-AE2C-6A05A14B95F7}"/>
    <hyperlink ref="B462:G463" location="AÑO!G43:J43" display="AÑO!G43:J43" xr:uid="{A12C4ED2-BA74-415F-A325-C39E9598002A}"/>
    <hyperlink ref="B482" location="Trimestre!C25:F26" display="HIPOTECA" xr:uid="{78A1DF16-11B8-46C6-BA68-53EA82DD9A3D}"/>
    <hyperlink ref="B482:G483" location="AÑO!G44:J44" display="AÑO!G44:J44" xr:uid="{9386587F-37FA-458B-95FC-8419732AB57D}"/>
    <hyperlink ref="B502" location="Trimestre!C25:F26" display="HIPOTECA" xr:uid="{22532DD8-EC09-45D1-93B6-93D58ED6A5B3}"/>
    <hyperlink ref="B502:G503" location="AÑO!G45:J45" display="AÑO!G45:J45" xr:uid="{71283ED3-6430-40F7-BADA-097680B5CF59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2019-05-17T15:35:48Z</dcterms:modified>
</cp:coreProperties>
</file>