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BC7AEFA4-216B-4ED3-918D-C87D38F64684}" xr6:coauthVersionLast="36" xr6:coauthVersionMax="36" xr10:uidLastSave="{00000000-0000-0000-0000-000000000000}"/>
  <bookViews>
    <workbookView xWindow="0" yWindow="0" windowWidth="27525" windowHeight="10635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Sheet1" sheetId="7" r:id="rId5"/>
    <sheet name="Fondo" sheetId="6" r:id="rId6"/>
    <sheet name="Criterio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4" i="7" l="1"/>
  <c r="H13" i="7"/>
  <c r="M13" i="7" s="1"/>
  <c r="H5" i="7"/>
  <c r="M5" i="7" s="1"/>
  <c r="H4" i="7"/>
  <c r="M4" i="7" s="1"/>
  <c r="H3" i="7"/>
  <c r="I3" i="7" s="1"/>
  <c r="J3" i="7" s="1"/>
  <c r="N13" i="7" l="1"/>
  <c r="I13" i="7"/>
  <c r="N4" i="7"/>
  <c r="M3" i="7"/>
  <c r="N3" i="7" s="1"/>
  <c r="P3" i="7" s="1"/>
  <c r="N5" i="7"/>
  <c r="I5" i="7"/>
  <c r="E3" i="7"/>
  <c r="I4" i="7"/>
  <c r="J4" i="7" s="1"/>
  <c r="J13" i="7" l="1"/>
  <c r="O3" i="7"/>
  <c r="Q3" i="7"/>
  <c r="D3" i="7"/>
  <c r="J5" i="7"/>
  <c r="O5" i="7" s="1"/>
  <c r="O4" i="7"/>
  <c r="E13" i="7" l="1"/>
  <c r="D13" i="7" s="1"/>
  <c r="E5" i="7"/>
  <c r="E4" i="7"/>
  <c r="D4" i="7" l="1"/>
  <c r="P4" i="7"/>
  <c r="Q4" i="7" s="1"/>
  <c r="P5" i="7"/>
  <c r="Q5" i="7" s="1"/>
  <c r="D5" i="7"/>
  <c r="T71" i="7" l="1"/>
  <c r="T68" i="7"/>
  <c r="T69" i="7" s="1"/>
  <c r="T70" i="7" s="1"/>
  <c r="T60" i="7"/>
  <c r="T61" i="7" s="1"/>
  <c r="H59" i="7"/>
  <c r="H58" i="7"/>
  <c r="H57" i="7"/>
  <c r="V56" i="7"/>
  <c r="H56" i="7"/>
  <c r="H50" i="7"/>
  <c r="G50" i="7"/>
  <c r="F50" i="7"/>
  <c r="E50" i="7"/>
  <c r="C50" i="7"/>
  <c r="B50" i="7"/>
  <c r="G49" i="7"/>
  <c r="F49" i="7"/>
  <c r="C49" i="7"/>
  <c r="B49" i="7"/>
  <c r="H48" i="7"/>
  <c r="G48" i="7"/>
  <c r="F48" i="7"/>
  <c r="E48" i="7"/>
  <c r="C48" i="7"/>
  <c r="B48" i="7"/>
  <c r="P46" i="7"/>
  <c r="O46" i="7"/>
  <c r="N46" i="7"/>
  <c r="M46" i="7"/>
  <c r="L46" i="7"/>
  <c r="K46" i="7"/>
  <c r="J46" i="7"/>
  <c r="I46" i="7"/>
  <c r="Z45" i="7"/>
  <c r="R43" i="7"/>
  <c r="Q43" i="7"/>
  <c r="Z42" i="7"/>
  <c r="S41" i="7"/>
  <c r="S40" i="7"/>
  <c r="R38" i="7"/>
  <c r="Q38" i="7"/>
  <c r="G38" i="7"/>
  <c r="R37" i="7"/>
  <c r="Q37" i="7"/>
  <c r="S36" i="7"/>
  <c r="Z33" i="7"/>
  <c r="Z32" i="7"/>
  <c r="R31" i="7"/>
  <c r="E31" i="7"/>
  <c r="C31" i="7"/>
  <c r="Z31" i="7" s="1"/>
  <c r="S30" i="7"/>
  <c r="Z24" i="7"/>
  <c r="Z23" i="7"/>
  <c r="Z21" i="7"/>
  <c r="T21" i="7"/>
  <c r="T46" i="7" s="1"/>
  <c r="U46" i="7" s="1"/>
  <c r="S21" i="7"/>
  <c r="G21" i="7"/>
  <c r="H21" i="7" s="1"/>
  <c r="Y19" i="7"/>
  <c r="S38" i="7" l="1"/>
  <c r="S37" i="7"/>
  <c r="S43" i="7"/>
  <c r="I50" i="7"/>
  <c r="K50" i="7" s="1"/>
  <c r="I48" i="7"/>
  <c r="J48" i="7" s="1"/>
  <c r="K48" i="7" s="1"/>
  <c r="M50" i="7"/>
  <c r="O50" i="7" s="1"/>
  <c r="M48" i="7"/>
  <c r="N48" i="7" s="1"/>
  <c r="AA45" i="7"/>
  <c r="AA31" i="7"/>
  <c r="AB31" i="7" s="1"/>
  <c r="AA24" i="7"/>
  <c r="AB24" i="7" s="1"/>
  <c r="AA32" i="7"/>
  <c r="AB32" i="7" s="1"/>
  <c r="AA33" i="7"/>
  <c r="AB33" i="7" s="1"/>
  <c r="AA42" i="7"/>
  <c r="AB42" i="7" s="1"/>
  <c r="AA23" i="7"/>
  <c r="AB23" i="7" s="1"/>
  <c r="Z46" i="7"/>
  <c r="AA21" i="7"/>
  <c r="R22" i="3"/>
  <c r="S46" i="7" l="1"/>
  <c r="N50" i="7"/>
  <c r="P50" i="7" s="1"/>
  <c r="J50" i="7"/>
  <c r="L50" i="7" s="1"/>
  <c r="Q57" i="7" s="1"/>
  <c r="Q58" i="7" s="1"/>
  <c r="Q59" i="7" s="1"/>
  <c r="AB45" i="7"/>
  <c r="R50" i="7"/>
  <c r="AA46" i="7"/>
  <c r="AB21" i="7"/>
  <c r="O48" i="7"/>
  <c r="P48" i="7" s="1"/>
  <c r="L48" i="7"/>
  <c r="Q48" i="7"/>
  <c r="X1" i="3"/>
  <c r="R33" i="3"/>
  <c r="B3" i="6"/>
  <c r="Q25" i="3"/>
  <c r="P25" i="3"/>
  <c r="R25" i="3"/>
  <c r="Q50" i="7" l="1"/>
  <c r="AB46" i="7"/>
  <c r="AC46" i="7" s="1"/>
  <c r="AD46" i="7" s="1"/>
  <c r="S50" i="7"/>
  <c r="S51" i="7" s="1"/>
  <c r="T51" i="7" s="1"/>
  <c r="R48" i="7"/>
  <c r="S48" i="7"/>
  <c r="T48" i="7" s="1"/>
  <c r="T28" i="3"/>
  <c r="S28" i="3"/>
  <c r="T50" i="7" l="1"/>
  <c r="Y3" i="3"/>
  <c r="Y5" i="3"/>
  <c r="Y6" i="3"/>
  <c r="Y14" i="3"/>
  <c r="Y15" i="3"/>
  <c r="Y24" i="3"/>
  <c r="Z3" i="3"/>
  <c r="Z15" i="3" l="1"/>
  <c r="Z14" i="3"/>
  <c r="Z24" i="3"/>
  <c r="Z6" i="3"/>
  <c r="Z5" i="3"/>
  <c r="B5" i="2"/>
  <c r="E49" i="7" s="1"/>
  <c r="M49" i="7" l="1"/>
  <c r="I49" i="7"/>
  <c r="AA15" i="3"/>
  <c r="AA24" i="3"/>
  <c r="AA14" i="3"/>
  <c r="AA5" i="3"/>
  <c r="AA6" i="3"/>
  <c r="AA3" i="3"/>
  <c r="K49" i="7" l="1"/>
  <c r="J49" i="7"/>
  <c r="O49" i="7"/>
  <c r="N49" i="7"/>
  <c r="R23" i="3"/>
  <c r="P49" i="7" l="1"/>
  <c r="Q49" i="7"/>
  <c r="R49" i="7"/>
  <c r="L49" i="7"/>
  <c r="S53" i="3"/>
  <c r="S52" i="3"/>
  <c r="S51" i="3"/>
  <c r="S50" i="3"/>
  <c r="S49" i="7" l="1"/>
  <c r="T49" i="7" s="1"/>
  <c r="S43" i="3"/>
  <c r="S42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1" i="3" l="1"/>
  <c r="G41" i="3"/>
  <c r="G38" i="3" l="1"/>
  <c r="G39" i="3"/>
  <c r="G40" i="3"/>
  <c r="Q19" i="3" l="1"/>
  <c r="R19" i="3" s="1"/>
  <c r="P19" i="3"/>
  <c r="U38" i="3" l="1"/>
  <c r="B15" i="4" l="1"/>
  <c r="R18" i="3" l="1"/>
  <c r="O28" i="3" l="1"/>
  <c r="N28" i="3"/>
  <c r="M28" i="3"/>
  <c r="L28" i="3"/>
  <c r="R3" i="3"/>
  <c r="S3" i="3"/>
  <c r="R12" i="3"/>
  <c r="Q13" i="3"/>
  <c r="R28" i="3" l="1"/>
  <c r="K28" i="3"/>
  <c r="J28" i="3"/>
  <c r="I28" i="3"/>
  <c r="H28" i="3" l="1"/>
  <c r="B13" i="3" l="1"/>
  <c r="Y13" i="3" s="1"/>
  <c r="Z13" i="3" l="1"/>
  <c r="B18" i="1"/>
  <c r="B16" i="1"/>
  <c r="AA13" i="3" l="1"/>
  <c r="B5" i="1"/>
  <c r="B17" i="1" s="1"/>
  <c r="B15" i="1" s="1"/>
  <c r="B19" i="2"/>
  <c r="A32" i="3" l="1"/>
  <c r="F32" i="3"/>
  <c r="E32" i="3"/>
  <c r="B32" i="3"/>
  <c r="Y27" i="3" s="1"/>
  <c r="E16" i="4"/>
  <c r="B7" i="4"/>
  <c r="E13" i="4" s="1"/>
  <c r="E17" i="4" s="1"/>
  <c r="B5" i="4"/>
  <c r="I4" i="4"/>
  <c r="I5" i="4" s="1"/>
  <c r="Z27" i="3" l="1"/>
  <c r="Y28" i="3"/>
  <c r="D32" i="3"/>
  <c r="D13" i="3"/>
  <c r="G32" i="3"/>
  <c r="E6" i="4"/>
  <c r="E5" i="4"/>
  <c r="E3" i="4"/>
  <c r="E4" i="4"/>
  <c r="Z28" i="3" l="1"/>
  <c r="H32" i="3"/>
  <c r="J32" i="3" s="1"/>
  <c r="L32" i="3"/>
  <c r="M32" i="3" s="1"/>
  <c r="E11" i="4"/>
  <c r="E18" i="4" s="1"/>
  <c r="AA27" i="3" l="1"/>
  <c r="AA28" i="3" s="1"/>
  <c r="AB28" i="3" s="1"/>
  <c r="AC28" i="3" s="1"/>
  <c r="N32" i="3"/>
  <c r="I32" i="3"/>
  <c r="K32" i="3" l="1"/>
  <c r="P39" i="3" s="1"/>
  <c r="O32" i="3"/>
  <c r="P32" i="3"/>
  <c r="Q32" i="3"/>
  <c r="F31" i="3"/>
  <c r="E31" i="3"/>
  <c r="B31" i="3"/>
  <c r="A30" i="3"/>
  <c r="E16" i="2"/>
  <c r="B12" i="2"/>
  <c r="B7" i="2"/>
  <c r="H49" i="7" s="1"/>
  <c r="D31" i="3"/>
  <c r="I4" i="2"/>
  <c r="I5" i="2" s="1"/>
  <c r="R32" i="3" l="1"/>
  <c r="S32" i="3" s="1"/>
  <c r="P40" i="3"/>
  <c r="P41" i="3" s="1"/>
  <c r="L31" i="3"/>
  <c r="M31" i="3" s="1"/>
  <c r="E5" i="2"/>
  <c r="G31" i="3"/>
  <c r="H31" i="3"/>
  <c r="I31" i="3" s="1"/>
  <c r="E6" i="2"/>
  <c r="E3" i="2"/>
  <c r="E4" i="2"/>
  <c r="E13" i="2"/>
  <c r="E17" i="2" s="1"/>
  <c r="J31" i="3" l="1"/>
  <c r="N31" i="3"/>
  <c r="S33" i="3"/>
  <c r="E11" i="2"/>
  <c r="E18" i="2" s="1"/>
  <c r="B12" i="1"/>
  <c r="B30" i="3"/>
  <c r="F30" i="3"/>
  <c r="E30" i="3"/>
  <c r="P31" i="3" l="1"/>
  <c r="O31" i="3"/>
  <c r="K31" i="3"/>
  <c r="D30" i="3"/>
  <c r="H30" i="3" s="1"/>
  <c r="F3" i="3"/>
  <c r="G3" i="3" s="1"/>
  <c r="R31" i="3" l="1"/>
  <c r="S31" i="3" s="1"/>
  <c r="Q31" i="3"/>
  <c r="L30" i="3"/>
  <c r="I30" i="3"/>
  <c r="J30" i="3" s="1"/>
  <c r="K30" i="3" s="1"/>
  <c r="E16" i="1"/>
  <c r="M30" i="3" l="1"/>
  <c r="P30" i="3" s="1"/>
  <c r="I4" i="1"/>
  <c r="N30" i="3" l="1"/>
  <c r="Q30" i="3" s="1"/>
  <c r="B7" i="1"/>
  <c r="G30" i="3" s="1"/>
  <c r="O30" i="3" l="1"/>
  <c r="E6" i="1"/>
  <c r="E13" i="1"/>
  <c r="E17" i="1" s="1"/>
  <c r="E3" i="1"/>
  <c r="E4" i="1"/>
  <c r="E5" i="1"/>
  <c r="R30" i="3" l="1"/>
  <c r="S30" i="3" s="1"/>
  <c r="E11" i="1"/>
  <c r="E18" i="1" s="1"/>
  <c r="I5" i="1"/>
</calcChain>
</file>

<file path=xl/sharedStrings.xml><?xml version="1.0" encoding="utf-8"?>
<sst xmlns="http://schemas.openxmlformats.org/spreadsheetml/2006/main" count="405" uniqueCount="166">
  <si>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</si>
  <si>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</si>
  <si>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</si>
  <si>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</si>
  <si>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</si>
  <si>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</si>
  <si>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</si>
  <si>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</si>
  <si>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</si>
  <si>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</si>
  <si>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</si>
  <si>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</si>
  <si>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</si>
  <si>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</si>
  <si>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</si>
  <si>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</si>
  <si>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</si>
  <si>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</si>
  <si>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</si>
  <si>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</si>
  <si>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</si>
  <si>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</si>
  <si>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</si>
  <si>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</si>
  <si>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</si>
  <si>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</si>
  <si>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</si>
  <si>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</si>
  <si>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</si>
  <si>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</si>
  <si>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</si>
  <si>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</si>
  <si>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</si>
  <si>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</si>
  <si>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</si>
  <si>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</si>
  <si>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</si>
  <si>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</si>
  <si>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</si>
  <si>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</si>
  <si>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</si>
  <si>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</si>
  <si>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</si>
  <si>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</si>
  <si>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</si>
  <si>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</si>
  <si>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</si>
  <si>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</si>
  <si>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</si>
  <si>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</si>
  <si>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</si>
  <si>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</si>
  <si>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</si>
  <si>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</si>
  <si>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</si>
  <si>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</si>
  <si>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</si>
  <si>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</si>
  <si>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</si>
  <si>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Custodia de acciones MT.AS</t>
  </si>
  <si>
    <t>ABI.BR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</si>
  <si>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</si>
  <si>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</si>
  <si>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</si>
  <si>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</si>
  <si>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</si>
  <si>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</si>
  <si>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</si>
  <si>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</si>
  <si>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</si>
  <si>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</si>
  <si>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</si>
  <si>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</si>
  <si>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</si>
  <si>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</si>
  <si>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</si>
  <si>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</si>
  <si>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</si>
  <si>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</si>
  <si>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</si>
  <si>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</si>
  <si>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</si>
  <si>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</si>
  <si>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</si>
  <si>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</si>
  <si>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</si>
  <si>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</si>
  <si>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</si>
  <si>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</si>
  <si>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</si>
  <si>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</si>
  <si>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</si>
  <si>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</si>
  <si>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</si>
  <si>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</si>
  <si>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</si>
  <si>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</si>
  <si>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</si>
  <si>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</si>
  <si>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</si>
  <si>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</si>
  <si>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</si>
  <si>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</si>
  <si>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</si>
  <si>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</si>
  <si>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</si>
  <si>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</si>
  <si>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</si>
  <si>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</si>
  <si>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</si>
  <si>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</si>
  <si>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</si>
  <si>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</si>
  <si>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</si>
  <si>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</si>
  <si>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</si>
  <si>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</si>
  <si>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</si>
  <si>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</si>
  <si>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</si>
  <si>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</si>
  <si>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</si>
  <si>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</si>
  <si>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</si>
  <si>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</si>
  <si>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</si>
  <si>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</si>
  <si>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</si>
  <si>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</si>
  <si>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</si>
  <si>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</si>
  <si>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</si>
  <si>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</si>
  <si>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</si>
  <si>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</si>
  <si>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</si>
  <si>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</si>
  <si>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</si>
  <si>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</si>
  <si>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</si>
  <si>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</si>
  <si>
    <t>Dias</t>
  </si>
  <si>
    <t>Dias/Total dias</t>
  </si>
  <si>
    <t>Media invertido</t>
  </si>
  <si>
    <t>% Total</t>
  </si>
  <si>
    <t>%/año</t>
  </si>
  <si>
    <t>RBC</t>
  </si>
  <si>
    <t>&lt;--</t>
  </si>
  <si>
    <t>Entre 25 y 28</t>
  </si>
  <si>
    <t>TIPO</t>
  </si>
  <si>
    <t>PRECIO/VALOR</t>
  </si>
  <si>
    <t>DINERO ACCIONES</t>
  </si>
  <si>
    <t>GASTOS</t>
  </si>
  <si>
    <t>BALANCE</t>
  </si>
  <si>
    <t>%</t>
  </si>
  <si>
    <t>INFO</t>
  </si>
  <si>
    <t>DINERO INVERTIDO</t>
  </si>
  <si>
    <t>GENERAL</t>
  </si>
  <si>
    <t>FECHA</t>
  </si>
  <si>
    <t>BENELUX</t>
  </si>
  <si>
    <t>DINERO INICIAL</t>
  </si>
  <si>
    <t>EURO</t>
  </si>
  <si>
    <t>RESTO &gt; 0</t>
  </si>
  <si>
    <t>HISTORICO</t>
  </si>
  <si>
    <t>Venta PHI.AS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</si>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</sst>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  <numFmt numFmtId="169" formatCode="0_ ;[Red]\-0\ "/>
  </numFmts>
  <fonts count="1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NumberFormat="1"/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ont="1" applyAlignment="1">
      <alignment horizontal="right"/>
    </xf>
    <xf numFmtId="0" fontId="0" fillId="3" borderId="23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1" fillId="3" borderId="24" xfId="0" applyFont="1" applyFill="1" applyBorder="1" applyAlignment="1"/>
    <xf numFmtId="0" fontId="11" fillId="3" borderId="0" xfId="0" applyFont="1" applyFill="1" applyBorder="1" applyAlignment="1"/>
    <xf numFmtId="0" fontId="0" fillId="5" borderId="0" xfId="0" applyFill="1" applyBorder="1" applyAlignment="1">
      <alignment horizontal="center"/>
    </xf>
    <xf numFmtId="0" fontId="11" fillId="4" borderId="0" xfId="0" applyFont="1" applyFill="1" applyBorder="1" applyAlignment="1"/>
    <xf numFmtId="0" fontId="11" fillId="2" borderId="0" xfId="0" applyFont="1" applyFill="1" applyAlignment="1"/>
    <xf numFmtId="0" fontId="11" fillId="2" borderId="25" xfId="0" applyFont="1" applyFill="1" applyBorder="1" applyAlignment="1"/>
    <xf numFmtId="0" fontId="11" fillId="2" borderId="0" xfId="0" applyFont="1" applyFill="1" applyBorder="1" applyAlignment="1"/>
    <xf numFmtId="169" fontId="0" fillId="0" borderId="0" xfId="0" applyNumberFormat="1"/>
    <xf numFmtId="8" fontId="0" fillId="6" borderId="0" xfId="0" applyNumberFormat="1" applyFill="1"/>
    <xf numFmtId="0" fontId="11" fillId="4" borderId="24" xfId="0" applyFont="1" applyFill="1" applyBorder="1" applyAlignment="1"/>
    <xf numFmtId="0" fontId="0" fillId="4" borderId="23" xfId="0" applyFill="1" applyBorder="1" applyAlignment="1">
      <alignment horizontal="center"/>
    </xf>
    <xf numFmtId="0" fontId="11" fillId="4" borderId="25" xfId="0" applyFont="1" applyFill="1" applyBorder="1" applyAlignment="1"/>
    <xf numFmtId="0" fontId="0" fillId="4" borderId="26" xfId="0" applyFill="1" applyBorder="1" applyAlignment="1">
      <alignment horizontal="center"/>
    </xf>
    <xf numFmtId="0" fontId="11" fillId="5" borderId="24" xfId="0" applyFont="1" applyFill="1" applyBorder="1" applyAlignment="1"/>
    <xf numFmtId="0" fontId="0" fillId="5" borderId="0" xfId="0" applyFill="1" applyBorder="1"/>
    <xf numFmtId="0" fontId="0" fillId="5" borderId="25" xfId="0" applyFill="1" applyBorder="1"/>
    <xf numFmtId="0" fontId="0" fillId="5" borderId="2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169" fontId="0" fillId="6" borderId="0" xfId="0" applyNumberFormat="1" applyFill="1"/>
    <xf numFmtId="8" fontId="0" fillId="6" borderId="27" xfId="0" applyNumberFormat="1" applyFill="1" applyBorder="1"/>
    <xf numFmtId="8" fontId="0" fillId="6" borderId="24" xfId="0" applyNumberFormat="1" applyFill="1" applyBorder="1"/>
    <xf numFmtId="167" fontId="0" fillId="0" borderId="27" xfId="0" applyNumberFormat="1" applyFill="1" applyBorder="1" applyAlignment="1">
      <alignment horizontal="right"/>
    </xf>
    <xf numFmtId="167" fontId="0" fillId="0" borderId="24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8" fontId="0" fillId="6" borderId="0" xfId="0" applyNumberFormat="1" applyFill="1" applyBorder="1"/>
    <xf numFmtId="8" fontId="0" fillId="0" borderId="0" xfId="0" applyNumberFormat="1" applyFill="1" applyBorder="1"/>
    <xf numFmtId="169" fontId="0" fillId="6" borderId="0" xfId="0" applyNumberFormat="1" applyFill="1" applyBorder="1"/>
    <xf numFmtId="8" fontId="0" fillId="6" borderId="25" xfId="0" applyNumberFormat="1" applyFill="1" applyBorder="1"/>
    <xf numFmtId="8" fontId="0" fillId="6" borderId="28" xfId="0" applyNumberFormat="1" applyFill="1" applyBorder="1"/>
    <xf numFmtId="10" fontId="12" fillId="6" borderId="28" xfId="0" applyNumberFormat="1" applyFont="1" applyFill="1" applyBorder="1" applyAlignment="1">
      <alignment horizontal="right"/>
    </xf>
    <xf numFmtId="10" fontId="12" fillId="6" borderId="0" xfId="0" applyNumberFormat="1" applyFont="1" applyFill="1" applyBorder="1" applyAlignment="1">
      <alignment horizontal="right"/>
    </xf>
    <xf numFmtId="0" fontId="0" fillId="0" borderId="29" xfId="0" applyBorder="1"/>
    <xf numFmtId="0" fontId="0" fillId="0" borderId="25" xfId="0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0" fillId="0" borderId="22" xfId="0" applyFill="1" applyBorder="1"/>
    <xf numFmtId="8" fontId="0" fillId="0" borderId="22" xfId="0" applyNumberFormat="1" applyFill="1" applyBorder="1"/>
    <xf numFmtId="8" fontId="0" fillId="6" borderId="22" xfId="0" applyNumberFormat="1" applyFill="1" applyBorder="1"/>
    <xf numFmtId="167" fontId="0" fillId="0" borderId="23" xfId="0" applyNumberFormat="1" applyFill="1" applyBorder="1" applyAlignment="1">
      <alignment horizontal="right"/>
    </xf>
    <xf numFmtId="169" fontId="0" fillId="6" borderId="22" xfId="0" applyNumberFormat="1" applyFill="1" applyBorder="1"/>
    <xf numFmtId="8" fontId="0" fillId="6" borderId="26" xfId="0" applyNumberFormat="1" applyFill="1" applyBorder="1"/>
    <xf numFmtId="167" fontId="0" fillId="0" borderId="22" xfId="0" applyNumberFormat="1" applyFill="1" applyBorder="1" applyAlignment="1">
      <alignment horizontal="right"/>
    </xf>
    <xf numFmtId="8" fontId="0" fillId="6" borderId="23" xfId="0" applyNumberFormat="1" applyFill="1" applyBorder="1"/>
    <xf numFmtId="10" fontId="12" fillId="6" borderId="22" xfId="0" applyNumberFormat="1" applyFont="1" applyFill="1" applyBorder="1" applyAlignment="1">
      <alignment horizontal="right"/>
    </xf>
    <xf numFmtId="0" fontId="0" fillId="0" borderId="26" xfId="0" applyBorder="1"/>
    <xf numFmtId="0" fontId="11" fillId="0" borderId="22" xfId="0" applyFont="1" applyBorder="1" applyAlignment="1">
      <alignment horizontal="left"/>
    </xf>
    <xf numFmtId="0" fontId="0" fillId="0" borderId="2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5" sqref="B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8" t="s">
        <v>1</v>
      </c>
      <c r="E1" s="68"/>
      <c r="F1" s="28"/>
      <c r="H1" s="63" t="s">
        <v>13</v>
      </c>
      <c r="I1" s="63"/>
    </row>
    <row r="2" spans="1:10" ht="15.75" x14ac:dyDescent="0.25">
      <c r="A2" t="s">
        <v>12</v>
      </c>
      <c r="B2" s="4">
        <v>42234</v>
      </c>
      <c r="D2" s="66" t="s">
        <v>2</v>
      </c>
      <c r="E2" s="67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60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4" t="str">
        <f>IF(I4=2,"Se puede COMPRAR","Nada")</f>
        <v>Se puede COMPRAR</v>
      </c>
      <c r="J5" s="65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5" sqref="B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8" t="s">
        <v>1</v>
      </c>
      <c r="E1" s="68"/>
      <c r="F1" s="28"/>
      <c r="H1" s="63" t="s">
        <v>13</v>
      </c>
      <c r="I1" s="63"/>
    </row>
    <row r="2" spans="1:10" ht="15.75" x14ac:dyDescent="0.25">
      <c r="A2" t="s">
        <v>12</v>
      </c>
      <c r="B2" s="4">
        <v>42471</v>
      </c>
      <c r="D2" s="66" t="s">
        <v>2</v>
      </c>
      <c r="E2" s="67"/>
      <c r="H2" s="29" t="s">
        <v>26</v>
      </c>
      <c r="I2" s="30">
        <v>1</v>
      </c>
    </row>
    <row r="3" spans="1:10" ht="15.75" x14ac:dyDescent="0.25">
      <c r="A3" t="s">
        <v>28</v>
      </c>
      <c r="B3" t="s">
        <v>136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66.97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64" t="str">
        <f>IF(I4=2,"Se puede COMPRAR","Nada")</f>
        <v>Se puede COMPRAR</v>
      </c>
      <c r="J5" s="65"/>
    </row>
    <row r="6" spans="1:10" ht="15.75" x14ac:dyDescent="0.25">
      <c r="A6" t="s">
        <v>30</v>
      </c>
      <c r="B6" s="5">
        <v>76.03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0.13528445572644476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74.705034999999995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8" t="s">
        <v>1</v>
      </c>
      <c r="E1" s="68"/>
      <c r="F1" s="28"/>
      <c r="H1" s="63" t="s">
        <v>13</v>
      </c>
      <c r="I1" s="63"/>
    </row>
    <row r="2" spans="1:10" ht="15.75" x14ac:dyDescent="0.25">
      <c r="A2" t="s">
        <v>12</v>
      </c>
      <c r="B2" s="4">
        <v>43154</v>
      </c>
      <c r="D2" s="66" t="s">
        <v>2</v>
      </c>
      <c r="E2" s="67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4" t="str">
        <f>IF(I4=2,"Se puede COMPRAR","Nada")</f>
        <v>Se puede COMPRAR</v>
      </c>
      <c r="J5" s="65"/>
    </row>
    <row r="6" spans="1:10" ht="15.75" x14ac:dyDescent="0.25">
      <c r="A6" t="s">
        <v>30</v>
      </c>
      <c r="B6" s="5">
        <v>30.27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0.16512702078521935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70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65</v>
      </c>
      <c r="E23" s="33"/>
    </row>
    <row r="24" spans="2:6" ht="15.75" x14ac:dyDescent="0.25">
      <c r="B24" s="53" t="s">
        <v>64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0"/>
  <sheetViews>
    <sheetView topLeftCell="I1" zoomScaleNormal="100" workbookViewId="0">
      <selection activeCell="S31" sqref="S31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8" max="8" width="12" bestFit="1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69" t="s">
        <v>47</v>
      </c>
      <c r="I1" s="69"/>
      <c r="J1" s="69"/>
      <c r="K1" s="69"/>
      <c r="L1" s="70" t="s">
        <v>52</v>
      </c>
      <c r="M1" s="70"/>
      <c r="N1" s="70"/>
      <c r="O1" s="70"/>
      <c r="P1" s="71" t="s">
        <v>54</v>
      </c>
      <c r="Q1" s="71"/>
      <c r="R1" s="71"/>
      <c r="X1" s="59">
        <f ca="1">_xlfn.DAYS(TODAY(),B3)</f>
        <v>1528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141</v>
      </c>
      <c r="Z2" t="s">
        <v>142</v>
      </c>
      <c r="AA2" t="s">
        <v>143</v>
      </c>
      <c r="AB2" t="s">
        <v>144</v>
      </c>
      <c r="AC2" t="s">
        <v>145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59">
        <f ca="1">Y3/X$1</f>
        <v>4.0575916230366493E-2</v>
      </c>
      <c r="AA3" s="56">
        <f ca="1">Z3*H3</f>
        <v>161.83704188481676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72</v>
      </c>
      <c r="Z4" s="59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5:Y24" si="0">_xlfn.DAYS(C5,B5)</f>
        <v>55</v>
      </c>
      <c r="Z5" s="59">
        <f t="shared" ref="Z5:Z27" ca="1" si="1">Y5/X$1</f>
        <v>3.5994764397905762E-2</v>
      </c>
      <c r="AA5" s="56">
        <f t="shared" ref="AA5:AA24" ca="1" si="2">Z5*H5</f>
        <v>144.03160994764397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59">
        <f t="shared" ca="1" si="1"/>
        <v>9.1623036649214652E-3</v>
      </c>
      <c r="AA6" s="56">
        <f t="shared" ca="1" si="2"/>
        <v>36.697774869109949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59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59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59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59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59</v>
      </c>
      <c r="Z11" s="59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59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59">
        <f t="shared" ca="1" si="1"/>
        <v>0.18848167539267016</v>
      </c>
      <c r="AA13" s="56">
        <f t="shared" ca="1" si="2"/>
        <v>110.52188481675392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59">
        <f t="shared" ca="1" si="1"/>
        <v>0.56871727748691103</v>
      </c>
      <c r="AA14" s="56">
        <f t="shared" ca="1" si="2"/>
        <v>2496.441361256545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59">
        <f t="shared" ca="1" si="1"/>
        <v>0.41361256544502617</v>
      </c>
      <c r="AA15" s="56">
        <f t="shared" ca="1" si="2"/>
        <v>248.41570680628271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59</v>
      </c>
      <c r="Z16" s="59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59</v>
      </c>
      <c r="Z17" s="59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69</v>
      </c>
      <c r="Z18" s="59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71</v>
      </c>
      <c r="Z19" s="59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71</v>
      </c>
      <c r="Z20" s="59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139</v>
      </c>
      <c r="Z21" s="59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-2.18-2.26-3.09-2.27</f>
        <v>-9.7999999999999989</v>
      </c>
      <c r="S22" s="10"/>
      <c r="T22" t="s">
        <v>140</v>
      </c>
      <c r="Z22" s="59"/>
      <c r="AA22" s="56"/>
      <c r="AB22" s="5"/>
    </row>
    <row r="23" spans="1:29" x14ac:dyDescent="0.25">
      <c r="A23" s="39" t="s">
        <v>136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137</v>
      </c>
      <c r="Z23" s="59"/>
      <c r="AA23" s="56"/>
      <c r="AB23" s="5"/>
    </row>
    <row r="24" spans="1:29" x14ac:dyDescent="0.25">
      <c r="A24" s="7" t="s">
        <v>136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138</v>
      </c>
      <c r="Y24">
        <f t="shared" si="0"/>
        <v>22</v>
      </c>
      <c r="Z24" s="59">
        <f t="shared" ca="1" si="1"/>
        <v>1.4397905759162303E-2</v>
      </c>
      <c r="AA24" s="56">
        <f t="shared" ca="1" si="2"/>
        <v>58.803926701570674</v>
      </c>
      <c r="AB24" s="5"/>
    </row>
    <row r="25" spans="1:29" x14ac:dyDescent="0.25">
      <c r="A25" s="7" t="s">
        <v>46</v>
      </c>
      <c r="C25" s="8">
        <v>43587</v>
      </c>
      <c r="D25" s="14"/>
      <c r="E25" s="9"/>
      <c r="F25" s="9">
        <v>86.24</v>
      </c>
      <c r="G25" s="10"/>
      <c r="H25" s="9"/>
      <c r="I25" s="9"/>
      <c r="J25" s="9"/>
      <c r="K25" s="9"/>
      <c r="L25" s="9"/>
      <c r="M25" s="9"/>
      <c r="N25" s="9"/>
      <c r="O25" s="9"/>
      <c r="P25" s="9">
        <f>2.5+0.53</f>
        <v>3.0300000000000002</v>
      </c>
      <c r="Q25" s="9">
        <f>16.39+20.96</f>
        <v>37.35</v>
      </c>
      <c r="R25" s="9">
        <f>F25-P25-Q25</f>
        <v>45.859999999999992</v>
      </c>
      <c r="S25" s="10"/>
      <c r="T25" t="s">
        <v>71</v>
      </c>
      <c r="Z25" s="59"/>
      <c r="AA25" s="56"/>
      <c r="AB25" s="5"/>
    </row>
    <row r="26" spans="1:29" x14ac:dyDescent="0.25">
      <c r="A26" s="7"/>
      <c r="B26" s="8"/>
      <c r="C26" s="8"/>
      <c r="D26" s="14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Z26" s="59"/>
      <c r="AB26" s="5"/>
    </row>
    <row r="27" spans="1:29" x14ac:dyDescent="0.25">
      <c r="Y27">
        <f ca="1">_xlfn.DAYS(TODAY(),B32)</f>
        <v>448</v>
      </c>
      <c r="Z27" s="59">
        <f t="shared" ca="1" si="1"/>
        <v>0.29319371727748689</v>
      </c>
      <c r="AA27" s="56">
        <f ca="1">Z27*H32</f>
        <v>1492.9658638743454</v>
      </c>
      <c r="AB27" s="5"/>
    </row>
    <row r="28" spans="1:29" x14ac:dyDescent="0.25">
      <c r="H28" s="15">
        <f t="shared" ref="H28:O28" si="3">SUM(H3:H27)</f>
        <v>21656.039999999997</v>
      </c>
      <c r="I28" s="15">
        <f t="shared" si="3"/>
        <v>103.523</v>
      </c>
      <c r="J28" s="15">
        <f t="shared" si="3"/>
        <v>42.339399999999998</v>
      </c>
      <c r="K28" s="15">
        <f t="shared" si="3"/>
        <v>4129.1262000000006</v>
      </c>
      <c r="L28" s="15">
        <f t="shared" si="3"/>
        <v>4531.8</v>
      </c>
      <c r="M28" s="15">
        <f t="shared" si="3"/>
        <v>-33.988500000000002</v>
      </c>
      <c r="N28" s="15">
        <f t="shared" si="3"/>
        <v>-15.861300000000002</v>
      </c>
      <c r="O28" s="15">
        <f t="shared" si="3"/>
        <v>4481.9502000000002</v>
      </c>
      <c r="R28" s="15">
        <f>SUM(R3:R27)</f>
        <v>3571.3034679999992</v>
      </c>
      <c r="S28" s="16">
        <f>SUM(S3:S27)/7</f>
        <v>0.54861989434118641</v>
      </c>
      <c r="T28" s="16">
        <f>S28/4</f>
        <v>0.1371549735852966</v>
      </c>
      <c r="Y28">
        <f ca="1">SUM(Y3:Y27)</f>
        <v>2390</v>
      </c>
      <c r="Z28" s="59">
        <f ca="1">SUM(Z3:Z27)</f>
        <v>1.5641361256544504</v>
      </c>
      <c r="AA28" s="56">
        <f ca="1">SUM(AA3:AA27)</f>
        <v>4749.7151701570683</v>
      </c>
      <c r="AB28" s="3">
        <f ca="1">R28/AA28</f>
        <v>0.75189844865621691</v>
      </c>
      <c r="AC28" s="3">
        <f ca="1">AB28/(X1/365)</f>
        <v>0.17960924984261728</v>
      </c>
    </row>
    <row r="29" spans="1:29" x14ac:dyDescent="0.25">
      <c r="H29" s="52"/>
      <c r="I29" s="52"/>
      <c r="J29" s="52"/>
      <c r="K29" s="52"/>
      <c r="L29" s="52"/>
      <c r="M29" s="52"/>
      <c r="N29" s="52"/>
      <c r="O29" s="52"/>
      <c r="R29" s="52"/>
      <c r="S29" s="51"/>
      <c r="T29" s="51"/>
      <c r="U29">
        <v>0.24199999999999999</v>
      </c>
    </row>
    <row r="30" spans="1:29" x14ac:dyDescent="0.25">
      <c r="A30" s="39" t="str">
        <f>'Operacion 1'!B$3</f>
        <v>ABI.BR</v>
      </c>
      <c r="B30" s="8">
        <f>'Operacion 1'!B$2</f>
        <v>42234</v>
      </c>
      <c r="C30" s="8"/>
      <c r="D30" s="14">
        <f>'Operacion 1'!B$5</f>
        <v>62</v>
      </c>
      <c r="E30" s="9">
        <f>'Operacion 1'!B$4</f>
        <v>89</v>
      </c>
      <c r="F30" s="9">
        <f>'Operacion 1'!B$6</f>
        <v>120</v>
      </c>
      <c r="G30" s="10">
        <f>'Operacion 1'!B$7</f>
        <v>0.348314606741573</v>
      </c>
      <c r="H30" s="9">
        <f>(E30*D30)</f>
        <v>5518</v>
      </c>
      <c r="I30" s="9">
        <f>IF((H30*0.005)&lt;20,20,(H30*0.005))</f>
        <v>27.59</v>
      </c>
      <c r="J30" s="9">
        <f>SUM(H30:I30)*0.0027</f>
        <v>14.973093</v>
      </c>
      <c r="K30" s="9">
        <f>SUM(H30:J30)</f>
        <v>5560.5630929999998</v>
      </c>
      <c r="L30" s="9">
        <f>D30*F30</f>
        <v>7440</v>
      </c>
      <c r="M30" s="9">
        <f>IF((L30*0.005)&lt;20,-20,-(L30*0.005))</f>
        <v>-37.200000000000003</v>
      </c>
      <c r="N30" s="9">
        <f>-(SUM(L30:M30)*0.0027)</f>
        <v>-19.987560000000002</v>
      </c>
      <c r="O30" s="9">
        <f>SUM(L30:N30)</f>
        <v>7382.8124400000006</v>
      </c>
      <c r="P30" s="9">
        <f>I30-M30</f>
        <v>64.790000000000006</v>
      </c>
      <c r="Q30" s="9">
        <f>J30-N30</f>
        <v>34.960653000000001</v>
      </c>
      <c r="R30" s="9">
        <f t="shared" ref="R30:R31" si="4">O30-K30</f>
        <v>1822.2493470000009</v>
      </c>
      <c r="S30" s="10">
        <f>R30/K30</f>
        <v>0.32770949929404947</v>
      </c>
      <c r="T30" t="s">
        <v>109</v>
      </c>
      <c r="U30" t="s">
        <v>111</v>
      </c>
    </row>
    <row r="31" spans="1:29" x14ac:dyDescent="0.25">
      <c r="A31" s="39" t="str">
        <f>'Operacion 2'!B$3</f>
        <v>BMW.DE</v>
      </c>
      <c r="B31" s="8">
        <f>'Operacion 2'!B$2</f>
        <v>42471</v>
      </c>
      <c r="C31" s="8"/>
      <c r="D31" s="14">
        <f>'Operacion 2'!B$5</f>
        <v>60</v>
      </c>
      <c r="E31" s="9">
        <f>'Operacion 2'!B$4</f>
        <v>66.97</v>
      </c>
      <c r="F31" s="9">
        <f>'Operacion 2'!B$6</f>
        <v>76.03</v>
      </c>
      <c r="G31" s="10">
        <f>'Operacion 2'!B$7</f>
        <v>0.13528445572644476</v>
      </c>
      <c r="H31" s="9">
        <f t="shared" ref="H31:H32" si="5">E31*D31</f>
        <v>4018.2</v>
      </c>
      <c r="I31" s="9">
        <f>IF((H31*(0.0075))&lt;30,30,(H31*(0.0075)))</f>
        <v>30.136499999999998</v>
      </c>
      <c r="J31" s="9">
        <f>H31*0.0035</f>
        <v>14.063699999999999</v>
      </c>
      <c r="K31" s="9">
        <f t="shared" ref="K31:K32" si="6">SUM(H31:J31)</f>
        <v>4062.4002</v>
      </c>
      <c r="L31" s="9">
        <f t="shared" ref="L31:L32" si="7">D31*F31</f>
        <v>4561.8</v>
      </c>
      <c r="M31" s="9">
        <f>IF((L31*(0.0075))&lt;30,-30,-(L31*(0.0075)))</f>
        <v>-34.213500000000003</v>
      </c>
      <c r="N31" s="9">
        <f>-(L31*0.0035)</f>
        <v>-15.9663</v>
      </c>
      <c r="O31" s="9">
        <f t="shared" ref="O31:O32" si="8">SUM(L31:N31)</f>
        <v>4511.6202000000003</v>
      </c>
      <c r="P31" s="9">
        <f t="shared" ref="P31:P32" si="9">I31-M31</f>
        <v>64.349999999999994</v>
      </c>
      <c r="Q31" s="9">
        <f t="shared" ref="Q31:Q32" si="10">J31-N31</f>
        <v>30.03</v>
      </c>
      <c r="R31" s="9">
        <f t="shared" si="4"/>
        <v>449.22000000000025</v>
      </c>
      <c r="S31" s="10">
        <f t="shared" ref="S31" si="11">R31/K31</f>
        <v>0.11057994729322834</v>
      </c>
      <c r="T31" t="s">
        <v>108</v>
      </c>
      <c r="U31" t="s">
        <v>111</v>
      </c>
    </row>
    <row r="32" spans="1:29" x14ac:dyDescent="0.25">
      <c r="A32" s="39" t="str">
        <f>'Operacion 3'!B3</f>
        <v>ITX.MC</v>
      </c>
      <c r="B32" s="8">
        <f>'Operacion 3'!B$2</f>
        <v>43154</v>
      </c>
      <c r="C32" s="8"/>
      <c r="D32" s="14">
        <f>'Operacion 3'!B$5</f>
        <v>196</v>
      </c>
      <c r="E32" s="9">
        <f>'Operacion 3'!B$4</f>
        <v>25.98</v>
      </c>
      <c r="F32" s="9">
        <f>'Operacion 3'!B$6</f>
        <v>30.27</v>
      </c>
      <c r="G32" s="10">
        <f>'Operacion 3'!B$7</f>
        <v>0.16512702078521935</v>
      </c>
      <c r="H32" s="9">
        <f t="shared" si="5"/>
        <v>5092.08</v>
      </c>
      <c r="I32" s="9">
        <f>IF((H32*(0.0075+0.0008))&lt;30,30,(H32*(0.0075+0.0008)))</f>
        <v>42.264263999999997</v>
      </c>
      <c r="J32" s="9">
        <f>H32*0.0027</f>
        <v>13.748616</v>
      </c>
      <c r="K32" s="9">
        <f t="shared" si="6"/>
        <v>5148.0928800000002</v>
      </c>
      <c r="L32" s="9">
        <f t="shared" si="7"/>
        <v>5932.92</v>
      </c>
      <c r="M32" s="9">
        <f>IF((L32*(0.0075))&lt;30,-30,-(L32*(0.0075)))</f>
        <v>-44.496899999999997</v>
      </c>
      <c r="N32" s="9">
        <f>-(L32*0.0035)</f>
        <v>-20.765219999999999</v>
      </c>
      <c r="O32" s="9">
        <f t="shared" si="8"/>
        <v>5867.6578799999997</v>
      </c>
      <c r="P32" s="9">
        <f t="shared" si="9"/>
        <v>86.761163999999994</v>
      </c>
      <c r="Q32" s="9">
        <f t="shared" si="10"/>
        <v>34.513835999999998</v>
      </c>
      <c r="R32" s="9">
        <f>O32-K32</f>
        <v>719.5649999999996</v>
      </c>
      <c r="S32" s="10">
        <f>R32/K32</f>
        <v>0.13977311924488814</v>
      </c>
      <c r="T32" t="s">
        <v>58</v>
      </c>
      <c r="U32" t="s">
        <v>111</v>
      </c>
      <c r="AA32" s="56"/>
    </row>
    <row r="33" spans="3:27" x14ac:dyDescent="0.25">
      <c r="R33" s="56">
        <f>R32+SUM(R19:R22)+R25</f>
        <v>804.01499999999965</v>
      </c>
      <c r="S33" s="10">
        <f>R33/K32</f>
        <v>0.1561772521866388</v>
      </c>
    </row>
    <row r="34" spans="3:27" x14ac:dyDescent="0.25">
      <c r="D34" s="48"/>
      <c r="H34" s="48"/>
      <c r="I34" s="48"/>
      <c r="J34" s="48"/>
      <c r="K34" s="48"/>
      <c r="L34" s="48"/>
      <c r="M34" s="48"/>
      <c r="N34" s="48"/>
      <c r="O34" s="48"/>
      <c r="R34" s="48"/>
    </row>
    <row r="35" spans="3:27" x14ac:dyDescent="0.25">
      <c r="F35" s="5"/>
      <c r="G35" s="48"/>
      <c r="U35" t="s">
        <v>46</v>
      </c>
    </row>
    <row r="36" spans="3:27" x14ac:dyDescent="0.25">
      <c r="T36" t="s">
        <v>68</v>
      </c>
      <c r="U36">
        <v>26.25</v>
      </c>
      <c r="AA36" s="56"/>
    </row>
    <row r="37" spans="3:27" x14ac:dyDescent="0.25">
      <c r="H37" s="5"/>
      <c r="I37" s="5"/>
      <c r="J37" s="5"/>
      <c r="K37" s="5"/>
      <c r="L37" s="5"/>
      <c r="M37" s="5"/>
      <c r="N37" s="5"/>
      <c r="O37" s="5"/>
      <c r="P37" s="5"/>
      <c r="R37" s="5"/>
      <c r="T37" t="s">
        <v>66</v>
      </c>
      <c r="U37">
        <v>30.27</v>
      </c>
      <c r="W37" t="s">
        <v>113</v>
      </c>
    </row>
    <row r="38" spans="3:27" x14ac:dyDescent="0.25">
      <c r="D38" t="s">
        <v>62</v>
      </c>
      <c r="E38">
        <v>74.89</v>
      </c>
      <c r="F38">
        <v>52</v>
      </c>
      <c r="G38" s="10">
        <f>1-(F38/E38)</f>
        <v>0.30564828415008682</v>
      </c>
      <c r="N38">
        <v>6769.84</v>
      </c>
      <c r="O38">
        <v>74.459999999999994</v>
      </c>
      <c r="P38" s="5">
        <v>6695.38</v>
      </c>
      <c r="S38" s="10"/>
      <c r="T38" t="s">
        <v>67</v>
      </c>
      <c r="U38" s="3">
        <f>(U37/U36)-1</f>
        <v>0.15314285714285703</v>
      </c>
      <c r="V38" s="3"/>
      <c r="W38" t="s">
        <v>81</v>
      </c>
    </row>
    <row r="39" spans="3:27" x14ac:dyDescent="0.25">
      <c r="D39" t="s">
        <v>61</v>
      </c>
      <c r="E39">
        <v>182.08</v>
      </c>
      <c r="F39">
        <v>126</v>
      </c>
      <c r="G39" s="10">
        <f>1-(F39/E39)</f>
        <v>0.30799648506151145</v>
      </c>
      <c r="H39" s="5"/>
      <c r="I39" s="5"/>
      <c r="J39" s="5"/>
      <c r="K39" s="5"/>
      <c r="L39" s="5"/>
      <c r="M39" s="5"/>
      <c r="N39" s="5"/>
      <c r="O39" s="5"/>
      <c r="P39" s="5">
        <f>P38-K32</f>
        <v>1547.28712</v>
      </c>
      <c r="R39" s="5"/>
    </row>
    <row r="40" spans="3:27" x14ac:dyDescent="0.25">
      <c r="D40" t="s">
        <v>63</v>
      </c>
      <c r="E40">
        <v>93.54</v>
      </c>
      <c r="F40">
        <v>65</v>
      </c>
      <c r="G40" s="10">
        <f>1-(F40/E40)</f>
        <v>0.30511011332050464</v>
      </c>
      <c r="H40" s="9"/>
      <c r="I40" s="9"/>
      <c r="J40" s="9"/>
      <c r="K40" s="5"/>
      <c r="P40" s="56">
        <f>P39*0.1</f>
        <v>154.728712</v>
      </c>
    </row>
    <row r="41" spans="3:27" x14ac:dyDescent="0.25">
      <c r="C41" t="s">
        <v>107</v>
      </c>
      <c r="E41">
        <v>20</v>
      </c>
      <c r="F41">
        <v>14</v>
      </c>
      <c r="G41" s="10">
        <f>1-(F41/E41)</f>
        <v>0.30000000000000004</v>
      </c>
      <c r="P41" s="56">
        <f>P39-P40</f>
        <v>1392.5584079999999</v>
      </c>
      <c r="R41" s="43"/>
    </row>
    <row r="42" spans="3:27" x14ac:dyDescent="0.25">
      <c r="F42" s="5"/>
      <c r="R42" s="9"/>
      <c r="S42">
        <f>(0.00242*12)</f>
        <v>2.9039999999999996E-2</v>
      </c>
    </row>
    <row r="43" spans="3:27" x14ac:dyDescent="0.25">
      <c r="O43" s="9"/>
      <c r="R43" s="45"/>
      <c r="S43">
        <f>4700*S42</f>
        <v>136.48799999999997</v>
      </c>
    </row>
    <row r="44" spans="3:27" x14ac:dyDescent="0.25">
      <c r="P44" s="3"/>
      <c r="R44" s="50" t="s">
        <v>119</v>
      </c>
      <c r="S44" s="48" t="s">
        <v>120</v>
      </c>
      <c r="T44" s="5"/>
    </row>
    <row r="45" spans="3:27" ht="15.75" x14ac:dyDescent="0.25">
      <c r="F45" s="5"/>
      <c r="Q45" t="s">
        <v>116</v>
      </c>
      <c r="R45" s="57" t="s">
        <v>148</v>
      </c>
      <c r="S45" s="49"/>
      <c r="T45" s="5"/>
    </row>
    <row r="46" spans="3:27" x14ac:dyDescent="0.25">
      <c r="E46" s="5"/>
      <c r="F46" s="5"/>
      <c r="Q46" t="s">
        <v>117</v>
      </c>
      <c r="R46" s="57" t="s">
        <v>118</v>
      </c>
      <c r="S46" t="s">
        <v>121</v>
      </c>
    </row>
    <row r="47" spans="3:27" x14ac:dyDescent="0.25">
      <c r="E47" s="5"/>
      <c r="F47" s="5"/>
      <c r="G47" s="5"/>
      <c r="J47" t="s">
        <v>122</v>
      </c>
      <c r="R47" s="5"/>
      <c r="S47" t="s">
        <v>135</v>
      </c>
      <c r="T47" s="5"/>
    </row>
    <row r="48" spans="3:27" x14ac:dyDescent="0.25">
      <c r="J48" s="58">
        <v>43587</v>
      </c>
      <c r="R48" s="43"/>
    </row>
    <row r="49" spans="10:19" x14ac:dyDescent="0.25">
      <c r="J49" t="s">
        <v>123</v>
      </c>
      <c r="R49" s="44"/>
    </row>
    <row r="50" spans="10:19" x14ac:dyDescent="0.25">
      <c r="J50" t="s">
        <v>124</v>
      </c>
      <c r="L50" t="s">
        <v>147</v>
      </c>
      <c r="R50" s="57"/>
      <c r="S50">
        <f>5000/12</f>
        <v>416.66666666666669</v>
      </c>
    </row>
    <row r="51" spans="10:19" x14ac:dyDescent="0.25">
      <c r="J51" t="s">
        <v>125</v>
      </c>
      <c r="S51">
        <f>2.2/S50</f>
        <v>5.28E-3</v>
      </c>
    </row>
    <row r="52" spans="10:19" x14ac:dyDescent="0.25">
      <c r="J52" t="s">
        <v>126</v>
      </c>
      <c r="S52">
        <f>100*S51</f>
        <v>0.52800000000000002</v>
      </c>
    </row>
    <row r="53" spans="10:19" x14ac:dyDescent="0.25">
      <c r="J53" t="s">
        <v>127</v>
      </c>
      <c r="S53">
        <f>2.2*12</f>
        <v>26.400000000000002</v>
      </c>
    </row>
    <row r="54" spans="10:19" x14ac:dyDescent="0.25">
      <c r="J54" t="s">
        <v>128</v>
      </c>
    </row>
    <row r="55" spans="10:19" x14ac:dyDescent="0.25">
      <c r="J55" t="s">
        <v>129</v>
      </c>
    </row>
    <row r="56" spans="10:19" x14ac:dyDescent="0.25">
      <c r="J56" t="s">
        <v>130</v>
      </c>
    </row>
    <row r="57" spans="10:19" x14ac:dyDescent="0.25">
      <c r="J57" t="s">
        <v>131</v>
      </c>
    </row>
    <row r="58" spans="10:19" x14ac:dyDescent="0.25">
      <c r="J58" t="s">
        <v>132</v>
      </c>
    </row>
    <row r="59" spans="10:19" x14ac:dyDescent="0.25">
      <c r="J59" t="s">
        <v>133</v>
      </c>
    </row>
    <row r="60" spans="10:19" x14ac:dyDescent="0.25">
      <c r="J60" t="s">
        <v>134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1EA0-B43D-4A2A-807D-31E3E3AB62CB}">
  <dimension ref="A1:AD78"/>
  <sheetViews>
    <sheetView tabSelected="1" topLeftCell="A10" workbookViewId="0">
      <selection activeCell="A24" sqref="A24"/>
    </sheetView>
  </sheetViews>
  <sheetFormatPr defaultColWidth="11.42578125" defaultRowHeight="15" x14ac:dyDescent="0.25"/>
  <cols>
    <col min="3" max="3" width="19.140625" customWidth="1"/>
    <col min="4" max="4" width="14.140625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19" x14ac:dyDescent="0.25">
      <c r="A1" s="80" t="s">
        <v>157</v>
      </c>
      <c r="B1" s="80"/>
      <c r="C1" s="82"/>
      <c r="D1" s="82"/>
      <c r="E1" s="81"/>
      <c r="F1" s="76" t="s">
        <v>47</v>
      </c>
      <c r="G1" s="77"/>
      <c r="H1" s="77"/>
      <c r="I1" s="77"/>
      <c r="J1" s="77"/>
      <c r="K1" s="85" t="s">
        <v>52</v>
      </c>
      <c r="L1" s="79"/>
      <c r="M1" s="79"/>
      <c r="N1" s="87"/>
      <c r="O1" s="89" t="s">
        <v>54</v>
      </c>
      <c r="P1" s="78"/>
      <c r="Q1" s="90"/>
      <c r="R1" s="91"/>
    </row>
    <row r="2" spans="1:19" x14ac:dyDescent="0.25">
      <c r="A2" s="75" t="s">
        <v>149</v>
      </c>
      <c r="B2" s="75" t="s">
        <v>14</v>
      </c>
      <c r="C2" s="75" t="s">
        <v>160</v>
      </c>
      <c r="D2" s="75" t="s">
        <v>162</v>
      </c>
      <c r="E2" s="75" t="s">
        <v>156</v>
      </c>
      <c r="F2" s="74" t="s">
        <v>158</v>
      </c>
      <c r="G2" s="60" t="s">
        <v>150</v>
      </c>
      <c r="H2" s="60" t="s">
        <v>22</v>
      </c>
      <c r="I2" s="60" t="s">
        <v>151</v>
      </c>
      <c r="J2" s="60" t="s">
        <v>152</v>
      </c>
      <c r="K2" s="86" t="s">
        <v>158</v>
      </c>
      <c r="L2" s="61" t="s">
        <v>150</v>
      </c>
      <c r="M2" s="61" t="s">
        <v>151</v>
      </c>
      <c r="N2" s="88" t="s">
        <v>152</v>
      </c>
      <c r="O2" s="92" t="s">
        <v>152</v>
      </c>
      <c r="P2" s="62" t="s">
        <v>153</v>
      </c>
      <c r="Q2" s="62" t="s">
        <v>154</v>
      </c>
      <c r="R2" s="93" t="s">
        <v>155</v>
      </c>
      <c r="S2" s="72"/>
    </row>
    <row r="3" spans="1:19" x14ac:dyDescent="0.25">
      <c r="A3" s="94" t="s">
        <v>159</v>
      </c>
      <c r="B3" s="94" t="s">
        <v>60</v>
      </c>
      <c r="C3" s="95">
        <v>5600</v>
      </c>
      <c r="D3" s="84">
        <f>C3-E3</f>
        <v>39.511400000000322</v>
      </c>
      <c r="E3" s="84">
        <f>I3-J3</f>
        <v>5560.4885999999997</v>
      </c>
      <c r="F3" s="99">
        <v>42209</v>
      </c>
      <c r="G3" s="95">
        <v>89</v>
      </c>
      <c r="H3" s="96">
        <f>TRUNC(C3/G3)</f>
        <v>62</v>
      </c>
      <c r="I3" s="84">
        <f>(G3*H3)</f>
        <v>5518</v>
      </c>
      <c r="J3" s="84">
        <f>-(IF((I3*0.005)&lt;20,20,(I3*0.005))+(I3*0.0027))</f>
        <v>-42.488599999999998</v>
      </c>
      <c r="K3" s="99"/>
      <c r="L3" s="95">
        <v>120</v>
      </c>
      <c r="M3" s="84">
        <f>(H3*L3)</f>
        <v>7440</v>
      </c>
      <c r="N3" s="84">
        <f>-(IF((M3*0.005)&lt;20,20,(M3*0.005)) + (M3*0.0027))</f>
        <v>-57.288000000000004</v>
      </c>
      <c r="O3" s="97">
        <f>J3+N3</f>
        <v>-99.776600000000002</v>
      </c>
      <c r="P3" s="106">
        <f>M3-I3+N3</f>
        <v>1864.712</v>
      </c>
      <c r="Q3" s="107">
        <f>P3/E3</f>
        <v>0.33535038629518998</v>
      </c>
      <c r="R3" s="109"/>
    </row>
    <row r="4" spans="1:19" x14ac:dyDescent="0.25">
      <c r="A4" s="94" t="s">
        <v>161</v>
      </c>
      <c r="B4" s="94" t="s">
        <v>136</v>
      </c>
      <c r="C4" s="95">
        <v>4050</v>
      </c>
      <c r="D4" s="84">
        <f t="shared" ref="D4:D5" si="0">C4-E4</f>
        <v>-26.210460000000239</v>
      </c>
      <c r="E4" s="84">
        <f>I4-J4</f>
        <v>4076.2104600000002</v>
      </c>
      <c r="F4" s="100"/>
      <c r="G4" s="95">
        <v>65.03</v>
      </c>
      <c r="H4" s="96">
        <f>TRUNC(C4/G4)</f>
        <v>62</v>
      </c>
      <c r="I4" s="84">
        <f>(G4*H4)</f>
        <v>4031.86</v>
      </c>
      <c r="J4" s="84">
        <f>-(IF((I4*0.0075)&lt;30,30,(I4*0.0075))+(I4*0.0035))</f>
        <v>-44.350459999999998</v>
      </c>
      <c r="K4" s="100"/>
      <c r="L4" s="95">
        <v>73.069999999999993</v>
      </c>
      <c r="M4" s="84">
        <f>(H4*L4)</f>
        <v>4530.3399999999992</v>
      </c>
      <c r="N4" s="84">
        <f>-(IF((M4*0.0075)&lt;30,30,(M4*0.0075)) + (M4*0.0035))</f>
        <v>-49.833739999999992</v>
      </c>
      <c r="O4" s="98">
        <f>J4+N4</f>
        <v>-94.18419999999999</v>
      </c>
      <c r="P4" s="102">
        <f>M4-E4+N4</f>
        <v>404.29579999999902</v>
      </c>
      <c r="Q4" s="108">
        <f>P4/E4</f>
        <v>9.9184231032074577E-2</v>
      </c>
      <c r="R4" s="110"/>
    </row>
    <row r="5" spans="1:19" x14ac:dyDescent="0.25">
      <c r="A5" s="94" t="s">
        <v>161</v>
      </c>
      <c r="B5" s="94" t="s">
        <v>46</v>
      </c>
      <c r="C5" s="95">
        <v>5100</v>
      </c>
      <c r="D5" s="84">
        <f t="shared" si="0"/>
        <v>-48.09288000000015</v>
      </c>
      <c r="E5" s="84">
        <f>I5-J5</f>
        <v>5148.0928800000002</v>
      </c>
      <c r="F5" s="100">
        <v>43154</v>
      </c>
      <c r="G5" s="95">
        <v>25.98</v>
      </c>
      <c r="H5" s="96">
        <f>TRUNC(C5/G5)</f>
        <v>196</v>
      </c>
      <c r="I5" s="84">
        <f>(G5*H5)</f>
        <v>5092.08</v>
      </c>
      <c r="J5" s="84">
        <f>-(IF((I5*0.0075)&lt;30,30,(I5*0.0075))+(I5*0.0035))</f>
        <v>-56.012879999999996</v>
      </c>
      <c r="K5" s="100"/>
      <c r="L5" s="95">
        <v>30.27</v>
      </c>
      <c r="M5" s="84">
        <f>(H5*L5)</f>
        <v>5932.92</v>
      </c>
      <c r="N5" s="84">
        <f>-(IF((M5*0.0075)&lt;30,30,(M5*0.0075)) + (M5*0.0035))</f>
        <v>-65.262119999999996</v>
      </c>
      <c r="O5" s="98">
        <f>J5+N5</f>
        <v>-121.27499999999999</v>
      </c>
      <c r="P5" s="102">
        <f>M5-E5+N5</f>
        <v>719.56499999999994</v>
      </c>
      <c r="Q5" s="108">
        <f>P5/E5</f>
        <v>0.13977311924488819</v>
      </c>
      <c r="R5" s="110"/>
    </row>
    <row r="6" spans="1:19" x14ac:dyDescent="0.25">
      <c r="A6" s="94"/>
      <c r="B6" s="94"/>
      <c r="C6" s="95"/>
      <c r="D6" s="84"/>
      <c r="E6" s="84"/>
      <c r="F6" s="100"/>
      <c r="G6" s="103"/>
      <c r="H6" s="104"/>
      <c r="I6" s="102"/>
      <c r="J6" s="105"/>
      <c r="K6" s="101"/>
      <c r="L6" s="95"/>
      <c r="M6" s="84"/>
      <c r="N6" s="84"/>
      <c r="O6" s="98"/>
      <c r="P6" s="102"/>
      <c r="Q6" s="108"/>
      <c r="R6" s="110"/>
    </row>
    <row r="7" spans="1:19" x14ac:dyDescent="0.25">
      <c r="A7" s="94"/>
      <c r="B7" s="94"/>
      <c r="C7" s="95"/>
      <c r="D7" s="84"/>
      <c r="E7" s="84"/>
      <c r="F7" s="100"/>
      <c r="G7" s="103"/>
      <c r="H7" s="104"/>
      <c r="I7" s="102"/>
      <c r="J7" s="105"/>
      <c r="K7" s="101"/>
      <c r="L7" s="95"/>
      <c r="M7" s="84"/>
      <c r="N7" s="84"/>
      <c r="O7" s="98"/>
      <c r="P7" s="102"/>
      <c r="Q7" s="108"/>
      <c r="R7" s="110"/>
    </row>
    <row r="8" spans="1:19" x14ac:dyDescent="0.25">
      <c r="A8" s="94"/>
      <c r="B8" s="94"/>
      <c r="C8" s="95"/>
      <c r="D8" s="84"/>
      <c r="E8" s="84"/>
      <c r="F8" s="100"/>
      <c r="G8" s="103"/>
      <c r="H8" s="104"/>
      <c r="I8" s="102"/>
      <c r="J8" s="105"/>
      <c r="K8" s="101"/>
      <c r="L8" s="95"/>
      <c r="M8" s="84"/>
      <c r="N8" s="84"/>
      <c r="O8" s="98"/>
      <c r="P8" s="102"/>
      <c r="Q8" s="108"/>
      <c r="R8" s="110"/>
    </row>
    <row r="9" spans="1:19" x14ac:dyDescent="0.25">
      <c r="A9" s="122"/>
      <c r="B9" s="122"/>
      <c r="C9" s="123"/>
      <c r="D9" s="124"/>
      <c r="E9" s="124"/>
      <c r="F9" s="125"/>
      <c r="G9" s="123"/>
      <c r="H9" s="126"/>
      <c r="I9" s="124"/>
      <c r="J9" s="127"/>
      <c r="K9" s="128"/>
      <c r="L9" s="123"/>
      <c r="M9" s="124"/>
      <c r="N9" s="124"/>
      <c r="O9" s="129"/>
      <c r="P9" s="124"/>
      <c r="Q9" s="130"/>
      <c r="R9" s="131"/>
    </row>
    <row r="10" spans="1:19" x14ac:dyDescent="0.25">
      <c r="A10" s="121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</row>
    <row r="11" spans="1:19" x14ac:dyDescent="0.25">
      <c r="A11" s="132" t="s">
        <v>163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</row>
    <row r="12" spans="1:19" x14ac:dyDescent="0.25">
      <c r="A12" s="111" t="s">
        <v>149</v>
      </c>
      <c r="B12" s="111" t="s">
        <v>14</v>
      </c>
      <c r="C12" s="111" t="s">
        <v>160</v>
      </c>
      <c r="D12" s="111" t="s">
        <v>162</v>
      </c>
      <c r="E12" s="111" t="s">
        <v>156</v>
      </c>
      <c r="F12" s="112" t="s">
        <v>158</v>
      </c>
      <c r="G12" s="113" t="s">
        <v>150</v>
      </c>
      <c r="H12" s="113" t="s">
        <v>22</v>
      </c>
      <c r="I12" s="113" t="s">
        <v>151</v>
      </c>
      <c r="J12" s="113" t="s">
        <v>152</v>
      </c>
      <c r="K12" s="114" t="s">
        <v>158</v>
      </c>
      <c r="L12" s="115" t="s">
        <v>150</v>
      </c>
      <c r="M12" s="115" t="s">
        <v>151</v>
      </c>
      <c r="N12" s="116" t="s">
        <v>152</v>
      </c>
      <c r="O12" s="117" t="s">
        <v>152</v>
      </c>
      <c r="P12" s="118" t="s">
        <v>153</v>
      </c>
      <c r="Q12" s="118" t="s">
        <v>154</v>
      </c>
      <c r="R12" s="119" t="s">
        <v>155</v>
      </c>
      <c r="S12" s="72"/>
    </row>
    <row r="13" spans="1:19" x14ac:dyDescent="0.25">
      <c r="A13" s="94" t="s">
        <v>159</v>
      </c>
      <c r="B13" s="94" t="s">
        <v>33</v>
      </c>
      <c r="C13" s="95">
        <v>4000</v>
      </c>
      <c r="D13" s="84">
        <f>C13-E13</f>
        <v>-19.268950000000132</v>
      </c>
      <c r="E13" s="84">
        <f>I13-J13</f>
        <v>4019.2689500000001</v>
      </c>
      <c r="F13" s="8">
        <v>42074</v>
      </c>
      <c r="G13" s="95">
        <v>26.59</v>
      </c>
      <c r="H13" s="96">
        <f>TRUNC(C13/G13)</f>
        <v>150</v>
      </c>
      <c r="I13" s="84">
        <f>(G13*H13)</f>
        <v>3988.5</v>
      </c>
      <c r="J13" s="84">
        <f>-(IF((I13*0.005)&lt;20,20,(I13*0.005))+(I13*0.0027))</f>
        <v>-30.76895</v>
      </c>
      <c r="K13" s="99">
        <v>42136</v>
      </c>
      <c r="L13" s="95">
        <v>25.261599999999998</v>
      </c>
      <c r="M13" s="84">
        <f>(H13*L13)</f>
        <v>3789.24</v>
      </c>
      <c r="N13" s="84">
        <f>-(IF((M13*0.005)&lt;20,20,(M13*0.005)) + (M13*0.0027))</f>
        <v>-30.230947999999998</v>
      </c>
      <c r="O13" s="97">
        <v>-61.54</v>
      </c>
      <c r="P13" s="106">
        <v>-334.54</v>
      </c>
      <c r="Q13" s="107">
        <v>-6.54E-2</v>
      </c>
      <c r="R13" s="109" t="s">
        <v>164</v>
      </c>
    </row>
    <row r="14" spans="1:19" x14ac:dyDescent="0.25">
      <c r="C14" s="56"/>
      <c r="D14" s="56"/>
      <c r="E14" s="56"/>
      <c r="F14" s="8"/>
      <c r="G14" s="56"/>
      <c r="H14" s="83"/>
      <c r="I14" s="56"/>
      <c r="J14" s="56"/>
      <c r="P14">
        <v>73.47</v>
      </c>
      <c r="Q14" s="108">
        <f>P14/E13</f>
        <v>1.8279443578912528E-2</v>
      </c>
      <c r="R14" t="s">
        <v>72</v>
      </c>
    </row>
    <row r="15" spans="1:19" x14ac:dyDescent="0.25">
      <c r="C15" s="56"/>
      <c r="D15" s="56"/>
      <c r="E15" s="56"/>
      <c r="F15" s="8"/>
      <c r="G15" s="56"/>
      <c r="H15" s="83"/>
      <c r="I15" s="56"/>
      <c r="J15" s="56"/>
      <c r="Q15" s="108"/>
    </row>
    <row r="16" spans="1:19" x14ac:dyDescent="0.25">
      <c r="C16" s="56"/>
      <c r="D16" s="56"/>
      <c r="E16" s="56"/>
      <c r="F16" s="8"/>
      <c r="G16" s="56"/>
      <c r="H16" s="83"/>
      <c r="I16" s="56"/>
      <c r="J16" s="56"/>
      <c r="Q16" s="108"/>
    </row>
    <row r="17" spans="1:30" x14ac:dyDescent="0.25">
      <c r="C17" s="56"/>
      <c r="D17" s="56"/>
      <c r="E17" s="56"/>
      <c r="F17" s="8"/>
      <c r="G17" s="56"/>
      <c r="H17" s="83"/>
      <c r="I17" s="56"/>
      <c r="J17" s="56"/>
      <c r="Q17" s="108"/>
    </row>
    <row r="18" spans="1:30" x14ac:dyDescent="0.25">
      <c r="C18" s="56"/>
      <c r="D18" s="56"/>
      <c r="E18" s="56"/>
      <c r="F18" s="8"/>
      <c r="G18" s="56"/>
      <c r="H18" s="83"/>
      <c r="I18" s="56"/>
      <c r="J18" s="56"/>
    </row>
    <row r="19" spans="1:30" x14ac:dyDescent="0.25">
      <c r="G19" s="56"/>
      <c r="I19" s="69" t="s">
        <v>47</v>
      </c>
      <c r="J19" s="69"/>
      <c r="K19" s="69"/>
      <c r="L19" s="69"/>
      <c r="M19" s="70" t="s">
        <v>52</v>
      </c>
      <c r="N19" s="70"/>
      <c r="O19" s="70"/>
      <c r="P19" s="70"/>
      <c r="Q19" s="71" t="s">
        <v>54</v>
      </c>
      <c r="R19" s="71"/>
      <c r="S19" s="71"/>
      <c r="Y19" s="59">
        <f ca="1">_xlfn.DAYS(TODAY(),C21)</f>
        <v>1528</v>
      </c>
      <c r="Z19" s="33"/>
    </row>
    <row r="20" spans="1:30" x14ac:dyDescent="0.25">
      <c r="B20" s="11" t="s">
        <v>14</v>
      </c>
      <c r="C20" s="12" t="s">
        <v>15</v>
      </c>
      <c r="D20" s="12" t="s">
        <v>16</v>
      </c>
      <c r="E20" s="12" t="s">
        <v>22</v>
      </c>
      <c r="F20" s="12" t="s">
        <v>17</v>
      </c>
      <c r="G20" s="12" t="s">
        <v>18</v>
      </c>
      <c r="H20" s="12" t="s">
        <v>19</v>
      </c>
      <c r="I20" s="12" t="s">
        <v>48</v>
      </c>
      <c r="J20" s="12" t="s">
        <v>49</v>
      </c>
      <c r="K20" s="12" t="s">
        <v>50</v>
      </c>
      <c r="L20" s="12" t="s">
        <v>51</v>
      </c>
      <c r="M20" s="12" t="s">
        <v>48</v>
      </c>
      <c r="N20" s="12" t="s">
        <v>49</v>
      </c>
      <c r="O20" s="12" t="s">
        <v>50</v>
      </c>
      <c r="P20" s="12" t="s">
        <v>53</v>
      </c>
      <c r="Q20" s="12" t="s">
        <v>21</v>
      </c>
      <c r="R20" s="12" t="s">
        <v>20</v>
      </c>
      <c r="S20" s="13" t="s">
        <v>57</v>
      </c>
      <c r="T20" s="13" t="s">
        <v>23</v>
      </c>
      <c r="Z20" t="s">
        <v>141</v>
      </c>
      <c r="AA20" t="s">
        <v>142</v>
      </c>
      <c r="AB20" t="s">
        <v>143</v>
      </c>
      <c r="AC20" t="s">
        <v>144</v>
      </c>
      <c r="AD20" t="s">
        <v>145</v>
      </c>
    </row>
    <row r="21" spans="1:30" x14ac:dyDescent="0.25">
      <c r="B21" s="7" t="s">
        <v>33</v>
      </c>
      <c r="C21" s="8">
        <v>42074</v>
      </c>
      <c r="D21" s="8">
        <v>42136</v>
      </c>
      <c r="E21" s="14">
        <v>150</v>
      </c>
      <c r="F21" s="9">
        <v>26.59</v>
      </c>
      <c r="G21" s="9">
        <f>24.77+0.4916</f>
        <v>25.261599999999998</v>
      </c>
      <c r="H21" s="10">
        <f>(G21/F21)-1</f>
        <v>-4.9958631064309977E-2</v>
      </c>
      <c r="I21" s="9">
        <v>3988.5</v>
      </c>
      <c r="J21" s="9"/>
      <c r="K21" s="9"/>
      <c r="L21" s="9"/>
      <c r="M21" s="9"/>
      <c r="N21" s="9"/>
      <c r="O21" s="9"/>
      <c r="P21" s="9"/>
      <c r="Q21" s="9">
        <v>40</v>
      </c>
      <c r="R21" s="9">
        <v>21.54</v>
      </c>
      <c r="S21" s="9">
        <f>-334.54</f>
        <v>-334.54</v>
      </c>
      <c r="T21" s="42">
        <f>-0.0839+0.0185</f>
        <v>-6.54E-2</v>
      </c>
      <c r="Z21">
        <f>_xlfn.DAYS(D21,C21)</f>
        <v>62</v>
      </c>
      <c r="AA21" s="59">
        <f ca="1">Z21/Y$19</f>
        <v>4.0575916230366493E-2</v>
      </c>
      <c r="AB21" s="56">
        <f ca="1">AA21*I21</f>
        <v>161.83704188481676</v>
      </c>
      <c r="AC21" s="5"/>
    </row>
    <row r="22" spans="1:30" x14ac:dyDescent="0.25">
      <c r="B22" s="7"/>
      <c r="C22" s="8"/>
      <c r="D22" s="8"/>
      <c r="E22" s="14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9">
        <v>73.47</v>
      </c>
      <c r="T22" s="42"/>
      <c r="U22" t="s">
        <v>72</v>
      </c>
      <c r="AA22" s="59"/>
      <c r="AB22" s="56"/>
      <c r="AC22" s="5"/>
    </row>
    <row r="23" spans="1:30" x14ac:dyDescent="0.25">
      <c r="A23" t="s">
        <v>165</v>
      </c>
      <c r="B23" s="7" t="s">
        <v>39</v>
      </c>
      <c r="C23" s="8">
        <v>42143</v>
      </c>
      <c r="D23" s="8">
        <v>42198</v>
      </c>
      <c r="E23" s="14">
        <v>102</v>
      </c>
      <c r="F23" s="9">
        <v>39.229999999999997</v>
      </c>
      <c r="G23" s="9">
        <v>40</v>
      </c>
      <c r="H23" s="10">
        <v>1.962783583991845E-2</v>
      </c>
      <c r="I23" s="9">
        <v>4001.4599999999996</v>
      </c>
      <c r="J23" s="9"/>
      <c r="K23" s="9"/>
      <c r="L23" s="9"/>
      <c r="M23" s="9"/>
      <c r="N23" s="9"/>
      <c r="O23" s="9"/>
      <c r="P23" s="9"/>
      <c r="Q23" s="9">
        <v>40.014599999999994</v>
      </c>
      <c r="R23" s="9">
        <v>21.607883999999999</v>
      </c>
      <c r="S23" s="9">
        <v>16.917516000000433</v>
      </c>
      <c r="T23" s="10">
        <v>4.2278358399185385E-3</v>
      </c>
      <c r="Z23">
        <f t="shared" ref="Z23:Z42" si="1">_xlfn.DAYS(D23,C23)</f>
        <v>55</v>
      </c>
      <c r="AA23" s="59">
        <f t="shared" ref="AA23:AA45" ca="1" si="2">Z23/Y$19</f>
        <v>3.5994764397905762E-2</v>
      </c>
      <c r="AB23" s="56">
        <f t="shared" ref="AB23:AB42" ca="1" si="3">AA23*I23</f>
        <v>144.03160994764397</v>
      </c>
      <c r="AC23" s="5"/>
    </row>
    <row r="24" spans="1:30" x14ac:dyDescent="0.25">
      <c r="B24" s="7" t="s">
        <v>24</v>
      </c>
      <c r="C24" s="8">
        <v>42209</v>
      </c>
      <c r="D24" s="8">
        <v>42223</v>
      </c>
      <c r="E24" s="14">
        <v>507</v>
      </c>
      <c r="F24" s="9">
        <v>7.9</v>
      </c>
      <c r="G24" s="9">
        <v>8.82</v>
      </c>
      <c r="H24" s="10">
        <v>0.1164556962025316</v>
      </c>
      <c r="I24" s="9">
        <v>4005.3</v>
      </c>
      <c r="J24" s="9"/>
      <c r="K24" s="9"/>
      <c r="L24" s="9"/>
      <c r="M24" s="9"/>
      <c r="N24" s="9"/>
      <c r="O24" s="9"/>
      <c r="P24" s="9"/>
      <c r="Q24" s="9">
        <v>40.053000000000004</v>
      </c>
      <c r="R24" s="9">
        <v>21.628620000000002</v>
      </c>
      <c r="S24" s="9">
        <v>404.75837999999931</v>
      </c>
      <c r="T24" s="10">
        <v>0.10105569620253146</v>
      </c>
      <c r="Z24">
        <f t="shared" si="1"/>
        <v>14</v>
      </c>
      <c r="AA24" s="59">
        <f t="shared" ca="1" si="2"/>
        <v>9.1623036649214652E-3</v>
      </c>
      <c r="AB24" s="56">
        <f t="shared" ca="1" si="3"/>
        <v>36.697774869109949</v>
      </c>
      <c r="AC24" s="5"/>
    </row>
    <row r="25" spans="1:30" x14ac:dyDescent="0.25">
      <c r="B25" s="7"/>
      <c r="C25" s="8"/>
      <c r="D25" s="8"/>
      <c r="E25" s="14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>
        <v>0.12</v>
      </c>
      <c r="T25" s="10"/>
      <c r="U25" t="s">
        <v>41</v>
      </c>
      <c r="AA25" s="59"/>
      <c r="AB25" s="56"/>
      <c r="AC25" s="5"/>
    </row>
    <row r="26" spans="1:30" x14ac:dyDescent="0.25">
      <c r="B26" s="7"/>
      <c r="C26" s="8"/>
      <c r="D26" s="8"/>
      <c r="E26" s="14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>
        <v>-27.23</v>
      </c>
      <c r="T26" s="10"/>
      <c r="U26" t="s">
        <v>42</v>
      </c>
      <c r="AA26" s="59"/>
      <c r="AB26" s="56"/>
      <c r="AC26" s="5"/>
    </row>
    <row r="27" spans="1:30" x14ac:dyDescent="0.25">
      <c r="B27" s="7"/>
      <c r="C27" s="8"/>
      <c r="D27" s="8"/>
      <c r="E27" s="14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>
        <v>188.26</v>
      </c>
      <c r="T27" s="10"/>
      <c r="U27" t="s">
        <v>43</v>
      </c>
      <c r="AA27" s="59"/>
      <c r="AB27" s="56"/>
      <c r="AC27" s="5"/>
    </row>
    <row r="28" spans="1:30" x14ac:dyDescent="0.25">
      <c r="B28" s="7"/>
      <c r="C28" s="8"/>
      <c r="D28" s="8"/>
      <c r="E28" s="14"/>
      <c r="F28" s="9"/>
      <c r="G28" s="9"/>
      <c r="H28" s="73"/>
      <c r="I28" s="9"/>
      <c r="J28" s="9"/>
      <c r="K28" s="9"/>
      <c r="L28" s="9"/>
      <c r="M28" s="9"/>
      <c r="N28" s="9"/>
      <c r="O28" s="9"/>
      <c r="P28" s="9"/>
      <c r="Q28" s="9"/>
      <c r="R28" s="9"/>
      <c r="S28" s="9">
        <v>-0.08</v>
      </c>
      <c r="T28" s="10"/>
      <c r="U28" t="s">
        <v>41</v>
      </c>
      <c r="AA28" s="59"/>
      <c r="AB28" s="56"/>
      <c r="AC28" s="5"/>
    </row>
    <row r="29" spans="1:30" x14ac:dyDescent="0.25">
      <c r="B29" s="7"/>
      <c r="C29" s="8"/>
      <c r="D29" s="8"/>
      <c r="E29" s="14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>
        <v>-24.2</v>
      </c>
      <c r="T29" s="10"/>
      <c r="U29" t="s">
        <v>59</v>
      </c>
      <c r="AA29" s="59"/>
      <c r="AB29" s="56"/>
      <c r="AC29" s="5"/>
    </row>
    <row r="30" spans="1:30" x14ac:dyDescent="0.25">
      <c r="B30" s="7"/>
      <c r="C30" s="8"/>
      <c r="D30" s="8"/>
      <c r="E30" s="14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>
        <f>13.5+13.5</f>
        <v>27</v>
      </c>
      <c r="T30" s="10"/>
      <c r="U30" t="s">
        <v>44</v>
      </c>
      <c r="AA30" s="59"/>
      <c r="AB30" s="56"/>
      <c r="AC30" s="5"/>
    </row>
    <row r="31" spans="1:30" x14ac:dyDescent="0.25">
      <c r="B31" s="7" t="s">
        <v>24</v>
      </c>
      <c r="C31" s="8">
        <f>'Operacion 3'!B$2</f>
        <v>43154</v>
      </c>
      <c r="D31" s="8">
        <v>43442</v>
      </c>
      <c r="E31" s="14">
        <f>'Operacion 3'!B$5</f>
        <v>196</v>
      </c>
      <c r="F31" s="9">
        <v>20.22</v>
      </c>
      <c r="G31" s="9">
        <v>26.49</v>
      </c>
      <c r="H31" s="10">
        <v>0.31009999999999999</v>
      </c>
      <c r="I31" s="9">
        <v>586.38</v>
      </c>
      <c r="J31" s="9"/>
      <c r="K31" s="9"/>
      <c r="L31" s="9"/>
      <c r="M31" s="9"/>
      <c r="N31" s="9"/>
      <c r="O31" s="9"/>
      <c r="P31" s="9"/>
      <c r="Q31" s="9">
        <v>40</v>
      </c>
      <c r="R31" s="9">
        <f>1.62+2.07</f>
        <v>3.69</v>
      </c>
      <c r="S31" s="9">
        <v>138.16</v>
      </c>
      <c r="T31" s="10">
        <v>0.2356</v>
      </c>
      <c r="Z31">
        <f t="shared" si="1"/>
        <v>288</v>
      </c>
      <c r="AA31" s="59">
        <f t="shared" ca="1" si="2"/>
        <v>0.18848167539267016</v>
      </c>
      <c r="AB31" s="56">
        <f t="shared" ca="1" si="3"/>
        <v>110.52188481675392</v>
      </c>
      <c r="AC31" s="5"/>
    </row>
    <row r="32" spans="1:30" x14ac:dyDescent="0.25">
      <c r="B32" s="7" t="s">
        <v>24</v>
      </c>
      <c r="C32" s="8">
        <v>42234</v>
      </c>
      <c r="D32" s="8">
        <v>43103</v>
      </c>
      <c r="E32" s="14">
        <v>186</v>
      </c>
      <c r="F32" s="9">
        <v>23.6</v>
      </c>
      <c r="G32" s="9">
        <v>28.52</v>
      </c>
      <c r="H32" s="10">
        <v>0.20847457627118637</v>
      </c>
      <c r="I32" s="9">
        <v>4389.6000000000004</v>
      </c>
      <c r="J32" s="9"/>
      <c r="K32" s="9"/>
      <c r="L32" s="9"/>
      <c r="M32" s="9"/>
      <c r="N32" s="9"/>
      <c r="O32" s="9"/>
      <c r="P32" s="9"/>
      <c r="Q32" s="9">
        <v>48.471600000000009</v>
      </c>
      <c r="R32" s="9">
        <v>26.174664000000003</v>
      </c>
      <c r="S32" s="9">
        <v>840.47373599999992</v>
      </c>
      <c r="T32" s="10">
        <v>0.19146932203389827</v>
      </c>
      <c r="Z32">
        <f t="shared" si="1"/>
        <v>869</v>
      </c>
      <c r="AA32" s="59">
        <f t="shared" ca="1" si="2"/>
        <v>0.56871727748691103</v>
      </c>
      <c r="AB32" s="56">
        <f t="shared" ca="1" si="3"/>
        <v>2496.441361256545</v>
      </c>
      <c r="AC32" s="5"/>
    </row>
    <row r="33" spans="2:30" x14ac:dyDescent="0.25">
      <c r="B33" s="7" t="s">
        <v>24</v>
      </c>
      <c r="C33" s="8">
        <v>42471</v>
      </c>
      <c r="D33" s="8">
        <v>43103</v>
      </c>
      <c r="E33" s="14">
        <v>91</v>
      </c>
      <c r="F33" s="9">
        <v>6.6000000000000005</v>
      </c>
      <c r="G33" s="9">
        <v>28.52</v>
      </c>
      <c r="H33" s="10">
        <v>3.3212121212121204</v>
      </c>
      <c r="I33" s="9">
        <v>600.6</v>
      </c>
      <c r="J33" s="9"/>
      <c r="K33" s="9"/>
      <c r="L33" s="9"/>
      <c r="M33" s="9"/>
      <c r="N33" s="9"/>
      <c r="O33" s="9"/>
      <c r="P33" s="9"/>
      <c r="Q33" s="9">
        <v>12.976600000000001</v>
      </c>
      <c r="R33" s="9">
        <v>7.0073640000000008</v>
      </c>
      <c r="S33" s="9">
        <v>1974.7360360000002</v>
      </c>
      <c r="T33" s="10">
        <v>3.287938787878788</v>
      </c>
      <c r="Z33">
        <f t="shared" si="1"/>
        <v>632</v>
      </c>
      <c r="AA33" s="59">
        <f t="shared" ca="1" si="2"/>
        <v>0.41361256544502617</v>
      </c>
      <c r="AB33" s="56">
        <f t="shared" ca="1" si="3"/>
        <v>248.41570680628271</v>
      </c>
      <c r="AC33" s="5"/>
    </row>
    <row r="34" spans="2:30" x14ac:dyDescent="0.25">
      <c r="B34" s="7"/>
      <c r="C34" s="8"/>
      <c r="D34" s="8"/>
      <c r="E34" s="14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>
        <v>-30.78</v>
      </c>
      <c r="T34" s="10"/>
      <c r="U34" t="s">
        <v>59</v>
      </c>
      <c r="AA34" s="59"/>
      <c r="AB34" s="56"/>
      <c r="AC34" s="5"/>
    </row>
    <row r="35" spans="2:30" x14ac:dyDescent="0.25">
      <c r="B35" s="7"/>
      <c r="C35" s="8"/>
      <c r="D35" s="8"/>
      <c r="E35" s="14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>
        <v>-12.1</v>
      </c>
      <c r="T35" s="10"/>
      <c r="U35" t="s">
        <v>59</v>
      </c>
      <c r="AA35" s="59"/>
      <c r="AB35" s="56"/>
      <c r="AC35" s="5"/>
    </row>
    <row r="36" spans="2:30" x14ac:dyDescent="0.25">
      <c r="B36" s="7" t="s">
        <v>46</v>
      </c>
      <c r="C36" s="8">
        <v>43154</v>
      </c>
      <c r="D36" s="8"/>
      <c r="E36" s="14"/>
      <c r="F36" s="9"/>
      <c r="G36" s="9"/>
      <c r="H36" s="10"/>
      <c r="I36" s="9"/>
      <c r="J36" s="9">
        <v>42.26</v>
      </c>
      <c r="K36" s="9">
        <v>13.75</v>
      </c>
      <c r="L36" s="9"/>
      <c r="M36" s="9"/>
      <c r="N36" s="9"/>
      <c r="O36" s="9"/>
      <c r="P36" s="9"/>
      <c r="Q36" s="9"/>
      <c r="R36" s="9"/>
      <c r="S36" s="9">
        <f>-J36-K36</f>
        <v>-56.01</v>
      </c>
      <c r="T36" s="10"/>
      <c r="U36" t="s">
        <v>69</v>
      </c>
      <c r="AA36" s="59"/>
      <c r="AB36" s="56"/>
      <c r="AC36" s="5"/>
    </row>
    <row r="37" spans="2:30" x14ac:dyDescent="0.25">
      <c r="B37" s="7" t="s">
        <v>46</v>
      </c>
      <c r="D37" s="8">
        <v>43222</v>
      </c>
      <c r="E37" s="14"/>
      <c r="F37" s="9"/>
      <c r="G37" s="9">
        <v>73.5</v>
      </c>
      <c r="H37" s="10"/>
      <c r="I37" s="9"/>
      <c r="J37" s="9"/>
      <c r="K37" s="9"/>
      <c r="L37" s="9"/>
      <c r="M37" s="9"/>
      <c r="N37" s="9"/>
      <c r="O37" s="9"/>
      <c r="P37" s="9"/>
      <c r="Q37" s="9">
        <f>2.5+0.53</f>
        <v>3.0300000000000002</v>
      </c>
      <c r="R37" s="9">
        <f>13.97+17.86</f>
        <v>31.83</v>
      </c>
      <c r="S37" s="9">
        <f>G37-Q37-R37</f>
        <v>38.64</v>
      </c>
      <c r="T37" s="10"/>
      <c r="U37" t="s">
        <v>71</v>
      </c>
      <c r="AA37" s="59"/>
      <c r="AB37" s="56"/>
      <c r="AC37" s="5"/>
    </row>
    <row r="38" spans="2:30" x14ac:dyDescent="0.25">
      <c r="B38" s="7" t="s">
        <v>46</v>
      </c>
      <c r="D38" s="8">
        <v>43406</v>
      </c>
      <c r="E38" s="14"/>
      <c r="F38" s="9"/>
      <c r="G38" s="9">
        <f>32.34+41.16</f>
        <v>73.5</v>
      </c>
      <c r="H38" s="10"/>
      <c r="I38" s="9"/>
      <c r="J38" s="9"/>
      <c r="K38" s="9"/>
      <c r="L38" s="9"/>
      <c r="M38" s="9"/>
      <c r="N38" s="9"/>
      <c r="O38" s="9"/>
      <c r="P38" s="9"/>
      <c r="Q38" s="9">
        <f>2.5+2.5+0.53+0.53</f>
        <v>6.0600000000000005</v>
      </c>
      <c r="R38" s="9">
        <f>6.14+7.86+7.82+10</f>
        <v>31.82</v>
      </c>
      <c r="S38" s="9">
        <f>G38-Q38-R38</f>
        <v>35.619999999999997</v>
      </c>
      <c r="T38" s="10"/>
      <c r="U38" t="s">
        <v>71</v>
      </c>
      <c r="AA38" s="59"/>
      <c r="AB38" s="56"/>
      <c r="AC38" s="5"/>
    </row>
    <row r="39" spans="2:30" x14ac:dyDescent="0.25">
      <c r="B39" s="7"/>
      <c r="C39" s="8"/>
      <c r="D39" s="8"/>
      <c r="E39" s="14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-25.87</v>
      </c>
      <c r="T39" s="10"/>
      <c r="U39" t="s">
        <v>139</v>
      </c>
      <c r="AA39" s="59"/>
      <c r="AB39" s="56"/>
      <c r="AC39" s="5"/>
    </row>
    <row r="40" spans="2:30" x14ac:dyDescent="0.25">
      <c r="B40" s="7"/>
      <c r="C40" s="8"/>
      <c r="D40" s="8"/>
      <c r="E40" s="14"/>
      <c r="F40" s="9"/>
      <c r="G40" s="9"/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f>-2.18-2.26-3.09-2.27</f>
        <v>-9.7999999999999989</v>
      </c>
      <c r="T40" s="10"/>
      <c r="U40" t="s">
        <v>140</v>
      </c>
      <c r="AA40" s="59"/>
      <c r="AB40" s="56"/>
      <c r="AC40" s="5"/>
    </row>
    <row r="41" spans="2:30" x14ac:dyDescent="0.25">
      <c r="B41" s="39" t="s">
        <v>136</v>
      </c>
      <c r="C41" s="8">
        <v>43550</v>
      </c>
      <c r="D41" s="8"/>
      <c r="E41" s="14"/>
      <c r="F41" s="9"/>
      <c r="G41" s="9"/>
      <c r="H41" s="10"/>
      <c r="I41" s="9"/>
      <c r="J41" s="9">
        <v>30.631499999999999</v>
      </c>
      <c r="K41" s="9">
        <v>14.294699999999999</v>
      </c>
      <c r="L41" s="9"/>
      <c r="M41" s="9"/>
      <c r="N41" s="9"/>
      <c r="O41" s="9"/>
      <c r="P41" s="9"/>
      <c r="Q41" s="9"/>
      <c r="R41" s="9"/>
      <c r="S41" s="9">
        <f>-J41-K41</f>
        <v>-44.926199999999994</v>
      </c>
      <c r="T41" s="10"/>
      <c r="U41" t="s">
        <v>137</v>
      </c>
      <c r="AA41" s="59"/>
      <c r="AB41" s="56"/>
      <c r="AC41" s="5"/>
    </row>
    <row r="42" spans="2:30" x14ac:dyDescent="0.25">
      <c r="B42" s="7" t="s">
        <v>136</v>
      </c>
      <c r="C42" s="8">
        <v>43545</v>
      </c>
      <c r="D42" s="8">
        <v>43567</v>
      </c>
      <c r="E42" s="14">
        <v>60</v>
      </c>
      <c r="F42" s="9">
        <v>68.069999999999993</v>
      </c>
      <c r="G42" s="9">
        <v>75.53</v>
      </c>
      <c r="H42" s="10">
        <v>0.10959306596151031</v>
      </c>
      <c r="I42" s="9">
        <v>4084.2</v>
      </c>
      <c r="J42" s="9">
        <v>30.631499999999999</v>
      </c>
      <c r="K42" s="9">
        <v>14.294699999999999</v>
      </c>
      <c r="L42" s="9">
        <v>4129.1262000000006</v>
      </c>
      <c r="M42" s="9">
        <v>4531.8</v>
      </c>
      <c r="N42" s="9">
        <v>-33.988500000000002</v>
      </c>
      <c r="O42" s="9">
        <v>-15.861300000000002</v>
      </c>
      <c r="P42" s="9">
        <v>4481.9502000000002</v>
      </c>
      <c r="Q42" s="9">
        <v>64.62</v>
      </c>
      <c r="R42" s="9">
        <v>30.155999999999999</v>
      </c>
      <c r="S42" s="9">
        <v>352.82399999999961</v>
      </c>
      <c r="T42" s="10">
        <v>8.5447618433168629E-2</v>
      </c>
      <c r="U42" t="s">
        <v>138</v>
      </c>
      <c r="Z42">
        <f t="shared" si="1"/>
        <v>22</v>
      </c>
      <c r="AA42" s="59">
        <f t="shared" ca="1" si="2"/>
        <v>1.4397905759162303E-2</v>
      </c>
      <c r="AB42" s="56">
        <f t="shared" ca="1" si="3"/>
        <v>58.803926701570674</v>
      </c>
      <c r="AC42" s="5"/>
    </row>
    <row r="43" spans="2:30" x14ac:dyDescent="0.25">
      <c r="B43" s="7" t="s">
        <v>46</v>
      </c>
      <c r="D43" s="8">
        <v>43587</v>
      </c>
      <c r="E43" s="14"/>
      <c r="F43" s="9"/>
      <c r="G43" s="9">
        <v>86.24</v>
      </c>
      <c r="H43" s="10"/>
      <c r="I43" s="9"/>
      <c r="J43" s="9"/>
      <c r="K43" s="9"/>
      <c r="L43" s="9"/>
      <c r="M43" s="9"/>
      <c r="N43" s="9"/>
      <c r="O43" s="9"/>
      <c r="P43" s="9"/>
      <c r="Q43" s="9">
        <f>2.5+0.53</f>
        <v>3.0300000000000002</v>
      </c>
      <c r="R43" s="9">
        <f>16.39+20.96</f>
        <v>37.35</v>
      </c>
      <c r="S43" s="9">
        <f>G43-Q43-R43</f>
        <v>45.859999999999992</v>
      </c>
      <c r="T43" s="10"/>
      <c r="U43" t="s">
        <v>71</v>
      </c>
      <c r="AA43" s="59"/>
      <c r="AB43" s="56"/>
      <c r="AC43" s="5"/>
    </row>
    <row r="44" spans="2:30" x14ac:dyDescent="0.25">
      <c r="B44" s="7"/>
      <c r="C44" s="8"/>
      <c r="D44" s="8"/>
      <c r="E44" s="14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AA44" s="59"/>
      <c r="AC44" s="5"/>
    </row>
    <row r="45" spans="2:30" x14ac:dyDescent="0.25">
      <c r="Z45">
        <f ca="1">_xlfn.DAYS(TODAY(),C50)</f>
        <v>448</v>
      </c>
      <c r="AA45" s="59">
        <f t="shared" ca="1" si="2"/>
        <v>0.29319371727748689</v>
      </c>
      <c r="AB45" s="56">
        <f ca="1">AA45*I50</f>
        <v>1492.9658638743454</v>
      </c>
      <c r="AC45" s="5"/>
    </row>
    <row r="46" spans="2:30" x14ac:dyDescent="0.25">
      <c r="I46" s="15">
        <f t="shared" ref="I46:P46" si="4">SUM(I21:I45)</f>
        <v>21656.039999999997</v>
      </c>
      <c r="J46" s="15">
        <f t="shared" si="4"/>
        <v>103.523</v>
      </c>
      <c r="K46" s="15">
        <f t="shared" si="4"/>
        <v>42.339399999999998</v>
      </c>
      <c r="L46" s="15">
        <f t="shared" si="4"/>
        <v>4129.1262000000006</v>
      </c>
      <c r="M46" s="15">
        <f t="shared" si="4"/>
        <v>4531.8</v>
      </c>
      <c r="N46" s="15">
        <f t="shared" si="4"/>
        <v>-33.988500000000002</v>
      </c>
      <c r="O46" s="15">
        <f t="shared" si="4"/>
        <v>-15.861300000000002</v>
      </c>
      <c r="P46" s="15">
        <f t="shared" si="4"/>
        <v>4481.9502000000002</v>
      </c>
      <c r="S46" s="15">
        <f>SUM(S21:S45)</f>
        <v>3571.3034679999992</v>
      </c>
      <c r="T46" s="16">
        <f>SUM(T21:T45)/7</f>
        <v>0.54861989434118641</v>
      </c>
      <c r="U46" s="16">
        <f>T46/4</f>
        <v>0.1371549735852966</v>
      </c>
      <c r="Z46">
        <f ca="1">SUM(Z21:Z45)</f>
        <v>2390</v>
      </c>
      <c r="AA46" s="59">
        <f ca="1">SUM(AA21:AA45)</f>
        <v>1.5641361256544504</v>
      </c>
      <c r="AB46" s="56">
        <f ca="1">SUM(AB21:AB45)</f>
        <v>4749.7151701570683</v>
      </c>
      <c r="AC46" s="3">
        <f ca="1">S46/AB46</f>
        <v>0.75189844865621691</v>
      </c>
      <c r="AD46" s="3">
        <f ca="1">AC46/(Y19/365)</f>
        <v>0.17960924984261728</v>
      </c>
    </row>
    <row r="47" spans="2:30" x14ac:dyDescent="0.25">
      <c r="I47" s="52"/>
      <c r="J47" s="52"/>
      <c r="K47" s="52"/>
      <c r="L47" s="52"/>
      <c r="M47" s="52"/>
      <c r="N47" s="52"/>
      <c r="O47" s="52"/>
      <c r="P47" s="52"/>
      <c r="S47" s="52"/>
      <c r="T47" s="51"/>
      <c r="U47" s="51"/>
      <c r="V47">
        <v>0.24199999999999999</v>
      </c>
    </row>
    <row r="48" spans="2:30" x14ac:dyDescent="0.25">
      <c r="B48" s="39" t="str">
        <f>'Operacion 1'!B$3</f>
        <v>ABI.BR</v>
      </c>
      <c r="C48" s="8">
        <f>'Operacion 1'!B$2</f>
        <v>42234</v>
      </c>
      <c r="D48" s="8"/>
      <c r="E48" s="14">
        <f>'Operacion 1'!B$5</f>
        <v>62</v>
      </c>
      <c r="F48" s="9">
        <f>'Operacion 1'!B$4</f>
        <v>89</v>
      </c>
      <c r="G48" s="9">
        <f>'Operacion 1'!B$6</f>
        <v>120</v>
      </c>
      <c r="H48" s="10">
        <f>'Operacion 1'!B$7</f>
        <v>0.348314606741573</v>
      </c>
      <c r="I48" s="9">
        <f>(F48*E48)</f>
        <v>5518</v>
      </c>
      <c r="J48" s="9">
        <f>IF((I48*0.005)&lt;20,20,(I48*0.005))</f>
        <v>27.59</v>
      </c>
      <c r="K48" s="9">
        <f>SUM(I48:J48)*0.0027</f>
        <v>14.973093</v>
      </c>
      <c r="L48" s="9">
        <f>SUM(I48:K48)</f>
        <v>5560.5630929999998</v>
      </c>
      <c r="M48" s="9">
        <f>E48*G48</f>
        <v>7440</v>
      </c>
      <c r="N48" s="9">
        <f>IF((M48*0.005)&lt;20,-20,-(M48*0.005))</f>
        <v>-37.200000000000003</v>
      </c>
      <c r="O48" s="9">
        <f>-(SUM(M48:N48)*0.0027)</f>
        <v>-19.987560000000002</v>
      </c>
      <c r="P48" s="9">
        <f>SUM(M48:O48)</f>
        <v>7382.8124400000006</v>
      </c>
      <c r="Q48" s="9">
        <f>J48-N48</f>
        <v>64.790000000000006</v>
      </c>
      <c r="R48" s="9">
        <f>K48-O48</f>
        <v>34.960653000000001</v>
      </c>
      <c r="S48" s="9">
        <f t="shared" ref="S48:S49" si="5">P48-L48</f>
        <v>1822.2493470000009</v>
      </c>
      <c r="T48" s="10">
        <f>S48/L48</f>
        <v>0.32770949929404947</v>
      </c>
      <c r="U48" t="s">
        <v>109</v>
      </c>
      <c r="V48" t="s">
        <v>111</v>
      </c>
    </row>
    <row r="49" spans="2:28" x14ac:dyDescent="0.25">
      <c r="B49" s="39" t="str">
        <f>'Operacion 2'!B$3</f>
        <v>BMW.DE</v>
      </c>
      <c r="C49" s="8">
        <f>'Operacion 2'!B$2</f>
        <v>42471</v>
      </c>
      <c r="D49" s="8"/>
      <c r="E49" s="14">
        <f>'Operacion 2'!B$5</f>
        <v>60</v>
      </c>
      <c r="F49" s="9">
        <f>'Operacion 2'!B$4</f>
        <v>66.97</v>
      </c>
      <c r="G49" s="9">
        <f>'Operacion 2'!B$6</f>
        <v>76.03</v>
      </c>
      <c r="H49" s="10">
        <f>'Operacion 2'!B$7</f>
        <v>0.13528445572644476</v>
      </c>
      <c r="I49" s="9">
        <f t="shared" ref="I49:I50" si="6">F49*E49</f>
        <v>4018.2</v>
      </c>
      <c r="J49" s="9">
        <f>IF((I49*(0.0075))&lt;30,30,(I49*(0.0075)))</f>
        <v>30.136499999999998</v>
      </c>
      <c r="K49" s="9">
        <f>I49*0.0035</f>
        <v>14.063699999999999</v>
      </c>
      <c r="L49" s="9">
        <f t="shared" ref="L49:L50" si="7">SUM(I49:K49)</f>
        <v>4062.4002</v>
      </c>
      <c r="M49" s="9">
        <f t="shared" ref="M49:M50" si="8">E49*G49</f>
        <v>4561.8</v>
      </c>
      <c r="N49" s="9">
        <f>IF((M49*(0.0075))&lt;30,-30,-(M49*(0.0075)))</f>
        <v>-34.213500000000003</v>
      </c>
      <c r="O49" s="9">
        <f>-(M49*0.0035)</f>
        <v>-15.9663</v>
      </c>
      <c r="P49" s="9">
        <f t="shared" ref="P49:P50" si="9">SUM(M49:O49)</f>
        <v>4511.6202000000003</v>
      </c>
      <c r="Q49" s="9">
        <f t="shared" ref="Q49:R50" si="10">J49-N49</f>
        <v>64.349999999999994</v>
      </c>
      <c r="R49" s="9">
        <f t="shared" si="10"/>
        <v>30.03</v>
      </c>
      <c r="S49" s="9">
        <f t="shared" si="5"/>
        <v>449.22000000000025</v>
      </c>
      <c r="T49" s="10">
        <f t="shared" ref="T49" si="11">S49/L49</f>
        <v>0.11057994729322834</v>
      </c>
      <c r="U49" t="s">
        <v>108</v>
      </c>
      <c r="V49" t="s">
        <v>111</v>
      </c>
    </row>
    <row r="50" spans="2:28" x14ac:dyDescent="0.25">
      <c r="B50" s="39" t="str">
        <f>'Operacion 3'!B3</f>
        <v>ITX.MC</v>
      </c>
      <c r="C50" s="8">
        <f>'Operacion 3'!B$2</f>
        <v>43154</v>
      </c>
      <c r="D50" s="8"/>
      <c r="E50" s="14">
        <f>'Operacion 3'!B$5</f>
        <v>196</v>
      </c>
      <c r="F50" s="9">
        <f>'Operacion 3'!B$4</f>
        <v>25.98</v>
      </c>
      <c r="G50" s="9">
        <f>'Operacion 3'!B$6</f>
        <v>30.27</v>
      </c>
      <c r="H50" s="10">
        <f>'Operacion 3'!B$7</f>
        <v>0.16512702078521935</v>
      </c>
      <c r="I50" s="9">
        <f t="shared" si="6"/>
        <v>5092.08</v>
      </c>
      <c r="J50" s="9">
        <f>IF((I50*(0.0075+0.0008))&lt;30,30,(I50*(0.0075+0.0008)))</f>
        <v>42.264263999999997</v>
      </c>
      <c r="K50" s="9">
        <f>I50*0.0027</f>
        <v>13.748616</v>
      </c>
      <c r="L50" s="9">
        <f t="shared" si="7"/>
        <v>5148.0928800000002</v>
      </c>
      <c r="M50" s="9">
        <f t="shared" si="8"/>
        <v>5932.92</v>
      </c>
      <c r="N50" s="9">
        <f>IF((M50*(0.0075))&lt;30,-30,-(M50*(0.0075)))</f>
        <v>-44.496899999999997</v>
      </c>
      <c r="O50" s="9">
        <f>-(M50*0.0035)</f>
        <v>-20.765219999999999</v>
      </c>
      <c r="P50" s="9">
        <f t="shared" si="9"/>
        <v>5867.6578799999997</v>
      </c>
      <c r="Q50" s="9">
        <f t="shared" si="10"/>
        <v>86.761163999999994</v>
      </c>
      <c r="R50" s="9">
        <f t="shared" si="10"/>
        <v>34.513835999999998</v>
      </c>
      <c r="S50" s="9">
        <f>P50-L50</f>
        <v>719.5649999999996</v>
      </c>
      <c r="T50" s="10">
        <f>S50/L50</f>
        <v>0.13977311924488814</v>
      </c>
      <c r="U50" t="s">
        <v>58</v>
      </c>
      <c r="V50" t="s">
        <v>111</v>
      </c>
      <c r="AB50" s="56"/>
    </row>
    <row r="51" spans="2:28" x14ac:dyDescent="0.25">
      <c r="S51" s="56">
        <f>S50+SUM(S37:S40)+S43</f>
        <v>804.01499999999965</v>
      </c>
      <c r="T51" s="10">
        <f>S51/L50</f>
        <v>0.1561772521866388</v>
      </c>
    </row>
    <row r="52" spans="2:28" x14ac:dyDescent="0.25">
      <c r="E52" s="48"/>
      <c r="I52" s="48"/>
      <c r="J52" s="48"/>
      <c r="K52" s="48"/>
      <c r="L52" s="48"/>
      <c r="M52" s="48"/>
      <c r="N52" s="48"/>
      <c r="O52" s="48"/>
      <c r="P52" s="48"/>
      <c r="S52" s="48"/>
    </row>
    <row r="53" spans="2:28" x14ac:dyDescent="0.25">
      <c r="G53" s="5"/>
      <c r="H53" s="48"/>
      <c r="V53" t="s">
        <v>46</v>
      </c>
    </row>
    <row r="54" spans="2:28" x14ac:dyDescent="0.25">
      <c r="U54" t="s">
        <v>68</v>
      </c>
      <c r="V54">
        <v>26.25</v>
      </c>
      <c r="AB54" s="56"/>
    </row>
    <row r="55" spans="2:28" x14ac:dyDescent="0.25">
      <c r="I55" s="5"/>
      <c r="J55" s="5"/>
      <c r="K55" s="5"/>
      <c r="L55" s="5"/>
      <c r="M55" s="5"/>
      <c r="N55" s="5"/>
      <c r="O55" s="5"/>
      <c r="P55" s="5"/>
      <c r="Q55" s="5"/>
      <c r="S55" s="5"/>
      <c r="U55" t="s">
        <v>66</v>
      </c>
      <c r="V55">
        <v>30.27</v>
      </c>
      <c r="X55" t="s">
        <v>113</v>
      </c>
    </row>
    <row r="56" spans="2:28" x14ac:dyDescent="0.25">
      <c r="E56" t="s">
        <v>62</v>
      </c>
      <c r="F56">
        <v>74.89</v>
      </c>
      <c r="G56">
        <v>52</v>
      </c>
      <c r="H56" s="10">
        <f>1-(G56/F56)</f>
        <v>0.30564828415008682</v>
      </c>
      <c r="O56">
        <v>6769.84</v>
      </c>
      <c r="P56">
        <v>74.459999999999994</v>
      </c>
      <c r="Q56" s="5">
        <v>6695.38</v>
      </c>
      <c r="T56" s="10"/>
      <c r="U56" t="s">
        <v>67</v>
      </c>
      <c r="V56" s="3">
        <f>(V55/V54)-1</f>
        <v>0.15314285714285703</v>
      </c>
      <c r="W56" s="3"/>
      <c r="X56" t="s">
        <v>81</v>
      </c>
    </row>
    <row r="57" spans="2:28" x14ac:dyDescent="0.25">
      <c r="E57" t="s">
        <v>61</v>
      </c>
      <c r="F57">
        <v>182.08</v>
      </c>
      <c r="G57">
        <v>126</v>
      </c>
      <c r="H57" s="10">
        <f>1-(G57/F57)</f>
        <v>0.30799648506151145</v>
      </c>
      <c r="I57" s="5"/>
      <c r="J57" s="5"/>
      <c r="K57" s="5"/>
      <c r="L57" s="5"/>
      <c r="M57" s="5"/>
      <c r="N57" s="5"/>
      <c r="O57" s="5"/>
      <c r="P57" s="5"/>
      <c r="Q57" s="5">
        <f>Q56-L50</f>
        <v>1547.28712</v>
      </c>
      <c r="S57" s="5"/>
    </row>
    <row r="58" spans="2:28" x14ac:dyDescent="0.25">
      <c r="E58" t="s">
        <v>63</v>
      </c>
      <c r="F58">
        <v>93.54</v>
      </c>
      <c r="G58">
        <v>65</v>
      </c>
      <c r="H58" s="10">
        <f>1-(G58/F58)</f>
        <v>0.30511011332050464</v>
      </c>
      <c r="I58" s="9"/>
      <c r="J58" s="9"/>
      <c r="K58" s="9"/>
      <c r="L58" s="5"/>
      <c r="Q58" s="56">
        <f>Q57*0.1</f>
        <v>154.728712</v>
      </c>
    </row>
    <row r="59" spans="2:28" x14ac:dyDescent="0.25">
      <c r="D59" t="s">
        <v>107</v>
      </c>
      <c r="F59">
        <v>20</v>
      </c>
      <c r="G59">
        <v>14</v>
      </c>
      <c r="H59" s="10">
        <f>1-(G59/F59)</f>
        <v>0.30000000000000004</v>
      </c>
      <c r="Q59" s="56">
        <f>Q57-Q58</f>
        <v>1392.5584079999999</v>
      </c>
      <c r="S59" s="43"/>
    </row>
    <row r="60" spans="2:28" x14ac:dyDescent="0.25">
      <c r="G60" s="5"/>
      <c r="S60" s="9"/>
      <c r="T60">
        <f>(0.00242*12)</f>
        <v>2.9039999999999996E-2</v>
      </c>
    </row>
    <row r="61" spans="2:28" x14ac:dyDescent="0.25">
      <c r="P61" s="9"/>
      <c r="S61" s="45"/>
      <c r="T61">
        <f>4700*T60</f>
        <v>136.48799999999997</v>
      </c>
    </row>
    <row r="62" spans="2:28" x14ac:dyDescent="0.25">
      <c r="Q62" s="3"/>
      <c r="S62" s="50" t="s">
        <v>119</v>
      </c>
      <c r="T62" s="48" t="s">
        <v>120</v>
      </c>
      <c r="U62" s="5"/>
    </row>
    <row r="63" spans="2:28" ht="15.75" x14ac:dyDescent="0.25">
      <c r="G63" s="5"/>
      <c r="R63" t="s">
        <v>116</v>
      </c>
      <c r="S63" s="57" t="s">
        <v>148</v>
      </c>
      <c r="T63" s="49"/>
      <c r="U63" s="5"/>
    </row>
    <row r="64" spans="2:28" x14ac:dyDescent="0.25">
      <c r="F64" s="5"/>
      <c r="G64" s="5"/>
      <c r="R64" t="s">
        <v>117</v>
      </c>
      <c r="S64" s="57" t="s">
        <v>118</v>
      </c>
      <c r="T64" t="s">
        <v>121</v>
      </c>
    </row>
    <row r="65" spans="6:21" x14ac:dyDescent="0.25">
      <c r="F65" s="5"/>
      <c r="G65" s="5"/>
      <c r="H65" s="5"/>
      <c r="K65" t="s">
        <v>122</v>
      </c>
      <c r="S65" s="5"/>
      <c r="T65" t="s">
        <v>135</v>
      </c>
      <c r="U65" s="5"/>
    </row>
    <row r="66" spans="6:21" x14ac:dyDescent="0.25">
      <c r="K66" s="58">
        <v>43587</v>
      </c>
      <c r="S66" s="43"/>
    </row>
    <row r="67" spans="6:21" x14ac:dyDescent="0.25">
      <c r="K67" t="s">
        <v>123</v>
      </c>
      <c r="S67" s="44"/>
    </row>
    <row r="68" spans="6:21" x14ac:dyDescent="0.25">
      <c r="K68" t="s">
        <v>124</v>
      </c>
      <c r="M68" t="s">
        <v>147</v>
      </c>
      <c r="S68" s="57"/>
      <c r="T68">
        <f>5000/12</f>
        <v>416.66666666666669</v>
      </c>
    </row>
    <row r="69" spans="6:21" x14ac:dyDescent="0.25">
      <c r="K69" t="s">
        <v>125</v>
      </c>
      <c r="T69">
        <f>2.2/T68</f>
        <v>5.28E-3</v>
      </c>
    </row>
    <row r="70" spans="6:21" x14ac:dyDescent="0.25">
      <c r="K70" t="s">
        <v>126</v>
      </c>
      <c r="T70">
        <f>100*T69</f>
        <v>0.52800000000000002</v>
      </c>
    </row>
    <row r="71" spans="6:21" x14ac:dyDescent="0.25">
      <c r="K71" t="s">
        <v>127</v>
      </c>
      <c r="T71">
        <f>2.2*12</f>
        <v>26.400000000000002</v>
      </c>
    </row>
    <row r="72" spans="6:21" x14ac:dyDescent="0.25">
      <c r="K72" t="s">
        <v>128</v>
      </c>
    </row>
    <row r="73" spans="6:21" x14ac:dyDescent="0.25">
      <c r="K73" t="s">
        <v>129</v>
      </c>
    </row>
    <row r="74" spans="6:21" x14ac:dyDescent="0.25">
      <c r="K74" t="s">
        <v>130</v>
      </c>
    </row>
    <row r="75" spans="6:21" x14ac:dyDescent="0.25">
      <c r="K75" t="s">
        <v>131</v>
      </c>
    </row>
    <row r="76" spans="6:21" x14ac:dyDescent="0.25">
      <c r="K76" t="s">
        <v>132</v>
      </c>
    </row>
    <row r="77" spans="6:21" x14ac:dyDescent="0.25">
      <c r="K77" t="s">
        <v>133</v>
      </c>
    </row>
    <row r="78" spans="6:21" x14ac:dyDescent="0.25">
      <c r="K78" t="s">
        <v>134</v>
      </c>
    </row>
  </sheetData>
  <mergeCells count="5">
    <mergeCell ref="A11:R11"/>
    <mergeCell ref="A10:R10"/>
    <mergeCell ref="I19:L19"/>
    <mergeCell ref="M19:P19"/>
    <mergeCell ref="Q19:S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L13" sqref="L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74</v>
      </c>
      <c r="B2" s="55" t="s">
        <v>75</v>
      </c>
      <c r="C2" s="55" t="s">
        <v>76</v>
      </c>
      <c r="D2" s="55" t="s">
        <v>80</v>
      </c>
    </row>
    <row r="3" spans="1:5" x14ac:dyDescent="0.25">
      <c r="A3" t="s">
        <v>73</v>
      </c>
      <c r="B3" s="56">
        <f>1100</f>
        <v>1100</v>
      </c>
      <c r="C3" s="3">
        <f>B3/B$7</f>
        <v>0.27160493827160492</v>
      </c>
      <c r="D3" s="56">
        <f>D$7*C3</f>
        <v>0</v>
      </c>
    </row>
    <row r="4" spans="1:5" x14ac:dyDescent="0.25">
      <c r="A4" t="s">
        <v>77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78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115</v>
      </c>
      <c r="B6" s="56">
        <v>1050</v>
      </c>
      <c r="C6" s="3">
        <f t="shared" si="0"/>
        <v>0.25925925925925924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1</v>
      </c>
      <c r="D7" s="56">
        <v>0</v>
      </c>
      <c r="E7" t="s">
        <v>82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112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5"/>
  <sheetViews>
    <sheetView workbookViewId="0">
      <selection activeCell="C26" sqref="C26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79</v>
      </c>
    </row>
    <row r="4" spans="1:4" x14ac:dyDescent="0.25">
      <c r="A4" t="s">
        <v>83</v>
      </c>
    </row>
    <row r="5" spans="1:4" x14ac:dyDescent="0.25">
      <c r="A5" t="s">
        <v>84</v>
      </c>
    </row>
    <row r="6" spans="1:4" x14ac:dyDescent="0.25">
      <c r="A6" t="s">
        <v>85</v>
      </c>
    </row>
    <row r="7" spans="1:4" x14ac:dyDescent="0.25">
      <c r="A7" t="s">
        <v>110</v>
      </c>
    </row>
    <row r="8" spans="1:4" x14ac:dyDescent="0.25">
      <c r="A8" t="s">
        <v>86</v>
      </c>
    </row>
    <row r="9" spans="1:4" x14ac:dyDescent="0.25">
      <c r="A9" t="s">
        <v>87</v>
      </c>
    </row>
    <row r="10" spans="1:4" x14ac:dyDescent="0.25">
      <c r="A10" t="s">
        <v>114</v>
      </c>
    </row>
    <row r="15" spans="1:4" x14ac:dyDescent="0.25">
      <c r="A15" s="55" t="s">
        <v>88</v>
      </c>
      <c r="B15" s="55" t="s">
        <v>97</v>
      </c>
      <c r="C15" s="55" t="s">
        <v>96</v>
      </c>
      <c r="D15" s="55" t="s">
        <v>98</v>
      </c>
    </row>
    <row r="17" spans="1:4" x14ac:dyDescent="0.25">
      <c r="A17" t="s">
        <v>89</v>
      </c>
      <c r="B17" t="s">
        <v>99</v>
      </c>
      <c r="C17" t="s">
        <v>100</v>
      </c>
      <c r="D17" t="s">
        <v>103</v>
      </c>
    </row>
    <row r="18" spans="1:4" x14ac:dyDescent="0.25">
      <c r="A18" t="s">
        <v>90</v>
      </c>
      <c r="B18" t="s">
        <v>101</v>
      </c>
      <c r="C18" t="s">
        <v>104</v>
      </c>
      <c r="D18" t="s">
        <v>99</v>
      </c>
    </row>
    <row r="19" spans="1:4" x14ac:dyDescent="0.25">
      <c r="A19" t="s">
        <v>91</v>
      </c>
      <c r="B19" t="s">
        <v>105</v>
      </c>
      <c r="C19" t="s">
        <v>102</v>
      </c>
      <c r="D19" t="s">
        <v>103</v>
      </c>
    </row>
    <row r="20" spans="1:4" x14ac:dyDescent="0.25">
      <c r="A20" t="s">
        <v>92</v>
      </c>
      <c r="B20" t="s">
        <v>99</v>
      </c>
      <c r="C20" t="s">
        <v>104</v>
      </c>
      <c r="D20" t="s">
        <v>106</v>
      </c>
    </row>
    <row r="21" spans="1:4" x14ac:dyDescent="0.25">
      <c r="A21" t="s">
        <v>93</v>
      </c>
      <c r="B21" t="s">
        <v>99</v>
      </c>
      <c r="C21" t="s">
        <v>100</v>
      </c>
      <c r="D21" t="s">
        <v>106</v>
      </c>
    </row>
    <row r="22" spans="1:4" x14ac:dyDescent="0.25">
      <c r="A22" t="s">
        <v>94</v>
      </c>
      <c r="B22" t="s">
        <v>103</v>
      </c>
      <c r="C22" t="s">
        <v>102</v>
      </c>
      <c r="D22" t="s">
        <v>105</v>
      </c>
    </row>
    <row r="23" spans="1:4" x14ac:dyDescent="0.25">
      <c r="A23" t="s">
        <v>95</v>
      </c>
      <c r="B23" t="s">
        <v>99</v>
      </c>
      <c r="C23" t="s">
        <v>102</v>
      </c>
      <c r="D23" t="s">
        <v>99</v>
      </c>
    </row>
    <row r="24" spans="1:4" x14ac:dyDescent="0.25">
      <c r="A24" t="s">
        <v>55</v>
      </c>
      <c r="B24" t="s">
        <v>103</v>
      </c>
      <c r="C24" t="s">
        <v>100</v>
      </c>
      <c r="D24" t="s">
        <v>99</v>
      </c>
    </row>
    <row r="25" spans="1:4" x14ac:dyDescent="0.25">
      <c r="A25" t="s">
        <v>146</v>
      </c>
      <c r="B25" t="s">
        <v>103</v>
      </c>
      <c r="C25" t="s">
        <v>100</v>
      </c>
      <c r="D25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Operacion 1</vt:lpstr>
      <vt:lpstr>Operacion 2</vt:lpstr>
      <vt:lpstr>Operacion 3</vt:lpstr>
      <vt:lpstr>Historial</vt:lpstr>
      <vt:lpstr>Sheet1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2019-05-17T15:35:41Z</dcterms:modified>
</cp:coreProperties>
</file>