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9A80B528-DA9E-48E7-B792-EA3A9536410A}" xr6:coauthVersionLast="31" xr6:coauthVersionMax="31" xr10:uidLastSave="{00000000-0000-0000-0000-000000000000}"/>
  <bookViews>
    <workbookView xWindow="240" yWindow="105" windowWidth="14805" windowHeight="7785" activeTab="11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2" l="1"/>
  <c r="D52" i="12"/>
  <c r="E186" i="12" l="1"/>
  <c r="F50" i="12" l="1"/>
  <c r="D49" i="12" l="1"/>
  <c r="A426" i="12" l="1"/>
  <c r="AQ9" i="1"/>
  <c r="F206" i="12" l="1"/>
  <c r="AQ11" i="1" l="1"/>
  <c r="K25" i="12"/>
  <c r="K11" i="12" l="1"/>
  <c r="F366" i="11"/>
  <c r="D58" i="11" l="1"/>
  <c r="D59" i="11"/>
  <c r="AM9" i="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<sst xmlns="http://schemas.openxmlformats.org/spreadsheetml/2006/main" count="5394" uniqueCount="738">
  <si>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</si>
  <si>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</si>
  <si>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</si>
  <si>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</si>
  <si>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</si>
  <si>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</si>
  <si>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</si>
  <si>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</si>
  <si>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</si>
  <si>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</si>
  <si>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</si>
  <si>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</si>
  <si>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</si>
  <si>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</si>
  <si>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</si>
  <si>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</si>
  <si>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</si>
  <si>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</si>
  <si>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</si>
  <si>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</si>
  <si>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</si>
  <si>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</si>
  <si>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</si>
  <si>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</si>
  <si>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</si>
  <si>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</si>
  <si>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</si>
  <si>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</si>
  <si>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</si>
  <si>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</si>
  <si>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</si>
  <si>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</si>
  <si>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</si>
  <si>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</si>
  <si>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</si>
  <si>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</si>
  <si>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</si>
  <si>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</si>
  <si>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</si>
  <si>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</si>
  <si>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</si>
  <si>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</si>
  <si>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</si>
  <si>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</si>
  <si>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</si>
  <si>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</si>
  <si>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</si>
  <si>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</si>
  <si>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</si>
  <si>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</si>
  <si>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</si>
  <si>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</si>
  <si>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</si>
  <si>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</si>
  <si>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</si>
  <si>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</si>
  <si>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</si>
  <si>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</si>
  <si>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</si>
  <si>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</si>
  <si>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</si>
  <si>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</si>
  <si>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</si>
  <si>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</si>
  <si>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</si>
  <si>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</si>
  <si>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</si>
  <si>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</si>
  <si>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</si>
  <si>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</si>
  <si>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</si>
  <si>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</si>
  <si>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</si>
  <si>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</si>
  <si>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</si>
  <si>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</si>
  <si>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</si>
  <si>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</si>
  <si>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</si>
  <si>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</si>
  <si>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</si>
  <si>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</si>
  <si>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</si>
  <si>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</si>
  <si>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</si>
  <si>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</si>
  <si>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</si>
  <si>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</si>
  <si>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</si>
  <si>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</si>
  <si>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</si>
  <si>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</si>
  <si>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</si>
  <si>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</si>
  <si>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</si>
  <si>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</si>
  <si>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</si>
  <si>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</si>
  <si>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</si>
  <si>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</si>
  <si>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</si>
  <si>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</si>
  <si>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</si>
  <si>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</si>
  <si>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</si>
  <si>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</si>
  <si>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</si>
  <si>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</si>
  <si>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</si>
  <si>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</si>
  <si>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</si>
  <si>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</si>
  <si>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</si>
  <si>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</si>
  <si>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</si>
  <si>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</si>
  <si>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</si>
  <si>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</si>
  <si>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</si>
  <si>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</si>
  <si>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</si>
  <si>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</si>
  <si>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</si>
  <si>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</si>
  <si>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</si>
  <si>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</si>
  <si>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</si>
  <si>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</si>
  <si>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</si>
  <si>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</si>
  <si>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</si>
  <si>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</si>
  <si>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</si>
  <si>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</si>
  <si>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</si>
  <si>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</si>
  <si>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</si>
  <si>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</si>
  <si>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</si>
  <si>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</si>
  <si>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</si>
  <si>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</si>
  <si>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</si>
  <si>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</si>
  <si>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</si>
  <si>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</si>
  <si>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</si>
  <si>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</si>
  <si>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</si>
  <si>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</si>
  <si>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</si>
  <si>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</si>
  <si>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</si>
  <si>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</si>
  <si>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</si>
  <si>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</si>
  <si>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</si>
  <si>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</si>
  <si>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</si>
  <si>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</si>
  <si>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</si>
  <si>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</si>
  <si>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</si>
  <si>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</si>
  <si>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</si>
  <si>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</si>
  <si>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</si>
  <si>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</si>
  <si>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</si>
  <si>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</si>
  <si>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</si>
  <si>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</si>
  <si>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</si>
  <si>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</si>
  <si>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</si>
  <si>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</si>
  <si>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</si>
  <si>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</si>
  <si>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</si>
  <si>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</si>
  <si>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</si>
  <si>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</si>
  <si>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</si>
  <si>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</si>
  <si>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</si>
  <si>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</si>
  <si>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</si>
  <si>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</si>
  <si>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</si>
  <si>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</si>
  <si>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</si>
  <si>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</si>
  <si>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</si>
  <si>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</si>
  <si>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</si>
  <si>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</si>
  <si>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</si>
  <si>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</si>
  <si>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</si>
  <si>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</si>
  <si>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</si>
  <si>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</si>
  <si>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</si>
  <si>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</si>
  <si>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</si>
  <si>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</si>
  <si>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</si>
  <si>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</si>
  <si>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</si>
  <si>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</si>
  <si>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</si>
  <si>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</si>
  <si>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</si>
  <si>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</si>
  <si>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</si>
  <si>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</si>
  <si>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</si>
  <si>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</si>
  <si>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</si>
  <si>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</si>
  <si>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</si>
  <si>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</si>
  <si>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</si>
  <si>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</si>
  <si>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</si>
  <si>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</si>
  <si>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</si>
  <si>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</si>
  <si>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</si>
  <si>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</si>
  <si>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</si>
  <si>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</si>
  <si>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</si>
  <si>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</si>
  <si>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</si>
  <si>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</si>
  <si>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</si>
  <si>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</si>
  <si>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</si>
  <si>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</si>
  <si>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</si>
  <si>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</si>
  <si>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</si>
  <si>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</si>
  <si>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</si>
  <si>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</si>
  <si>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</si>
  <si>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</si>
  <si>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</si>
  <si>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</si>
  <si>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</si>
  <si>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</si>
  <si>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</si>
  <si>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</si>
  <si>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</si>
  <si>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</si>
  <si>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</si>
  <si>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</si>
  <si>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</si>
  <si>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</si>
  <si>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</si>
  <si>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</si>
  <si>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</si>
  <si>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</si>
  <si>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</si>
  <si>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</si>
  <si>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</si>
  <si>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</si>
  <si>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</si>
  <si>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</si>
  <si>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</si>
  <si>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</si>
  <si>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</si>
  <si>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</si>
  <si>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</si>
  <si>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</si>
  <si>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</si>
  <si>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</si>
  <si>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</si>
  <si>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</si>
  <si>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</si>
  <si>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</si>
  <si>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</si>
  <si>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</si>
  <si>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</si>
  <si>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</si>
  <si>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</si>
  <si>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</si>
  <si>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</si>
  <si>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</si>
  <si>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</si>
  <si>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</si>
  <si>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</si>
  <si>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</si>
  <si>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</si>
  <si>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</si>
  <si>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</si>
  <si>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</si>
  <si>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</si>
  <si>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</si>
  <si>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</si>
  <si>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</si>
  <si>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</si>
  <si>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</si>
  <si>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</si>
  <si>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</si>
  <si>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</si>
  <si>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</si>
  <si>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</si>
  <si>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</si>
  <si>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</si>
  <si>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</si>
  <si>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</si>
  <si>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</si>
  <si>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</si>
  <si>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</si>
  <si>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</si>
  <si>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</si>
  <si>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</si>
  <si>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</si>
  <si>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</si>
  <si>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</si>
  <si>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</si>
  <si>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</si>
  <si>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</si>
  <si>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</si>
  <si>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</si>
  <si>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</si>
  <si>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</si>
  <si>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</si>
  <si>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</si>
  <si>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</si>
  <si>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</si>
  <si>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</si>
  <si>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</si>
  <si>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</si>
  <si>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</si>
  <si>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</si>
  <si>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</si>
  <si>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</si>
  <si>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</si>
  <si>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</si>
  <si>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</si>
  <si>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</si>
  <si>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</si>
  <si>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</si>
  <si>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</si>
  <si>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</si>
  <si>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</si>
  <si>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</si>
  <si>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</si>
  <si>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</si>
  <si>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</si>
  <si>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</si>
  <si>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</si>
  <si>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</si>
  <si>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</si>
  <si>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</si>
  <si>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</si>
  <si>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</si>
  <si>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</si>
  <si>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</si>
  <si>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</si>
  <si>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</si>
  <si>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</si>
  <si>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</si>
  <si>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</si>
  <si>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</si>
  <si>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</si>
  <si>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</si>
  <si>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</si>
  <si>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</si>
  <si>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</si>
  <si>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</si>
  <si>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</si>
  <si>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</si>
  <si>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</si>
  <si>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</si>
  <si>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</si>
  <si>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</si>
  <si>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</si>
  <si>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</si>
  <si>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</si>
  <si>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</si>
  <si>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</si>
  <si>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</si>
  <si>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</si>
  <si>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</si>
  <si>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</si>
  <si>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</si>
  <si>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</si>
  <si>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</si>
  <si>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</si>
  <si>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</si>
  <si>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</si>
  <si>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</si>
  <si>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</si>
  <si>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</si>
  <si>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</si>
  <si>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</si>
  <si>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</si>
  <si>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</si>
  <si>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</si>
  <si>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</si>
  <si>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</si>
  <si>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</si>
  <si>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</si>
  <si>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</si>
  <si>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</si>
  <si>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</si>
  <si>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</si>
  <si>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</si>
  <si>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</si>
  <si>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</si>
  <si>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</si>
  <si>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</si>
  <si>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</si>
  <si>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</si>
  <si>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</si>
  <si>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</si>
  <si>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</si>
  <si>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</si>
  <si>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</si>
  <si>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</si>
  <si>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</si>
  <si>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</si>
  <si>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</si>
  <si>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</si>
  <si>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</si>
  <si>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</si>
  <si>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</si>
  <si>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</si>
  <si>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</si>
  <si>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</si>
  <si>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</si>
  <si>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</si>
  <si>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</si>
  <si>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</si>
  <si>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</si>
  <si>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</si>
  <si>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</si>
  <si>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</si>
  <si>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</si>
  <si>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</si>
  <si>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</si>
  <si>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</si>
  <si>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</si>
  <si>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</si>
  <si>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</si>
  <si>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</si>
  <si>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</si>
  <si>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</si>
  <si>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</si>
  <si>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</si>
  <si>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</si>
  <si>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</si>
  <si>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</si>
  <si>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</si>
  <si>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</si>
  <si>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</si>
  <si>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</si>
  <si>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</si>
  <si>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</si>
  <si>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</si>
  <si>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</si>
  <si>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</si>
  <si>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</si>
  <si>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</si>
  <si>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</si>
  <si>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</si>
  <si>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</si>
  <si>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</si>
  <si>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</si>
  <si>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</si>
  <si>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</si>
  <si>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</si>
  <si>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</si>
  <si>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</si>
  <si>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</si>
  <si>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</si>
  <si>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</si>
  <si>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</si>
  <si>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</si>
  <si>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</si>
  <si>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</si>
  <si>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</si>
  <si>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</si>
  <si>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</si>
  <si>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</si>
  <si>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</si>
  <si>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</si>
  <si>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</si>
  <si>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</si>
  <si>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</si>
  <si>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</si>
  <si>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</si>
  <si>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</si>
  <si>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</si>
  <si>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</si>
  <si>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</si>
  <si>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</si>
  <si>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</si>
  <si>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</si>
  <si>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</si>
  <si>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</si>
  <si>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</si>
  <si>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</si>
  <si>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</si>
  <si>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</si>
  <si>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</si>
  <si>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</si>
  <si>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</si>
  <si>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</si>
  <si>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</si>
  <si>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</si>
  <si>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</si>
  <si>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</si>
  <si>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</si>
  <si>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</si>
  <si>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</si>
  <si>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</si>
  <si>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</si>
  <si>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</si>
  <si>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</si>
  <si>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</si>
  <si>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</si>
  <si>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</si>
  <si>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</si>
  <si>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</si>
  <si>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</si>
  <si>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</si>
  <si>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</si>
  <si>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</si>
  <si>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</si>
  <si>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</si>
  <si>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</si>
  <si>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</si>
  <si>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</si>
  <si>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</si>
  <si>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</si>
  <si>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</si>
  <si>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</si>
  <si>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</si>
  <si>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</si>
  <si>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</si>
  <si>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</si>
  <si>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</si>
  <si>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</si>
  <si>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</si>
  <si>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</si>
  <si>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</si>
  <si>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</si>
  <si>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</si>
  <si>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</si>
  <si>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</si>
  <si>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</si>
  <si>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</si>
  <si>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</si>
  <si>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</si>
  <si>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</si>
  <si>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</si>
  <si>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</si>
  <si>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</si>
  <si>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</si>
  <si>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</si>
  <si>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</si>
  <si>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</si>
  <si>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</si>
  <si>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</si>
  <si>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</si>
  <si>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</si>
  <si>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</si>
  <si>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</si>
  <si>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</si>
  <si>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</si>
  <si>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</si>
  <si>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</si>
  <si>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</si>
  <si>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</si>
  <si>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</si>
  <si>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</si>
  <si>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</si>
  <si>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</si>
  <si>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</si>
  <si>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</si>
  <si>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</si>
  <si>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</si>
  <si>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</si>
  <si>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</si>
  <si>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</si>
  <si>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</si>
  <si>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</si>
  <si>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</si>
  <si>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</si>
  <si>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</si>
  <si>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</si>
  <si>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</si>
  <si>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</si>
  <si>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</si>
  <si>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</si>
  <si>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</si>
  <si>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</si>
  <si>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</si>
  <si>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</si>
  <si>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</si>
  <si>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</si>
  <si>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</si>
  <si>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</si>
  <si>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</si>
  <si>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</si>
  <si>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</si>
  <si>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</si>
  <si>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</si>
  <si>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</si>
  <si>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</si>
  <si>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</si>
  <si>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</si>
  <si>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</si>
  <si>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</si>
  <si>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</si>
  <si>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</si>
  <si>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</si>
  <si>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</si>
  <si>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</si>
  <si>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</si>
  <si>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</si>
  <si>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</si>
  <si>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</si>
  <si>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</si>
  <si>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</si>
  <si>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</si>
  <si>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</si>
  <si>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</si>
  <si>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</si>
  <si>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</si>
  <si>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</si>
  <si>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</si>
  <si>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</si>
  <si>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</si>
  <si>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</si>
  <si>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</si>
  <si>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</si>
  <si>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</si>
  <si>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</si>
  <si>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</si>
  <si>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</si>
  <si>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</si>
  <si>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</si>
  <si>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</si>
  <si>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</si>
  <si>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</si>
  <si>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</si>
  <si>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</si>
  <si>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</si>
  <si>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</si>
  <si>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</si>
  <si>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</si>
  <si>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</si>
  <si>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</si>
  <si>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</si>
  <si>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</si>
  <si>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</si>
  <si>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</si>
  <si>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</si>
  <si>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</si>
  <si>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</si>
  <si>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</si>
  <si>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</si>
  <si>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</si>
  <si>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</si>
  <si>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</si>
  <si>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</si>
  <si>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</si>
  <si>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</si>
  <si>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</si>
  <si>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</si>
  <si>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</si>
  <si>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</si>
  <si>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</si>
  <si>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</si>
  <si>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</si>
  <si>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</si>
  <si>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</si>
  <si>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</si>
  <si>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</si>
  <si>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</si>
  <si>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</si>
  <si>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</si>
  <si>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</si>
  <si>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</si>
  <si>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</si>
  <si>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</si>
  <si>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</si>
  <si>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</si>
  <si>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</si>
  <si>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</si>
  <si>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</si>
  <si>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</si>
  <si>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</si>
  <si>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</si>
  <si>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</si>
  <si>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</si>
  <si>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</si>
  <si>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</si>
  <si>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</si>
  <si>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</si>
  <si>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</si>
  <si>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</si>
  <si>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</si>
  <si>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</si>
  <si>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</si>
  <si>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</si>
  <si>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</si>
  <si>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</si>
  <si>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</si>
  <si>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</si>
  <si>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</si>
  <si>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</si>
  <si>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</si>
  <si>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</si>
  <si>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</si>
  <si>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</si>
  <si>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</si>
  <si>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</si>
  <si>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</si>
  <si>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</si>
  <si>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</si>
  <si>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Mafi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</si>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</sst>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16" zoomScaleNormal="100" workbookViewId="0">
      <pane xSplit="1" topLeftCell="AO1" activePane="topRight" state="frozen"/>
      <selection pane="topRight" activeCell="AQ24" sqref="AQ2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99</v>
      </c>
      <c r="T4" s="237"/>
      <c r="U4" s="237"/>
      <c r="V4" s="238"/>
      <c r="W4" s="236" t="s">
        <v>95</v>
      </c>
      <c r="X4" s="237"/>
      <c r="Y4" s="237"/>
      <c r="Z4" s="238"/>
      <c r="AA4" s="236" t="s">
        <v>103</v>
      </c>
      <c r="AB4" s="237"/>
      <c r="AC4" s="237"/>
      <c r="AD4" s="238"/>
      <c r="AE4" s="236" t="s">
        <v>104</v>
      </c>
      <c r="AF4" s="237"/>
      <c r="AG4" s="237"/>
      <c r="AH4" s="238"/>
      <c r="AI4" s="236" t="s">
        <v>107</v>
      </c>
      <c r="AJ4" s="237"/>
      <c r="AK4" s="237"/>
      <c r="AL4" s="238"/>
      <c r="AM4" s="236" t="s">
        <v>109</v>
      </c>
      <c r="AN4" s="237"/>
      <c r="AO4" s="237"/>
      <c r="AP4" s="238"/>
      <c r="AQ4" s="236" t="s">
        <v>113</v>
      </c>
      <c r="AR4" s="237"/>
      <c r="AS4" s="237"/>
      <c r="AT4" s="238"/>
      <c r="AU4" s="236" t="s">
        <v>118</v>
      </c>
      <c r="AV4" s="237"/>
      <c r="AW4" s="237"/>
      <c r="AX4" s="238"/>
      <c r="AY4" s="1"/>
      <c r="AZ4" s="1"/>
      <c r="BA4" s="1"/>
      <c r="BB4" s="1"/>
    </row>
    <row r="5" spans="1:56" ht="16.5" thickBot="1">
      <c r="A5" s="6" t="s">
        <v>5</v>
      </c>
      <c r="B5" s="65"/>
      <c r="C5" s="239">
        <f>'01'!K19</f>
        <v>17336.68</v>
      </c>
      <c r="D5" s="240"/>
      <c r="E5" s="240"/>
      <c r="F5" s="241"/>
      <c r="G5" s="239">
        <f>'02'!K19</f>
        <v>20217</v>
      </c>
      <c r="H5" s="240"/>
      <c r="I5" s="240"/>
      <c r="J5" s="241"/>
      <c r="K5" s="248">
        <f>'03'!K19</f>
        <v>21214.57</v>
      </c>
      <c r="L5" s="240"/>
      <c r="M5" s="240"/>
      <c r="N5" s="241"/>
      <c r="O5" s="248">
        <f>'04'!K19</f>
        <v>20719.909999999996</v>
      </c>
      <c r="P5" s="240"/>
      <c r="Q5" s="240"/>
      <c r="R5" s="241"/>
      <c r="S5" s="248">
        <f>'05'!K19</f>
        <v>22905.86</v>
      </c>
      <c r="T5" s="240"/>
      <c r="U5" s="240"/>
      <c r="V5" s="241"/>
      <c r="W5" s="248">
        <f>'06'!K19</f>
        <v>23622.14</v>
      </c>
      <c r="X5" s="240"/>
      <c r="Y5" s="240"/>
      <c r="Z5" s="241"/>
      <c r="AA5" s="248">
        <f>'07'!K19</f>
        <v>24911.559999999998</v>
      </c>
      <c r="AB5" s="240"/>
      <c r="AC5" s="240"/>
      <c r="AD5" s="241"/>
      <c r="AE5" s="248">
        <f>'08'!K19</f>
        <v>24488.75</v>
      </c>
      <c r="AF5" s="240"/>
      <c r="AG5" s="240"/>
      <c r="AH5" s="241"/>
      <c r="AI5" s="248">
        <f>'09'!K19</f>
        <v>24613.260000000002</v>
      </c>
      <c r="AJ5" s="240"/>
      <c r="AK5" s="240"/>
      <c r="AL5" s="241"/>
      <c r="AM5" s="248">
        <f>'10'!K19</f>
        <v>23755.86</v>
      </c>
      <c r="AN5" s="240"/>
      <c r="AO5" s="240"/>
      <c r="AP5" s="241"/>
      <c r="AQ5" s="248">
        <f>'11'!K19</f>
        <v>23313.940000000002</v>
      </c>
      <c r="AR5" s="240"/>
      <c r="AS5" s="240"/>
      <c r="AT5" s="241"/>
      <c r="AU5" s="248">
        <f>'12'!K19</f>
        <v>15101.890000000001</v>
      </c>
      <c r="AV5" s="240"/>
      <c r="AW5" s="240"/>
      <c r="AX5" s="241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2" t="s">
        <v>7</v>
      </c>
      <c r="D7" s="243"/>
      <c r="E7" s="243"/>
      <c r="F7" s="244"/>
      <c r="G7" s="242" t="s">
        <v>7</v>
      </c>
      <c r="H7" s="243"/>
      <c r="I7" s="243"/>
      <c r="J7" s="244"/>
      <c r="K7" s="242" t="s">
        <v>7</v>
      </c>
      <c r="L7" s="243"/>
      <c r="M7" s="243"/>
      <c r="N7" s="244"/>
      <c r="O7" s="242" t="s">
        <v>7</v>
      </c>
      <c r="P7" s="243"/>
      <c r="Q7" s="243"/>
      <c r="R7" s="244"/>
      <c r="S7" s="242" t="s">
        <v>7</v>
      </c>
      <c r="T7" s="243"/>
      <c r="U7" s="243"/>
      <c r="V7" s="244"/>
      <c r="W7" s="242" t="s">
        <v>7</v>
      </c>
      <c r="X7" s="243"/>
      <c r="Y7" s="243"/>
      <c r="Z7" s="244"/>
      <c r="AA7" s="242" t="s">
        <v>7</v>
      </c>
      <c r="AB7" s="243"/>
      <c r="AC7" s="243"/>
      <c r="AD7" s="244"/>
      <c r="AE7" s="242" t="s">
        <v>7</v>
      </c>
      <c r="AF7" s="243"/>
      <c r="AG7" s="243"/>
      <c r="AH7" s="244"/>
      <c r="AI7" s="242" t="s">
        <v>7</v>
      </c>
      <c r="AJ7" s="243"/>
      <c r="AK7" s="243"/>
      <c r="AL7" s="244"/>
      <c r="AM7" s="242" t="s">
        <v>7</v>
      </c>
      <c r="AN7" s="243"/>
      <c r="AO7" s="243"/>
      <c r="AP7" s="244"/>
      <c r="AQ7" s="242" t="s">
        <v>7</v>
      </c>
      <c r="AR7" s="243"/>
      <c r="AS7" s="243"/>
      <c r="AT7" s="244"/>
      <c r="AU7" s="242" t="s">
        <v>7</v>
      </c>
      <c r="AV7" s="243"/>
      <c r="AW7" s="243"/>
      <c r="AX7" s="244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45">
        <v>2317.46</v>
      </c>
      <c r="D8" s="246"/>
      <c r="E8" s="246"/>
      <c r="F8" s="247"/>
      <c r="G8" s="245">
        <f>2317.46+1638.24</f>
        <v>3955.7</v>
      </c>
      <c r="H8" s="246"/>
      <c r="I8" s="246"/>
      <c r="J8" s="247"/>
      <c r="K8" s="245">
        <v>2320.84</v>
      </c>
      <c r="L8" s="246"/>
      <c r="M8" s="246"/>
      <c r="N8" s="247"/>
      <c r="O8" s="245">
        <v>2325.9</v>
      </c>
      <c r="P8" s="246"/>
      <c r="Q8" s="246"/>
      <c r="R8" s="247"/>
      <c r="S8" s="245">
        <v>2321.1799999999998</v>
      </c>
      <c r="T8" s="246"/>
      <c r="U8" s="246"/>
      <c r="V8" s="247"/>
      <c r="W8" s="245">
        <v>3973.79</v>
      </c>
      <c r="X8" s="246"/>
      <c r="Y8" s="246"/>
      <c r="Z8" s="247"/>
      <c r="AA8" s="245">
        <v>2328.91</v>
      </c>
      <c r="AB8" s="246"/>
      <c r="AC8" s="246"/>
      <c r="AD8" s="247"/>
      <c r="AE8" s="245">
        <v>2318.6999999999998</v>
      </c>
      <c r="AF8" s="246"/>
      <c r="AG8" s="246"/>
      <c r="AH8" s="247"/>
      <c r="AI8" s="245">
        <v>2328.61</v>
      </c>
      <c r="AJ8" s="246"/>
      <c r="AK8" s="246"/>
      <c r="AL8" s="247"/>
      <c r="AM8" s="245">
        <v>2328.61</v>
      </c>
      <c r="AN8" s="246"/>
      <c r="AO8" s="246"/>
      <c r="AP8" s="247"/>
      <c r="AQ8" s="245"/>
      <c r="AR8" s="246"/>
      <c r="AS8" s="246"/>
      <c r="AT8" s="247"/>
      <c r="AU8" s="245"/>
      <c r="AV8" s="246"/>
      <c r="AW8" s="246"/>
      <c r="AX8" s="247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33">
        <f>72.66+314.12</f>
        <v>386.78</v>
      </c>
      <c r="D9" s="234"/>
      <c r="E9" s="234"/>
      <c r="F9" s="235"/>
      <c r="G9" s="233">
        <f>176.46</f>
        <v>176.46</v>
      </c>
      <c r="H9" s="234"/>
      <c r="I9" s="234"/>
      <c r="J9" s="235"/>
      <c r="K9" s="233">
        <f>259.63+176.46</f>
        <v>436.09000000000003</v>
      </c>
      <c r="L9" s="234"/>
      <c r="M9" s="234"/>
      <c r="N9" s="235"/>
      <c r="O9" s="233">
        <f>249.22+197.22+325.64</f>
        <v>772.07999999999993</v>
      </c>
      <c r="P9" s="234"/>
      <c r="Q9" s="234"/>
      <c r="R9" s="235"/>
      <c r="S9" s="233">
        <f>155.7+267.29</f>
        <v>422.99</v>
      </c>
      <c r="T9" s="234"/>
      <c r="U9" s="234"/>
      <c r="V9" s="235"/>
      <c r="W9" s="233">
        <f>197.22</f>
        <v>197.22</v>
      </c>
      <c r="X9" s="234"/>
      <c r="Y9" s="234"/>
      <c r="Z9" s="235"/>
      <c r="AA9" s="233">
        <f>786.42+134.94+83.04</f>
        <v>1004.3999999999999</v>
      </c>
      <c r="AB9" s="234"/>
      <c r="AC9" s="234"/>
      <c r="AD9" s="235"/>
      <c r="AE9" s="233">
        <f>269.88</f>
        <v>269.88</v>
      </c>
      <c r="AF9" s="234"/>
      <c r="AG9" s="234"/>
      <c r="AH9" s="235"/>
      <c r="AI9" s="233">
        <v>280.26</v>
      </c>
      <c r="AJ9" s="234"/>
      <c r="AK9" s="234"/>
      <c r="AL9" s="235"/>
      <c r="AM9" s="233">
        <f>'10'!K25+'10'!K28+'10'!K29</f>
        <v>534.53</v>
      </c>
      <c r="AN9" s="234"/>
      <c r="AO9" s="234"/>
      <c r="AP9" s="235"/>
      <c r="AQ9" s="233">
        <f>'11'!K26+'11'!K27</f>
        <v>686.47</v>
      </c>
      <c r="AR9" s="234"/>
      <c r="AS9" s="234"/>
      <c r="AT9" s="235"/>
      <c r="AU9" s="233"/>
      <c r="AV9" s="234"/>
      <c r="AW9" s="234"/>
      <c r="AX9" s="235"/>
      <c r="AY9" s="14">
        <f t="shared" ref="AY9:AY15" si="1">SUM(C9:AX9)</f>
        <v>5167.16</v>
      </c>
      <c r="AZ9" s="163">
        <f t="shared" ca="1" si="0"/>
        <v>469.74181818181819</v>
      </c>
      <c r="BA9" s="1"/>
      <c r="BB9" s="1"/>
    </row>
    <row r="10" spans="1:56" ht="15.75">
      <c r="A10" s="15" t="s">
        <v>126</v>
      </c>
      <c r="B10" s="201">
        <v>723.38</v>
      </c>
      <c r="C10" s="230">
        <v>90.43</v>
      </c>
      <c r="D10" s="231"/>
      <c r="E10" s="231"/>
      <c r="F10" s="232"/>
      <c r="G10" s="230">
        <f>1117.39-956.06</f>
        <v>161.33000000000015</v>
      </c>
      <c r="H10" s="231"/>
      <c r="I10" s="231"/>
      <c r="J10" s="232"/>
      <c r="K10" s="230">
        <v>285.58</v>
      </c>
      <c r="L10" s="231"/>
      <c r="M10" s="231"/>
      <c r="N10" s="232"/>
      <c r="O10" s="230">
        <f>275.29+42.8</f>
        <v>318.09000000000003</v>
      </c>
      <c r="P10" s="231"/>
      <c r="Q10" s="231"/>
      <c r="R10" s="232"/>
      <c r="S10" s="230">
        <f>421.56</f>
        <v>421.56</v>
      </c>
      <c r="T10" s="231"/>
      <c r="U10" s="231"/>
      <c r="V10" s="232"/>
      <c r="W10" s="230">
        <v>341.74</v>
      </c>
      <c r="X10" s="231"/>
      <c r="Y10" s="231"/>
      <c r="Z10" s="232"/>
      <c r="AA10" s="230">
        <v>234.71</v>
      </c>
      <c r="AB10" s="231"/>
      <c r="AC10" s="231"/>
      <c r="AD10" s="232"/>
      <c r="AE10" s="230">
        <v>83.23</v>
      </c>
      <c r="AF10" s="231"/>
      <c r="AG10" s="231"/>
      <c r="AH10" s="232"/>
      <c r="AI10" s="230">
        <f>300+99.65</f>
        <v>399.65</v>
      </c>
      <c r="AJ10" s="231"/>
      <c r="AK10" s="231"/>
      <c r="AL10" s="232"/>
      <c r="AM10" s="230">
        <v>246.4</v>
      </c>
      <c r="AN10" s="231"/>
      <c r="AO10" s="231"/>
      <c r="AP10" s="232"/>
      <c r="AQ10" s="230"/>
      <c r="AR10" s="231"/>
      <c r="AS10" s="231"/>
      <c r="AT10" s="232"/>
      <c r="AU10" s="230"/>
      <c r="AV10" s="231"/>
      <c r="AW10" s="231"/>
      <c r="AX10" s="232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33">
        <f>1.01+0.04+2831.41+0.05</f>
        <v>2832.51</v>
      </c>
      <c r="D11" s="234"/>
      <c r="E11" s="234"/>
      <c r="F11" s="235"/>
      <c r="G11" s="233"/>
      <c r="H11" s="234"/>
      <c r="I11" s="234"/>
      <c r="J11" s="235"/>
      <c r="K11" s="233"/>
      <c r="L11" s="234"/>
      <c r="M11" s="234"/>
      <c r="N11" s="235"/>
      <c r="O11" s="233">
        <v>0.03</v>
      </c>
      <c r="P11" s="234"/>
      <c r="Q11" s="234"/>
      <c r="R11" s="235"/>
      <c r="S11" s="233">
        <f>38.64</f>
        <v>38.64</v>
      </c>
      <c r="T11" s="234"/>
      <c r="U11" s="234"/>
      <c r="V11" s="235"/>
      <c r="W11" s="233"/>
      <c r="X11" s="234"/>
      <c r="Y11" s="234"/>
      <c r="Z11" s="235"/>
      <c r="AA11" s="233">
        <f>0.02</f>
        <v>0.02</v>
      </c>
      <c r="AB11" s="234"/>
      <c r="AC11" s="234"/>
      <c r="AD11" s="235"/>
      <c r="AE11" s="233"/>
      <c r="AF11" s="234"/>
      <c r="AG11" s="234"/>
      <c r="AH11" s="235"/>
      <c r="AI11" s="233"/>
      <c r="AJ11" s="234"/>
      <c r="AK11" s="234"/>
      <c r="AL11" s="235"/>
      <c r="AM11" s="233">
        <f>'10'!K27</f>
        <v>0.06</v>
      </c>
      <c r="AN11" s="234"/>
      <c r="AO11" s="234"/>
      <c r="AP11" s="235"/>
      <c r="AQ11" s="233">
        <f>'11'!K25</f>
        <v>35.619999999999997</v>
      </c>
      <c r="AR11" s="234"/>
      <c r="AS11" s="234"/>
      <c r="AT11" s="235"/>
      <c r="AU11" s="233"/>
      <c r="AV11" s="234"/>
      <c r="AW11" s="234"/>
      <c r="AX11" s="235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30">
        <f>700+50+449</f>
        <v>1199</v>
      </c>
      <c r="D12" s="231"/>
      <c r="E12" s="231"/>
      <c r="F12" s="232"/>
      <c r="G12" s="230">
        <v>447.43</v>
      </c>
      <c r="H12" s="231"/>
      <c r="I12" s="231"/>
      <c r="J12" s="232"/>
      <c r="K12" s="230"/>
      <c r="L12" s="231"/>
      <c r="M12" s="231"/>
      <c r="N12" s="232"/>
      <c r="O12" s="230">
        <f>80.1</f>
        <v>80.099999999999994</v>
      </c>
      <c r="P12" s="231"/>
      <c r="Q12" s="231"/>
      <c r="R12" s="232"/>
      <c r="S12" s="230"/>
      <c r="T12" s="231"/>
      <c r="U12" s="231"/>
      <c r="V12" s="232"/>
      <c r="W12" s="230">
        <f>200</f>
        <v>200</v>
      </c>
      <c r="X12" s="231"/>
      <c r="Y12" s="231"/>
      <c r="Z12" s="232"/>
      <c r="AA12" s="230">
        <f>106.3</f>
        <v>106.3</v>
      </c>
      <c r="AB12" s="231"/>
      <c r="AC12" s="231"/>
      <c r="AD12" s="232"/>
      <c r="AE12" s="230"/>
      <c r="AF12" s="231"/>
      <c r="AG12" s="231"/>
      <c r="AH12" s="232"/>
      <c r="AI12" s="230">
        <v>500</v>
      </c>
      <c r="AJ12" s="231"/>
      <c r="AK12" s="231"/>
      <c r="AL12" s="232"/>
      <c r="AM12" s="230"/>
      <c r="AN12" s="231"/>
      <c r="AO12" s="231"/>
      <c r="AP12" s="232"/>
      <c r="AQ12" s="230"/>
      <c r="AR12" s="231"/>
      <c r="AS12" s="231"/>
      <c r="AT12" s="232"/>
      <c r="AU12" s="230"/>
      <c r="AV12" s="231"/>
      <c r="AW12" s="231"/>
      <c r="AX12" s="232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33">
        <f>93.93</f>
        <v>93.93</v>
      </c>
      <c r="D13" s="234"/>
      <c r="E13" s="234"/>
      <c r="F13" s="235"/>
      <c r="G13" s="233">
        <f>93.93</f>
        <v>93.93</v>
      </c>
      <c r="H13" s="234"/>
      <c r="I13" s="234"/>
      <c r="J13" s="235"/>
      <c r="K13" s="233">
        <f>93.93</f>
        <v>93.93</v>
      </c>
      <c r="L13" s="234"/>
      <c r="M13" s="234"/>
      <c r="N13" s="235"/>
      <c r="O13" s="233">
        <f>93.93+2290.23</f>
        <v>2384.16</v>
      </c>
      <c r="P13" s="234"/>
      <c r="Q13" s="234"/>
      <c r="R13" s="235"/>
      <c r="S13" s="233">
        <f>93.93</f>
        <v>93.93</v>
      </c>
      <c r="T13" s="234"/>
      <c r="U13" s="234"/>
      <c r="V13" s="235"/>
      <c r="W13" s="233">
        <f>93.93</f>
        <v>93.93</v>
      </c>
      <c r="X13" s="234"/>
      <c r="Y13" s="234"/>
      <c r="Z13" s="235"/>
      <c r="AA13" s="233">
        <f>93.93</f>
        <v>93.93</v>
      </c>
      <c r="AB13" s="234"/>
      <c r="AC13" s="234"/>
      <c r="AD13" s="235"/>
      <c r="AE13" s="233">
        <v>114.74</v>
      </c>
      <c r="AF13" s="234"/>
      <c r="AG13" s="234"/>
      <c r="AH13" s="235"/>
      <c r="AI13" s="233">
        <v>93.93</v>
      </c>
      <c r="AJ13" s="234"/>
      <c r="AK13" s="234"/>
      <c r="AL13" s="235"/>
      <c r="AM13" s="233">
        <v>95.8</v>
      </c>
      <c r="AN13" s="234"/>
      <c r="AO13" s="234"/>
      <c r="AP13" s="235"/>
      <c r="AQ13" s="233">
        <v>95.8</v>
      </c>
      <c r="AR13" s="234"/>
      <c r="AS13" s="234"/>
      <c r="AT13" s="235"/>
      <c r="AU13" s="233"/>
      <c r="AV13" s="234"/>
      <c r="AW13" s="234"/>
      <c r="AX13" s="235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30"/>
      <c r="D14" s="231"/>
      <c r="E14" s="231"/>
      <c r="F14" s="232"/>
      <c r="G14" s="230">
        <f>27.27+13.86+8.75+34.09</f>
        <v>83.97</v>
      </c>
      <c r="H14" s="231"/>
      <c r="I14" s="231"/>
      <c r="J14" s="232"/>
      <c r="K14" s="230"/>
      <c r="L14" s="231"/>
      <c r="M14" s="231"/>
      <c r="N14" s="232"/>
      <c r="O14" s="230">
        <f>25+27.27+16.9+26.12</f>
        <v>95.289999999999992</v>
      </c>
      <c r="P14" s="231"/>
      <c r="Q14" s="231"/>
      <c r="R14" s="232"/>
      <c r="S14" s="230">
        <f>22.09+27.27</f>
        <v>49.36</v>
      </c>
      <c r="T14" s="231"/>
      <c r="U14" s="231"/>
      <c r="V14" s="232"/>
      <c r="W14" s="230">
        <f>8.75+27.27+27.27</f>
        <v>63.289999999999992</v>
      </c>
      <c r="X14" s="231"/>
      <c r="Y14" s="231"/>
      <c r="Z14" s="232"/>
      <c r="AA14" s="230"/>
      <c r="AB14" s="231"/>
      <c r="AC14" s="231"/>
      <c r="AD14" s="232"/>
      <c r="AE14" s="230"/>
      <c r="AF14" s="231"/>
      <c r="AG14" s="231"/>
      <c r="AH14" s="232"/>
      <c r="AI14" s="230"/>
      <c r="AJ14" s="231"/>
      <c r="AK14" s="231"/>
      <c r="AL14" s="232"/>
      <c r="AM14" s="230"/>
      <c r="AN14" s="231"/>
      <c r="AO14" s="231"/>
      <c r="AP14" s="232"/>
      <c r="AQ14" s="230"/>
      <c r="AR14" s="231"/>
      <c r="AS14" s="231"/>
      <c r="AT14" s="232"/>
      <c r="AU14" s="230"/>
      <c r="AV14" s="231"/>
      <c r="AW14" s="231"/>
      <c r="AX14" s="232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33">
        <v>648.49</v>
      </c>
      <c r="D15" s="234"/>
      <c r="E15" s="234"/>
      <c r="F15" s="235"/>
      <c r="G15" s="233">
        <v>550</v>
      </c>
      <c r="H15" s="234"/>
      <c r="I15" s="234"/>
      <c r="J15" s="235"/>
      <c r="K15" s="233">
        <v>690</v>
      </c>
      <c r="L15" s="234"/>
      <c r="M15" s="234"/>
      <c r="N15" s="235"/>
      <c r="O15" s="233">
        <f>550</f>
        <v>550</v>
      </c>
      <c r="P15" s="234"/>
      <c r="Q15" s="234"/>
      <c r="R15" s="235"/>
      <c r="S15" s="233">
        <v>650.01</v>
      </c>
      <c r="T15" s="234"/>
      <c r="U15" s="234"/>
      <c r="V15" s="235"/>
      <c r="W15" s="233">
        <v>568.34</v>
      </c>
      <c r="X15" s="234"/>
      <c r="Y15" s="234"/>
      <c r="Z15" s="235"/>
      <c r="AA15" s="233">
        <v>632.86</v>
      </c>
      <c r="AB15" s="234"/>
      <c r="AC15" s="234"/>
      <c r="AD15" s="235"/>
      <c r="AE15" s="233">
        <v>550</v>
      </c>
      <c r="AF15" s="234"/>
      <c r="AG15" s="234"/>
      <c r="AH15" s="235"/>
      <c r="AI15" s="233">
        <v>586.85</v>
      </c>
      <c r="AJ15" s="234"/>
      <c r="AK15" s="234"/>
      <c r="AL15" s="235"/>
      <c r="AM15" s="252">
        <f>'10'!K26</f>
        <v>550</v>
      </c>
      <c r="AN15" s="234"/>
      <c r="AO15" s="234"/>
      <c r="AP15" s="235"/>
      <c r="AQ15" s="233">
        <v>644.96</v>
      </c>
      <c r="AR15" s="234"/>
      <c r="AS15" s="234"/>
      <c r="AT15" s="235"/>
      <c r="AU15" s="233"/>
      <c r="AV15" s="234"/>
      <c r="AW15" s="234"/>
      <c r="AX15" s="235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53">
        <f>SUM(C8:C16)</f>
        <v>9364.27</v>
      </c>
      <c r="D17" s="254"/>
      <c r="E17" s="254"/>
      <c r="F17" s="255"/>
      <c r="G17" s="253">
        <f>SUM(G8:G16)</f>
        <v>5516.3400000000011</v>
      </c>
      <c r="H17" s="254"/>
      <c r="I17" s="254"/>
      <c r="J17" s="255"/>
      <c r="K17" s="253">
        <f>SUM(K8:K16)</f>
        <v>3826.44</v>
      </c>
      <c r="L17" s="254"/>
      <c r="M17" s="254"/>
      <c r="N17" s="255"/>
      <c r="O17" s="253">
        <f>SUM(O8:O16)</f>
        <v>6525.6500000000005</v>
      </c>
      <c r="P17" s="254"/>
      <c r="Q17" s="254"/>
      <c r="R17" s="255"/>
      <c r="S17" s="253">
        <f>SUM(S8:S16)</f>
        <v>3997.67</v>
      </c>
      <c r="T17" s="254"/>
      <c r="U17" s="254"/>
      <c r="V17" s="255"/>
      <c r="W17" s="253">
        <f>SUM(W8:W16)</f>
        <v>5438.31</v>
      </c>
      <c r="X17" s="254"/>
      <c r="Y17" s="254"/>
      <c r="Z17" s="255"/>
      <c r="AA17" s="253">
        <f>SUM(AA8:AA16)</f>
        <v>4427.8999999999996</v>
      </c>
      <c r="AB17" s="254"/>
      <c r="AC17" s="254"/>
      <c r="AD17" s="255"/>
      <c r="AE17" s="253">
        <f>SUM(AE8:AE16)</f>
        <v>3385.5499999999997</v>
      </c>
      <c r="AF17" s="254"/>
      <c r="AG17" s="254"/>
      <c r="AH17" s="255"/>
      <c r="AI17" s="253">
        <f>SUM(AI8:AI16)</f>
        <v>4189.3</v>
      </c>
      <c r="AJ17" s="254"/>
      <c r="AK17" s="254"/>
      <c r="AL17" s="255"/>
      <c r="AM17" s="253">
        <f>SUM(AM8:AM16)</f>
        <v>3755.4000000000005</v>
      </c>
      <c r="AN17" s="254"/>
      <c r="AO17" s="254"/>
      <c r="AP17" s="255"/>
      <c r="AQ17" s="253">
        <f>SUM(AQ8:AQ16)</f>
        <v>1462.85</v>
      </c>
      <c r="AR17" s="254"/>
      <c r="AS17" s="254"/>
      <c r="AT17" s="255"/>
      <c r="AU17" s="253">
        <f>SUM(AU8:AU16)</f>
        <v>0</v>
      </c>
      <c r="AV17" s="254"/>
      <c r="AW17" s="254"/>
      <c r="AX17" s="255"/>
      <c r="AY17" s="18">
        <f>SUM(AY8:AY16)</f>
        <v>51889.680000000008</v>
      </c>
      <c r="AZ17" s="163">
        <f ca="1">AY17/BB$17</f>
        <v>4717.2436363636371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 t="s">
        <v>477</v>
      </c>
      <c r="AV18" s="256"/>
      <c r="AW18" s="256"/>
      <c r="AX18" s="256"/>
      <c r="AY18" s="217">
        <f>(2250*13)+5500+(550*12)+(93.93*12)</f>
        <v>42477.16</v>
      </c>
      <c r="AZ18" s="217">
        <f ca="1">12*AZ17</f>
        <v>56606.923636363645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0.15667938654710653</v>
      </c>
      <c r="BA20" s="41">
        <f>_xlfn.RANK.EQ(AZ20,$AZ$20:$AZ$45,)</f>
        <v>2</v>
      </c>
      <c r="BB20" s="41">
        <f t="shared" ref="BB20:BB45" ca="1" si="16">AY20/BB$17</f>
        <v>668.28999999999985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0.14830903387790942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917.95</v>
      </c>
      <c r="AT21" s="181">
        <f t="shared" si="12"/>
        <v>873.74999999999977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2001.7499999999998</v>
      </c>
      <c r="AY21" s="44">
        <f t="shared" si="14"/>
        <v>11961.17</v>
      </c>
      <c r="AZ21" s="40">
        <f t="shared" si="15"/>
        <v>0.25493406890389919</v>
      </c>
      <c r="BA21" s="41">
        <f t="shared" ref="BA21:BA45" si="18">_xlfn.RANK.EQ(AZ21,$AZ$20:$AZ$45,)</f>
        <v>1</v>
      </c>
      <c r="BB21" s="41">
        <f t="shared" ca="1" si="16"/>
        <v>1087.379090909091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0.24735491440522286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273.09999999999997</v>
      </c>
      <c r="AT22" s="183">
        <f t="shared" si="12"/>
        <v>318.35000000000019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808.35000000000014</v>
      </c>
      <c r="AY22" s="42">
        <f t="shared" si="14"/>
        <v>4731.1100000000006</v>
      </c>
      <c r="AZ22" s="40">
        <f t="shared" si="15"/>
        <v>0.10083638329126052</v>
      </c>
      <c r="BA22" s="41">
        <f t="shared" si="18"/>
        <v>3</v>
      </c>
      <c r="BB22" s="41">
        <f t="shared" ca="1" si="16"/>
        <v>430.10090909090917</v>
      </c>
      <c r="BI22" s="39">
        <f t="shared" ca="1" si="19"/>
        <v>5049.46</v>
      </c>
      <c r="BJ22" s="40">
        <f t="shared" ca="1" si="17"/>
        <v>9.7313325372701709E-2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110</v>
      </c>
      <c r="AT23" s="181">
        <f t="shared" si="12"/>
        <v>49.260000000000019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199.26000000000002</v>
      </c>
      <c r="AY23" s="44">
        <f t="shared" si="14"/>
        <v>2090.9399999999996</v>
      </c>
      <c r="AZ23" s="40">
        <f t="shared" si="15"/>
        <v>4.4565192371140851E-2</v>
      </c>
      <c r="BA23" s="41">
        <f t="shared" si="18"/>
        <v>7</v>
      </c>
      <c r="BB23" s="41">
        <f t="shared" ca="1" si="16"/>
        <v>190.0854545454545</v>
      </c>
      <c r="BI23" s="175">
        <f t="shared" ca="1" si="19"/>
        <v>2136.9399999999996</v>
      </c>
      <c r="BJ23" s="40">
        <f t="shared" ca="1" si="17"/>
        <v>4.1183163649566722E-2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136.05000000000001</v>
      </c>
      <c r="AT24" s="183">
        <f t="shared" si="12"/>
        <v>12.190000000000026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172.19000000000003</v>
      </c>
      <c r="AY24" s="42">
        <f t="shared" si="14"/>
        <v>1730.27</v>
      </c>
      <c r="AZ24" s="40">
        <f t="shared" si="15"/>
        <v>3.6878062213173933E-2</v>
      </c>
      <c r="BA24" s="41">
        <f t="shared" si="18"/>
        <v>9</v>
      </c>
      <c r="BB24" s="41">
        <f t="shared" ca="1" si="16"/>
        <v>157.29727272727271</v>
      </c>
      <c r="BI24" s="39">
        <f t="shared" ca="1" si="19"/>
        <v>1667.9</v>
      </c>
      <c r="BJ24" s="40">
        <f t="shared" ca="1" si="17"/>
        <v>3.2143812484726919E-2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648.88000000000011</v>
      </c>
      <c r="AT25" s="181">
        <f t="shared" si="12"/>
        <v>3485.7399999999989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3890.7399999999989</v>
      </c>
      <c r="AY25" s="44">
        <f t="shared" si="14"/>
        <v>3989.0800000000013</v>
      </c>
      <c r="AZ25" s="40">
        <f t="shared" si="15"/>
        <v>8.5021147227500857E-2</v>
      </c>
      <c r="BA25" s="41">
        <f t="shared" si="18"/>
        <v>4</v>
      </c>
      <c r="BB25" s="41">
        <f t="shared" ca="1" si="16"/>
        <v>362.64363636363646</v>
      </c>
      <c r="BI25" s="175">
        <f t="shared" ca="1" si="19"/>
        <v>4400</v>
      </c>
      <c r="BJ25" s="40">
        <f t="shared" ca="1" si="17"/>
        <v>8.4796915242399684E-2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7.99</v>
      </c>
      <c r="AT26" s="183">
        <f t="shared" si="12"/>
        <v>54.539999999999949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102.53999999999995</v>
      </c>
      <c r="AY26" s="42">
        <f t="shared" si="14"/>
        <v>498.93000000000006</v>
      </c>
      <c r="AZ26" s="40">
        <f t="shared" si="15"/>
        <v>1.0633930877850781E-2</v>
      </c>
      <c r="BA26" s="41">
        <f t="shared" si="18"/>
        <v>16</v>
      </c>
      <c r="BB26" s="41">
        <f t="shared" ca="1" si="16"/>
        <v>45.357272727272736</v>
      </c>
      <c r="BI26" s="39">
        <f t="shared" ca="1" si="19"/>
        <v>519</v>
      </c>
      <c r="BJ26" s="40">
        <f t="shared" ca="1" si="17"/>
        <v>1.0002181593364872E-2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8.7990540228326947E-3</v>
      </c>
      <c r="BA27" s="41">
        <f t="shared" si="18"/>
        <v>17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1.1177775191043595E-2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7.4561347420686153E-2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6.7019049241568679E-2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31.61</v>
      </c>
      <c r="AT29" s="186">
        <f t="shared" si="12"/>
        <v>78.100000000000051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148.10000000000005</v>
      </c>
      <c r="AY29" s="44">
        <f t="shared" si="22"/>
        <v>952.2299999999999</v>
      </c>
      <c r="AZ29" s="40">
        <f t="shared" si="15"/>
        <v>2.0295328001555021E-2</v>
      </c>
      <c r="BA29" s="41">
        <f t="shared" si="18"/>
        <v>11</v>
      </c>
      <c r="BB29" s="41">
        <f t="shared" ca="1" si="16"/>
        <v>86.566363636363633</v>
      </c>
      <c r="BI29" s="175">
        <f t="shared" ca="1" si="19"/>
        <v>814.05</v>
      </c>
      <c r="BJ29" s="40">
        <f t="shared" ca="1" si="17"/>
        <v>1.5688392921153513E-2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3.58</v>
      </c>
      <c r="AT30" s="187">
        <f t="shared" si="12"/>
        <v>73.73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108.73</v>
      </c>
      <c r="AY30" s="42">
        <f t="shared" si="22"/>
        <v>355.14000000000004</v>
      </c>
      <c r="AZ30" s="40">
        <f t="shared" si="15"/>
        <v>7.569266654560613E-3</v>
      </c>
      <c r="BA30" s="41">
        <f t="shared" si="18"/>
        <v>18</v>
      </c>
      <c r="BB30" s="41">
        <f t="shared" ca="1" si="16"/>
        <v>32.285454545454549</v>
      </c>
      <c r="BI30" s="39">
        <f t="shared" ca="1" si="19"/>
        <v>385</v>
      </c>
      <c r="BJ30" s="40">
        <f t="shared" ca="1" si="17"/>
        <v>7.4197300837099732E-3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1.4812650313265415E-2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1.2719537286359954E-2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35</v>
      </c>
      <c r="AT32" s="187">
        <f t="shared" si="12"/>
        <v>44.52000000000001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94.52000000000001</v>
      </c>
      <c r="AY32" s="42">
        <f t="shared" si="22"/>
        <v>1202.0700000000004</v>
      </c>
      <c r="AZ32" s="40">
        <f t="shared" si="15"/>
        <v>2.5620285992700564E-2</v>
      </c>
      <c r="BA32" s="41">
        <f t="shared" si="18"/>
        <v>10</v>
      </c>
      <c r="BB32" s="41">
        <f t="shared" ca="1" si="16"/>
        <v>109.27909090909094</v>
      </c>
      <c r="BI32" s="39">
        <f t="shared" ca="1" si="19"/>
        <v>1246.5900000000001</v>
      </c>
      <c r="BJ32" s="40">
        <f t="shared" ca="1" si="17"/>
        <v>2.4024315130005237E-2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6.7222692539517287E-4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5.6185665158566371E-3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7</v>
      </c>
      <c r="AT34" s="187">
        <f t="shared" si="12"/>
        <v>567.55999999999995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657.56</v>
      </c>
      <c r="AY34" s="42">
        <f>E34+I34+M34+Q34+U34+Y34+AC34+AG34+AK34+AO34+AS34+AW34+(E36+I36+M36)</f>
        <v>3112.62</v>
      </c>
      <c r="AZ34" s="40">
        <f t="shared" si="15"/>
        <v>6.6340741043865656E-2</v>
      </c>
      <c r="BA34" s="41">
        <f t="shared" si="18"/>
        <v>6</v>
      </c>
      <c r="BB34" s="41">
        <f t="shared" ca="1" si="16"/>
        <v>282.96545454545452</v>
      </c>
      <c r="BI34" s="39">
        <f t="shared" ca="1" si="19"/>
        <v>2887.6</v>
      </c>
      <c r="BJ34" s="40">
        <f t="shared" ca="1" si="17"/>
        <v>5.5649902830443944E-2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200.01</v>
      </c>
      <c r="AT35" s="184">
        <f t="shared" si="12"/>
        <v>1315.5900000000004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1430.5900000000004</v>
      </c>
      <c r="AY35" s="44">
        <f t="shared" si="22"/>
        <v>1898.51</v>
      </c>
      <c r="AZ35" s="40">
        <f t="shared" si="15"/>
        <v>4.0463840841217173E-2</v>
      </c>
      <c r="BA35" s="41">
        <f t="shared" si="18"/>
        <v>8</v>
      </c>
      <c r="BB35" s="41">
        <f t="shared" ca="1" si="16"/>
        <v>172.59181818181818</v>
      </c>
      <c r="BI35" s="175">
        <f t="shared" ca="1" si="19"/>
        <v>1135</v>
      </c>
      <c r="BJ35" s="40">
        <f t="shared" ca="1" si="17"/>
        <v>2.1873749727300829E-2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12</v>
      </c>
      <c r="AT36" s="183">
        <f t="shared" si="12"/>
        <v>-21.469999999999942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68.530000000000058</v>
      </c>
      <c r="AY36" s="39">
        <f>Q36+U36+Y36+AC36+AG36+AK36+AO36+AS36+AW36</f>
        <v>647.26</v>
      </c>
      <c r="AZ36" s="40">
        <f t="shared" si="15"/>
        <v>1.3795358266686099E-2</v>
      </c>
      <c r="BA36" s="41">
        <f t="shared" si="18"/>
        <v>15</v>
      </c>
      <c r="BB36" s="41">
        <f t="shared" ca="1" si="16"/>
        <v>58.841818181818184</v>
      </c>
      <c r="BI36" s="39">
        <f t="shared" ca="1" si="19"/>
        <v>531.19000000000005</v>
      </c>
      <c r="BJ36" s="40">
        <f t="shared" ca="1" si="17"/>
        <v>1.0237107592638704E-2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1.4389364747686845E-2</v>
      </c>
      <c r="BA37" s="41">
        <f t="shared" si="18"/>
        <v>14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8.1906111313681512E-3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30.150000000000002</v>
      </c>
      <c r="AT38" s="183">
        <f t="shared" si="12"/>
        <v>15.640000000000033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85.640000000000029</v>
      </c>
      <c r="AY38" s="42">
        <f t="shared" si="22"/>
        <v>775.15</v>
      </c>
      <c r="AZ38" s="40">
        <f t="shared" si="15"/>
        <v>1.6521138275842367E-2</v>
      </c>
      <c r="BA38" s="41">
        <f t="shared" si="18"/>
        <v>12</v>
      </c>
      <c r="BB38" s="41">
        <f t="shared" ca="1" si="16"/>
        <v>70.468181818181819</v>
      </c>
      <c r="BI38" s="39">
        <f t="shared" ca="1" si="19"/>
        <v>719.77</v>
      </c>
      <c r="BJ38" s="40">
        <f t="shared" ca="1" si="17"/>
        <v>1.3871426291823186E-2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2.6980836668036266E-3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2.9602282076136828E-3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-4.8186232527017446E-2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-2567.73</v>
      </c>
      <c r="AS41" s="189">
        <f>SUM('11'!D440:F440)</f>
        <v>0</v>
      </c>
      <c r="AT41" s="181">
        <f t="shared" si="12"/>
        <v>4640.34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740.34000000000015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-665.16999999999916</v>
      </c>
      <c r="BJ41" s="40">
        <f t="shared" ca="1" si="17"/>
        <v>-1.2819173661769757E-2</v>
      </c>
      <c r="BK41" s="41">
        <f t="shared" ca="1" si="20"/>
        <v>25</v>
      </c>
      <c r="BL41" s="41">
        <f t="shared" ca="1" si="21"/>
        <v>-60.469999999999921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0.1328251171546472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2.1313472587037819E-3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8.9807642052177859E-3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1.5196505954557966E-3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1.9079305929539929E-3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1462.85</v>
      </c>
      <c r="AS46" s="196">
        <f>SUM(AS20:AS45)</f>
        <v>2470.11</v>
      </c>
      <c r="AT46" s="197">
        <f>SUM(AT20:AT45)</f>
        <v>22306.679999999997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22306.679999999997</v>
      </c>
      <c r="AY46" s="28">
        <f>SUM(AY20:AY45)</f>
        <v>46918.680000000015</v>
      </c>
      <c r="AZ46" s="1"/>
      <c r="BA46" s="1"/>
      <c r="BB46" s="176">
        <f ca="1">SUM(BB20:BB45)</f>
        <v>4265.3345454545461</v>
      </c>
      <c r="BI46" s="28">
        <f ca="1">SUM(BI20:BI45)</f>
        <v>51888.68</v>
      </c>
      <c r="BJ46" s="1"/>
      <c r="BK46" s="1"/>
      <c r="BL46" s="176">
        <f ca="1">SUM(BL20:BL45)</f>
        <v>4717.152727272728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-1007.2600000000002</v>
      </c>
      <c r="AT47" s="227"/>
      <c r="AU47" s="198">
        <f>AU5-AT46</f>
        <v>-7204.7899999999954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51184.014545454556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301.09999999999997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7" t="s">
        <v>197</v>
      </c>
      <c r="D52" s="258"/>
      <c r="E52" s="258"/>
      <c r="F52" s="259"/>
      <c r="G52" s="257" t="s">
        <v>197</v>
      </c>
      <c r="H52" s="258"/>
      <c r="I52" s="258"/>
      <c r="J52" s="259"/>
      <c r="K52" s="257" t="s">
        <v>197</v>
      </c>
      <c r="L52" s="258"/>
      <c r="M52" s="258"/>
      <c r="N52" s="259"/>
      <c r="O52" s="257" t="s">
        <v>197</v>
      </c>
      <c r="P52" s="258"/>
      <c r="Q52" s="258"/>
      <c r="R52" s="259"/>
      <c r="S52" s="257" t="s">
        <v>197</v>
      </c>
      <c r="T52" s="258"/>
      <c r="U52" s="258"/>
      <c r="V52" s="259"/>
      <c r="W52" s="257" t="s">
        <v>197</v>
      </c>
      <c r="X52" s="258"/>
      <c r="Y52" s="258"/>
      <c r="Z52" s="259"/>
      <c r="AA52" s="257" t="s">
        <v>197</v>
      </c>
      <c r="AB52" s="258"/>
      <c r="AC52" s="258"/>
      <c r="AD52" s="259"/>
      <c r="AE52" s="257" t="s">
        <v>197</v>
      </c>
      <c r="AF52" s="258"/>
      <c r="AG52" s="258"/>
      <c r="AH52" s="259"/>
      <c r="AI52" s="257" t="s">
        <v>197</v>
      </c>
      <c r="AJ52" s="258"/>
      <c r="AK52" s="258"/>
      <c r="AL52" s="259"/>
      <c r="AM52" s="257" t="s">
        <v>197</v>
      </c>
      <c r="AN52" s="258"/>
      <c r="AO52" s="258"/>
      <c r="AP52" s="259"/>
      <c r="AQ52" s="257" t="s">
        <v>197</v>
      </c>
      <c r="AR52" s="258"/>
      <c r="AS52" s="258"/>
      <c r="AT52" s="259"/>
      <c r="AU52" s="257" t="s">
        <v>197</v>
      </c>
      <c r="AV52" s="258"/>
      <c r="AW52" s="258"/>
      <c r="AX52" s="259"/>
    </row>
    <row r="53" spans="1:61" ht="15.75" thickBot="1">
      <c r="C53" s="141" t="s">
        <v>198</v>
      </c>
      <c r="D53" s="260" t="s">
        <v>33</v>
      </c>
      <c r="E53" s="261"/>
      <c r="F53" s="142" t="s">
        <v>134</v>
      </c>
      <c r="G53" s="141" t="s">
        <v>198</v>
      </c>
      <c r="H53" s="260" t="s">
        <v>33</v>
      </c>
      <c r="I53" s="261"/>
      <c r="J53" s="142" t="s">
        <v>134</v>
      </c>
      <c r="K53" s="141" t="s">
        <v>198</v>
      </c>
      <c r="L53" s="260" t="s">
        <v>33</v>
      </c>
      <c r="M53" s="261"/>
      <c r="N53" s="142" t="s">
        <v>134</v>
      </c>
      <c r="O53" s="141" t="s">
        <v>198</v>
      </c>
      <c r="P53" s="260" t="s">
        <v>33</v>
      </c>
      <c r="Q53" s="261"/>
      <c r="R53" s="142" t="s">
        <v>134</v>
      </c>
      <c r="S53" s="141" t="s">
        <v>198</v>
      </c>
      <c r="T53" s="260" t="s">
        <v>33</v>
      </c>
      <c r="U53" s="261"/>
      <c r="V53" s="142" t="s">
        <v>134</v>
      </c>
      <c r="W53" s="141" t="s">
        <v>198</v>
      </c>
      <c r="X53" s="260" t="s">
        <v>33</v>
      </c>
      <c r="Y53" s="261"/>
      <c r="Z53" s="142" t="s">
        <v>134</v>
      </c>
      <c r="AA53" s="141" t="s">
        <v>198</v>
      </c>
      <c r="AB53" s="260" t="s">
        <v>33</v>
      </c>
      <c r="AC53" s="261"/>
      <c r="AD53" s="142" t="s">
        <v>134</v>
      </c>
      <c r="AE53" s="141" t="s">
        <v>198</v>
      </c>
      <c r="AF53" s="260" t="s">
        <v>33</v>
      </c>
      <c r="AG53" s="261"/>
      <c r="AH53" s="142" t="s">
        <v>134</v>
      </c>
      <c r="AI53" s="141" t="s">
        <v>198</v>
      </c>
      <c r="AJ53" s="260" t="s">
        <v>33</v>
      </c>
      <c r="AK53" s="261"/>
      <c r="AL53" s="142" t="s">
        <v>134</v>
      </c>
      <c r="AM53" s="141" t="s">
        <v>198</v>
      </c>
      <c r="AN53" s="260" t="s">
        <v>33</v>
      </c>
      <c r="AO53" s="261"/>
      <c r="AP53" s="142" t="s">
        <v>134</v>
      </c>
      <c r="AQ53" s="141" t="s">
        <v>198</v>
      </c>
      <c r="AR53" s="260" t="s">
        <v>33</v>
      </c>
      <c r="AS53" s="261"/>
      <c r="AT53" s="142" t="s">
        <v>134</v>
      </c>
      <c r="AU53" s="141" t="s">
        <v>198</v>
      </c>
      <c r="AV53" s="260" t="s">
        <v>33</v>
      </c>
      <c r="AW53" s="261"/>
      <c r="AX53" s="142" t="s">
        <v>134</v>
      </c>
    </row>
    <row r="54" spans="1:61">
      <c r="C54" s="143">
        <v>43112</v>
      </c>
      <c r="D54" s="262" t="s">
        <v>199</v>
      </c>
      <c r="E54" s="263"/>
      <c r="F54" s="146">
        <v>10</v>
      </c>
      <c r="G54" s="143">
        <v>43137</v>
      </c>
      <c r="H54" s="262" t="s">
        <v>219</v>
      </c>
      <c r="I54" s="263"/>
      <c r="J54" s="148">
        <v>10</v>
      </c>
      <c r="K54" s="143">
        <v>43166</v>
      </c>
      <c r="L54" s="268" t="s">
        <v>287</v>
      </c>
      <c r="M54" s="269"/>
      <c r="N54" s="148"/>
      <c r="O54" s="143">
        <v>43195</v>
      </c>
      <c r="P54" s="268" t="s">
        <v>219</v>
      </c>
      <c r="Q54" s="269"/>
      <c r="R54" s="153">
        <v>10</v>
      </c>
      <c r="S54" s="143">
        <v>43224</v>
      </c>
      <c r="T54" s="268" t="s">
        <v>287</v>
      </c>
      <c r="U54" s="269"/>
      <c r="V54" s="154"/>
      <c r="W54" s="144">
        <v>43264</v>
      </c>
      <c r="X54" s="272" t="s">
        <v>199</v>
      </c>
      <c r="Y54" s="273"/>
      <c r="Z54" s="155">
        <v>15</v>
      </c>
      <c r="AA54" s="143"/>
      <c r="AB54" s="282" t="s">
        <v>370</v>
      </c>
      <c r="AC54" s="283"/>
      <c r="AD54" s="148">
        <f>1452-580.8</f>
        <v>871.2</v>
      </c>
      <c r="AE54" s="143"/>
      <c r="AF54" s="284"/>
      <c r="AG54" s="285"/>
      <c r="AH54" s="148"/>
      <c r="AI54" s="143">
        <v>43370</v>
      </c>
      <c r="AJ54" s="286" t="s">
        <v>219</v>
      </c>
      <c r="AK54" s="287"/>
      <c r="AL54" s="148">
        <v>10</v>
      </c>
      <c r="AM54" s="143">
        <v>43399</v>
      </c>
      <c r="AN54" s="286" t="s">
        <v>219</v>
      </c>
      <c r="AO54" s="287"/>
      <c r="AP54" s="148" t="s">
        <v>642</v>
      </c>
      <c r="AQ54" s="143">
        <v>43415</v>
      </c>
      <c r="AR54" s="268" t="s">
        <v>667</v>
      </c>
      <c r="AS54" s="269"/>
      <c r="AT54" s="148"/>
      <c r="AU54" s="143">
        <v>43417</v>
      </c>
      <c r="AV54" s="262" t="s">
        <v>667</v>
      </c>
      <c r="AW54" s="263"/>
      <c r="AX54" s="148"/>
    </row>
    <row r="55" spans="1:61">
      <c r="C55" s="144"/>
      <c r="D55" s="266"/>
      <c r="E55" s="267"/>
      <c r="F55" s="146"/>
      <c r="G55" s="144">
        <v>43146</v>
      </c>
      <c r="H55" s="266" t="s">
        <v>272</v>
      </c>
      <c r="I55" s="267"/>
      <c r="J55" s="148">
        <v>10</v>
      </c>
      <c r="K55" s="144">
        <v>43168</v>
      </c>
      <c r="L55" s="270" t="s">
        <v>272</v>
      </c>
      <c r="M55" s="271"/>
      <c r="N55" s="148">
        <v>15</v>
      </c>
      <c r="O55" s="144">
        <v>43209</v>
      </c>
      <c r="P55" s="272" t="s">
        <v>199</v>
      </c>
      <c r="Q55" s="273"/>
      <c r="R55" s="153">
        <v>15</v>
      </c>
      <c r="S55" s="144">
        <v>43238</v>
      </c>
      <c r="T55" s="272" t="s">
        <v>359</v>
      </c>
      <c r="U55" s="273"/>
      <c r="V55" s="148"/>
      <c r="W55" s="144">
        <v>43253</v>
      </c>
      <c r="X55" s="272" t="s">
        <v>219</v>
      </c>
      <c r="Y55" s="273"/>
      <c r="Z55" s="148">
        <v>10</v>
      </c>
      <c r="AA55" s="144"/>
      <c r="AB55" s="266" t="s">
        <v>371</v>
      </c>
      <c r="AC55" s="267"/>
      <c r="AD55" s="148">
        <f>200-43.62+(76.38*6)</f>
        <v>614.66</v>
      </c>
      <c r="AE55" s="144">
        <v>43318</v>
      </c>
      <c r="AF55" s="272" t="s">
        <v>199</v>
      </c>
      <c r="AG55" s="273"/>
      <c r="AH55" s="148">
        <v>15</v>
      </c>
      <c r="AI55" s="144">
        <v>43361</v>
      </c>
      <c r="AJ55" s="272" t="s">
        <v>199</v>
      </c>
      <c r="AK55" s="273"/>
      <c r="AL55" s="148">
        <v>15</v>
      </c>
      <c r="AM55" s="144">
        <v>43393</v>
      </c>
      <c r="AN55" s="272" t="s">
        <v>199</v>
      </c>
      <c r="AO55" s="273"/>
      <c r="AP55" s="148">
        <v>15</v>
      </c>
      <c r="AQ55" s="144">
        <v>43425</v>
      </c>
      <c r="AR55" s="266" t="s">
        <v>700</v>
      </c>
      <c r="AS55" s="267"/>
      <c r="AT55" s="148"/>
      <c r="AU55" s="144"/>
      <c r="AV55" s="266"/>
      <c r="AW55" s="267"/>
      <c r="AX55" s="148"/>
    </row>
    <row r="56" spans="1:61">
      <c r="C56" s="144">
        <v>43117</v>
      </c>
      <c r="D56" s="266" t="s">
        <v>200</v>
      </c>
      <c r="E56" s="267"/>
      <c r="F56" s="146"/>
      <c r="G56" s="144">
        <v>43147</v>
      </c>
      <c r="H56" s="266" t="s">
        <v>283</v>
      </c>
      <c r="I56" s="267"/>
      <c r="J56" s="148"/>
      <c r="K56" s="144">
        <v>43189</v>
      </c>
      <c r="L56" s="266" t="s">
        <v>292</v>
      </c>
      <c r="M56" s="267"/>
      <c r="N56" s="148"/>
      <c r="O56" s="144">
        <v>43193</v>
      </c>
      <c r="P56" s="272" t="s">
        <v>328</v>
      </c>
      <c r="Q56" s="273"/>
      <c r="R56" s="153">
        <v>258.52</v>
      </c>
      <c r="S56" s="144">
        <v>43249</v>
      </c>
      <c r="T56" s="266" t="s">
        <v>374</v>
      </c>
      <c r="U56" s="267"/>
      <c r="V56" s="148"/>
      <c r="W56" s="144">
        <v>43249</v>
      </c>
      <c r="X56" s="266" t="s">
        <v>379</v>
      </c>
      <c r="Y56" s="267"/>
      <c r="Z56" s="148"/>
      <c r="AA56" s="144"/>
      <c r="AB56" s="266" t="s">
        <v>372</v>
      </c>
      <c r="AC56" s="267"/>
      <c r="AD56" s="148">
        <f>AD54-AD55</f>
        <v>256.54000000000008</v>
      </c>
      <c r="AE56" s="144">
        <v>43341</v>
      </c>
      <c r="AF56" s="272" t="s">
        <v>287</v>
      </c>
      <c r="AG56" s="273"/>
      <c r="AH56" s="148"/>
      <c r="AI56" s="144">
        <v>43347</v>
      </c>
      <c r="AJ56" s="274" t="s">
        <v>378</v>
      </c>
      <c r="AK56" s="275"/>
      <c r="AL56" s="148"/>
      <c r="AM56" s="144">
        <v>43377</v>
      </c>
      <c r="AN56" s="274" t="s">
        <v>378</v>
      </c>
      <c r="AO56" s="275"/>
      <c r="AP56" s="148"/>
      <c r="AQ56" s="144">
        <v>43411</v>
      </c>
      <c r="AR56" s="272" t="s">
        <v>692</v>
      </c>
      <c r="AS56" s="273"/>
      <c r="AT56" s="148"/>
      <c r="AU56" s="144"/>
      <c r="AV56" s="266"/>
      <c r="AW56" s="267"/>
      <c r="AX56" s="148"/>
    </row>
    <row r="57" spans="1:61">
      <c r="C57" s="144"/>
      <c r="D57" s="266" t="s">
        <v>201</v>
      </c>
      <c r="E57" s="267"/>
      <c r="F57" s="146"/>
      <c r="G57" s="144"/>
      <c r="H57" s="266" t="s">
        <v>284</v>
      </c>
      <c r="I57" s="267"/>
      <c r="J57" s="148"/>
      <c r="K57" s="144"/>
      <c r="L57" s="266" t="s">
        <v>293</v>
      </c>
      <c r="M57" s="267"/>
      <c r="N57" s="148"/>
      <c r="O57" s="144"/>
      <c r="P57" s="272" t="s">
        <v>299</v>
      </c>
      <c r="Q57" s="273"/>
      <c r="R57" s="148">
        <v>2290.23</v>
      </c>
      <c r="S57" s="144"/>
      <c r="T57" s="266" t="s">
        <v>375</v>
      </c>
      <c r="U57" s="267"/>
      <c r="V57" s="148"/>
      <c r="W57" s="144"/>
      <c r="X57" s="266" t="s">
        <v>380</v>
      </c>
      <c r="Y57" s="267"/>
      <c r="Z57" s="148"/>
      <c r="AA57" s="144">
        <v>43282</v>
      </c>
      <c r="AB57" s="272" t="s">
        <v>287</v>
      </c>
      <c r="AC57" s="273"/>
      <c r="AD57" s="148"/>
      <c r="AE57" s="144">
        <v>43189</v>
      </c>
      <c r="AF57" s="266" t="s">
        <v>383</v>
      </c>
      <c r="AG57" s="267"/>
      <c r="AH57" s="148"/>
      <c r="AI57" s="144"/>
      <c r="AJ57" s="276"/>
      <c r="AK57" s="277"/>
      <c r="AL57" s="148"/>
      <c r="AM57" s="144">
        <v>43404</v>
      </c>
      <c r="AN57" s="274" t="s">
        <v>378</v>
      </c>
      <c r="AO57" s="275"/>
      <c r="AP57" s="148"/>
      <c r="AQ57" s="144">
        <v>43428</v>
      </c>
      <c r="AR57" s="266" t="s">
        <v>219</v>
      </c>
      <c r="AS57" s="267"/>
      <c r="AT57" s="148">
        <v>10</v>
      </c>
      <c r="AU57" s="144"/>
      <c r="AV57" s="266"/>
      <c r="AW57" s="267"/>
      <c r="AX57" s="148"/>
    </row>
    <row r="58" spans="1:61">
      <c r="C58" s="144"/>
      <c r="D58" s="266" t="s">
        <v>202</v>
      </c>
      <c r="E58" s="267"/>
      <c r="F58" s="146"/>
      <c r="G58" s="144"/>
      <c r="H58" s="266" t="s">
        <v>285</v>
      </c>
      <c r="I58" s="267"/>
      <c r="J58" s="148"/>
      <c r="K58" s="144"/>
      <c r="L58" s="266" t="s">
        <v>294</v>
      </c>
      <c r="M58" s="267"/>
      <c r="N58" s="148"/>
      <c r="O58" s="144"/>
      <c r="P58" s="266"/>
      <c r="Q58" s="267"/>
      <c r="R58" s="148"/>
      <c r="S58" s="144"/>
      <c r="T58" s="266" t="s">
        <v>376</v>
      </c>
      <c r="U58" s="267"/>
      <c r="V58" s="148"/>
      <c r="W58" s="144"/>
      <c r="X58" s="266" t="s">
        <v>381</v>
      </c>
      <c r="Y58" s="267"/>
      <c r="Z58" s="148"/>
      <c r="AA58" s="144"/>
      <c r="AB58" s="272" t="s">
        <v>359</v>
      </c>
      <c r="AC58" s="273"/>
      <c r="AD58" s="148"/>
      <c r="AE58" s="144"/>
      <c r="AF58" s="266" t="s">
        <v>384</v>
      </c>
      <c r="AG58" s="267"/>
      <c r="AH58" s="148"/>
      <c r="AI58" s="144"/>
      <c r="AJ58" s="276"/>
      <c r="AK58" s="277"/>
      <c r="AL58" s="148"/>
      <c r="AM58" s="144"/>
      <c r="AN58" s="276"/>
      <c r="AO58" s="277"/>
      <c r="AP58" s="148"/>
      <c r="AQ58" s="144">
        <v>43419</v>
      </c>
      <c r="AR58" s="272" t="s">
        <v>715</v>
      </c>
      <c r="AS58" s="273"/>
      <c r="AT58" s="148"/>
      <c r="AU58" s="144"/>
      <c r="AV58" s="266"/>
      <c r="AW58" s="267"/>
      <c r="AX58" s="148"/>
    </row>
    <row r="59" spans="1:61">
      <c r="C59" s="144"/>
      <c r="D59" s="266"/>
      <c r="E59" s="267"/>
      <c r="F59" s="146"/>
      <c r="G59" s="144"/>
      <c r="H59" s="266"/>
      <c r="I59" s="267"/>
      <c r="J59" s="148"/>
      <c r="K59" s="144"/>
      <c r="L59" s="266"/>
      <c r="M59" s="267"/>
      <c r="N59" s="148"/>
      <c r="O59" s="144"/>
      <c r="P59" s="266"/>
      <c r="Q59" s="267"/>
      <c r="R59" s="148"/>
      <c r="S59" s="144">
        <v>43236</v>
      </c>
      <c r="T59" s="274" t="s">
        <v>378</v>
      </c>
      <c r="U59" s="275"/>
      <c r="V59" s="148"/>
      <c r="W59" s="144">
        <v>43263</v>
      </c>
      <c r="X59" s="274" t="s">
        <v>378</v>
      </c>
      <c r="Y59" s="275"/>
      <c r="Z59" s="148"/>
      <c r="AA59" s="144"/>
      <c r="AB59" s="274" t="s">
        <v>452</v>
      </c>
      <c r="AC59" s="275"/>
      <c r="AD59" s="148">
        <f>(50*7)-'01'!D13-'03'!E13</f>
        <v>285.02</v>
      </c>
      <c r="AE59" s="144"/>
      <c r="AF59" s="266" t="s">
        <v>385</v>
      </c>
      <c r="AG59" s="267"/>
      <c r="AH59" s="148"/>
      <c r="AI59" s="144"/>
      <c r="AJ59" s="276"/>
      <c r="AK59" s="277"/>
      <c r="AL59" s="148"/>
      <c r="AM59" s="144"/>
      <c r="AN59" s="276"/>
      <c r="AO59" s="277"/>
      <c r="AP59" s="148"/>
      <c r="AQ59" s="144">
        <v>43406</v>
      </c>
      <c r="AR59" s="266" t="s">
        <v>660</v>
      </c>
      <c r="AS59" s="267"/>
      <c r="AT59" s="148"/>
      <c r="AU59" s="144">
        <v>43189</v>
      </c>
      <c r="AV59" s="266" t="s">
        <v>440</v>
      </c>
      <c r="AW59" s="267"/>
      <c r="AX59" s="148"/>
    </row>
    <row r="60" spans="1:61">
      <c r="C60" s="144"/>
      <c r="D60" s="266"/>
      <c r="E60" s="267"/>
      <c r="F60" s="146"/>
      <c r="G60" s="144"/>
      <c r="H60" s="266"/>
      <c r="I60" s="267"/>
      <c r="J60" s="148"/>
      <c r="K60" s="144"/>
      <c r="L60" s="266"/>
      <c r="M60" s="267"/>
      <c r="N60" s="148"/>
      <c r="O60" s="144"/>
      <c r="P60" s="266"/>
      <c r="Q60" s="267"/>
      <c r="R60" s="148"/>
      <c r="S60" s="144"/>
      <c r="T60" s="274"/>
      <c r="U60" s="275"/>
      <c r="V60" s="148"/>
      <c r="W60" s="144"/>
      <c r="X60" s="276" t="s">
        <v>308</v>
      </c>
      <c r="Y60" s="277"/>
      <c r="Z60" s="148">
        <f>622.46*2</f>
        <v>1244.92</v>
      </c>
      <c r="AA60" s="144"/>
      <c r="AB60" s="276"/>
      <c r="AC60" s="277"/>
      <c r="AD60" s="148"/>
      <c r="AE60" s="144">
        <v>43319</v>
      </c>
      <c r="AF60" s="274" t="s">
        <v>378</v>
      </c>
      <c r="AG60" s="275"/>
      <c r="AH60" s="148"/>
      <c r="AI60" s="144"/>
      <c r="AJ60" s="276"/>
      <c r="AK60" s="277"/>
      <c r="AL60" s="148"/>
      <c r="AM60" s="144"/>
      <c r="AN60" s="276"/>
      <c r="AO60" s="277"/>
      <c r="AP60" s="148"/>
      <c r="AQ60" s="144"/>
      <c r="AR60" s="266" t="s">
        <v>380</v>
      </c>
      <c r="AS60" s="267"/>
      <c r="AT60" s="148"/>
      <c r="AU60" s="144"/>
      <c r="AV60" s="266" t="s">
        <v>293</v>
      </c>
      <c r="AW60" s="267"/>
      <c r="AX60" s="148"/>
    </row>
    <row r="61" spans="1:61">
      <c r="C61" s="144"/>
      <c r="D61" s="266"/>
      <c r="E61" s="267"/>
      <c r="F61" s="146"/>
      <c r="G61" s="144"/>
      <c r="H61" s="266"/>
      <c r="I61" s="267"/>
      <c r="J61" s="148"/>
      <c r="K61" s="144"/>
      <c r="L61" s="266"/>
      <c r="M61" s="267"/>
      <c r="N61" s="148"/>
      <c r="O61" s="144"/>
      <c r="P61" s="266"/>
      <c r="Q61" s="267"/>
      <c r="R61" s="148"/>
      <c r="S61" s="144"/>
      <c r="T61" s="274"/>
      <c r="U61" s="275"/>
      <c r="V61" s="148"/>
      <c r="W61" s="144"/>
      <c r="X61" s="276"/>
      <c r="Y61" s="277"/>
      <c r="Z61" s="148"/>
      <c r="AA61" s="144"/>
      <c r="AB61" s="276"/>
      <c r="AC61" s="277"/>
      <c r="AD61" s="148"/>
      <c r="AE61" s="144"/>
      <c r="AF61" s="276"/>
      <c r="AG61" s="277"/>
      <c r="AH61" s="148"/>
      <c r="AI61" s="144"/>
      <c r="AJ61" s="276"/>
      <c r="AK61" s="277"/>
      <c r="AL61" s="148"/>
      <c r="AM61" s="144"/>
      <c r="AN61" s="276"/>
      <c r="AO61" s="277"/>
      <c r="AP61" s="148"/>
      <c r="AQ61" s="144"/>
      <c r="AR61" s="266" t="s">
        <v>661</v>
      </c>
      <c r="AS61" s="267"/>
      <c r="AT61" s="148"/>
      <c r="AU61" s="144"/>
      <c r="AV61" s="266" t="s">
        <v>661</v>
      </c>
      <c r="AW61" s="267"/>
      <c r="AX61" s="148"/>
    </row>
    <row r="62" spans="1:61">
      <c r="C62" s="144"/>
      <c r="D62" s="266"/>
      <c r="E62" s="267"/>
      <c r="F62" s="146"/>
      <c r="G62" s="144"/>
      <c r="H62" s="266"/>
      <c r="I62" s="267"/>
      <c r="J62" s="148"/>
      <c r="K62" s="144"/>
      <c r="L62" s="266"/>
      <c r="M62" s="267"/>
      <c r="N62" s="148"/>
      <c r="O62" s="144"/>
      <c r="P62" s="266"/>
      <c r="Q62" s="267"/>
      <c r="R62" s="148"/>
      <c r="S62" s="144"/>
      <c r="T62" s="274"/>
      <c r="U62" s="275"/>
      <c r="V62" s="148"/>
      <c r="W62" s="144"/>
      <c r="X62" s="276"/>
      <c r="Y62" s="277"/>
      <c r="Z62" s="148"/>
      <c r="AA62" s="144"/>
      <c r="AB62" s="276"/>
      <c r="AC62" s="277"/>
      <c r="AD62" s="148"/>
      <c r="AE62" s="144"/>
      <c r="AF62" s="276"/>
      <c r="AG62" s="277"/>
      <c r="AH62" s="148"/>
      <c r="AI62" s="144"/>
      <c r="AJ62" s="276"/>
      <c r="AK62" s="277"/>
      <c r="AL62" s="148"/>
      <c r="AM62" s="144"/>
      <c r="AN62" s="276"/>
      <c r="AO62" s="277"/>
      <c r="AP62" s="148"/>
      <c r="AQ62" s="144">
        <v>43425</v>
      </c>
      <c r="AR62" s="266" t="s">
        <v>199</v>
      </c>
      <c r="AS62" s="267"/>
      <c r="AT62" s="148">
        <v>10</v>
      </c>
      <c r="AU62" s="144"/>
      <c r="AV62" s="266"/>
      <c r="AW62" s="267"/>
      <c r="AX62" s="148"/>
    </row>
    <row r="63" spans="1:61">
      <c r="C63" s="144"/>
      <c r="D63" s="266"/>
      <c r="E63" s="267"/>
      <c r="F63" s="146"/>
      <c r="G63" s="144"/>
      <c r="H63" s="266"/>
      <c r="I63" s="267"/>
      <c r="J63" s="148"/>
      <c r="K63" s="144"/>
      <c r="L63" s="266"/>
      <c r="M63" s="267"/>
      <c r="N63" s="148"/>
      <c r="O63" s="144"/>
      <c r="P63" s="266"/>
      <c r="Q63" s="267"/>
      <c r="R63" s="148"/>
      <c r="S63" s="144"/>
      <c r="T63" s="274"/>
      <c r="U63" s="275"/>
      <c r="V63" s="148"/>
      <c r="W63" s="144"/>
      <c r="X63" s="276"/>
      <c r="Y63" s="277"/>
      <c r="Z63" s="148"/>
      <c r="AA63" s="144"/>
      <c r="AB63" s="276"/>
      <c r="AC63" s="277"/>
      <c r="AD63" s="148"/>
      <c r="AE63" s="144"/>
      <c r="AF63" s="276"/>
      <c r="AG63" s="277"/>
      <c r="AH63" s="148"/>
      <c r="AI63" s="144"/>
      <c r="AJ63" s="276"/>
      <c r="AK63" s="277"/>
      <c r="AL63" s="148"/>
      <c r="AM63" s="144"/>
      <c r="AN63" s="276"/>
      <c r="AO63" s="277"/>
      <c r="AP63" s="148"/>
      <c r="AQ63" s="144"/>
      <c r="AR63" s="266"/>
      <c r="AS63" s="267"/>
      <c r="AT63" s="148"/>
      <c r="AU63" s="144"/>
      <c r="AV63" s="266"/>
      <c r="AW63" s="267"/>
      <c r="AX63" s="148"/>
    </row>
    <row r="64" spans="1:61">
      <c r="C64" s="144"/>
      <c r="D64" s="266"/>
      <c r="E64" s="267"/>
      <c r="F64" s="146"/>
      <c r="G64" s="144"/>
      <c r="H64" s="266"/>
      <c r="I64" s="267"/>
      <c r="J64" s="148"/>
      <c r="K64" s="144"/>
      <c r="L64" s="266"/>
      <c r="M64" s="267"/>
      <c r="N64" s="148"/>
      <c r="O64" s="144"/>
      <c r="P64" s="266"/>
      <c r="Q64" s="267"/>
      <c r="R64" s="148"/>
      <c r="S64" s="144"/>
      <c r="T64" s="274"/>
      <c r="U64" s="275"/>
      <c r="V64" s="148"/>
      <c r="W64" s="144"/>
      <c r="X64" s="276"/>
      <c r="Y64" s="277"/>
      <c r="Z64" s="148"/>
      <c r="AA64" s="144"/>
      <c r="AB64" s="276"/>
      <c r="AC64" s="277"/>
      <c r="AD64" s="148"/>
      <c r="AE64" s="144"/>
      <c r="AF64" s="276"/>
      <c r="AG64" s="277"/>
      <c r="AH64" s="148"/>
      <c r="AI64" s="144"/>
      <c r="AJ64" s="276"/>
      <c r="AK64" s="277"/>
      <c r="AL64" s="148"/>
      <c r="AM64" s="144"/>
      <c r="AN64" s="276"/>
      <c r="AO64" s="277"/>
      <c r="AP64" s="148"/>
      <c r="AQ64" s="144"/>
      <c r="AR64" s="266"/>
      <c r="AS64" s="267"/>
      <c r="AT64" s="148"/>
      <c r="AU64" s="144"/>
      <c r="AV64" s="266"/>
      <c r="AW64" s="267"/>
      <c r="AX64" s="148"/>
    </row>
    <row r="65" spans="3:50">
      <c r="C65" s="144"/>
      <c r="D65" s="266"/>
      <c r="E65" s="267"/>
      <c r="F65" s="146"/>
      <c r="G65" s="144"/>
      <c r="H65" s="266"/>
      <c r="I65" s="267"/>
      <c r="J65" s="148"/>
      <c r="K65" s="144"/>
      <c r="L65" s="266"/>
      <c r="M65" s="267"/>
      <c r="N65" s="148"/>
      <c r="O65" s="144"/>
      <c r="P65" s="266"/>
      <c r="Q65" s="267"/>
      <c r="R65" s="148"/>
      <c r="S65" s="144"/>
      <c r="T65" s="274"/>
      <c r="U65" s="275"/>
      <c r="V65" s="148"/>
      <c r="W65" s="144"/>
      <c r="X65" s="276"/>
      <c r="Y65" s="277"/>
      <c r="Z65" s="148"/>
      <c r="AA65" s="144"/>
      <c r="AB65" s="276"/>
      <c r="AC65" s="277"/>
      <c r="AD65" s="148"/>
      <c r="AE65" s="144"/>
      <c r="AF65" s="276"/>
      <c r="AG65" s="277"/>
      <c r="AH65" s="148"/>
      <c r="AI65" s="144"/>
      <c r="AJ65" s="276"/>
      <c r="AK65" s="277"/>
      <c r="AL65" s="148"/>
      <c r="AM65" s="144"/>
      <c r="AN65" s="276"/>
      <c r="AO65" s="277"/>
      <c r="AP65" s="148"/>
      <c r="AQ65" s="144"/>
      <c r="AR65" s="266"/>
      <c r="AS65" s="267"/>
      <c r="AT65" s="148"/>
      <c r="AU65" s="144"/>
      <c r="AV65" s="266"/>
      <c r="AW65" s="267"/>
      <c r="AX65" s="148"/>
    </row>
    <row r="66" spans="3:50">
      <c r="C66" s="144"/>
      <c r="D66" s="266"/>
      <c r="E66" s="267"/>
      <c r="F66" s="146"/>
      <c r="G66" s="144"/>
      <c r="H66" s="266"/>
      <c r="I66" s="267"/>
      <c r="J66" s="148"/>
      <c r="K66" s="144"/>
      <c r="L66" s="266"/>
      <c r="M66" s="267"/>
      <c r="N66" s="148"/>
      <c r="O66" s="144"/>
      <c r="P66" s="266"/>
      <c r="Q66" s="267"/>
      <c r="R66" s="148"/>
      <c r="S66" s="144"/>
      <c r="T66" s="276"/>
      <c r="U66" s="277"/>
      <c r="V66" s="148"/>
      <c r="W66" s="144"/>
      <c r="X66" s="276"/>
      <c r="Y66" s="277"/>
      <c r="Z66" s="148"/>
      <c r="AA66" s="144"/>
      <c r="AB66" s="276"/>
      <c r="AC66" s="277"/>
      <c r="AD66" s="148"/>
      <c r="AE66" s="144"/>
      <c r="AF66" s="276"/>
      <c r="AG66" s="277"/>
      <c r="AH66" s="148"/>
      <c r="AI66" s="144"/>
      <c r="AJ66" s="276"/>
      <c r="AK66" s="277"/>
      <c r="AL66" s="148"/>
      <c r="AM66" s="144"/>
      <c r="AN66" s="276"/>
      <c r="AO66" s="277"/>
      <c r="AP66" s="148"/>
      <c r="AQ66" s="144"/>
      <c r="AR66" s="266"/>
      <c r="AS66" s="267"/>
      <c r="AT66" s="148"/>
      <c r="AU66" s="144"/>
      <c r="AV66" s="266"/>
      <c r="AW66" s="267"/>
      <c r="AX66" s="148"/>
    </row>
    <row r="67" spans="3:50">
      <c r="C67" s="144"/>
      <c r="D67" s="266"/>
      <c r="E67" s="267"/>
      <c r="F67" s="146"/>
      <c r="G67" s="144"/>
      <c r="H67" s="266"/>
      <c r="I67" s="267"/>
      <c r="J67" s="148"/>
      <c r="K67" s="144"/>
      <c r="L67" s="266"/>
      <c r="M67" s="267"/>
      <c r="N67" s="148"/>
      <c r="O67" s="144"/>
      <c r="P67" s="266"/>
      <c r="Q67" s="267"/>
      <c r="R67" s="148"/>
      <c r="S67" s="144"/>
      <c r="T67" s="276"/>
      <c r="U67" s="277"/>
      <c r="V67" s="148"/>
      <c r="W67" s="144"/>
      <c r="X67" s="276"/>
      <c r="Y67" s="277"/>
      <c r="Z67" s="148"/>
      <c r="AA67" s="144"/>
      <c r="AB67" s="276"/>
      <c r="AC67" s="277"/>
      <c r="AD67" s="148"/>
      <c r="AE67" s="144"/>
      <c r="AF67" s="276"/>
      <c r="AG67" s="277"/>
      <c r="AH67" s="148"/>
      <c r="AI67" s="144"/>
      <c r="AJ67" s="276"/>
      <c r="AK67" s="277"/>
      <c r="AL67" s="148"/>
      <c r="AM67" s="144"/>
      <c r="AN67" s="276"/>
      <c r="AO67" s="277"/>
      <c r="AP67" s="148"/>
      <c r="AQ67" s="144"/>
      <c r="AR67" s="266"/>
      <c r="AS67" s="267"/>
      <c r="AT67" s="148"/>
      <c r="AU67" s="144"/>
      <c r="AV67" s="266"/>
      <c r="AW67" s="267"/>
      <c r="AX67" s="148"/>
    </row>
    <row r="68" spans="3:50">
      <c r="C68" s="144"/>
      <c r="D68" s="266"/>
      <c r="E68" s="267"/>
      <c r="F68" s="146"/>
      <c r="G68" s="144"/>
      <c r="H68" s="266"/>
      <c r="I68" s="267"/>
      <c r="J68" s="148"/>
      <c r="K68" s="144"/>
      <c r="L68" s="266"/>
      <c r="M68" s="267"/>
      <c r="N68" s="148"/>
      <c r="O68" s="144"/>
      <c r="P68" s="266"/>
      <c r="Q68" s="267"/>
      <c r="R68" s="148"/>
      <c r="S68" s="144"/>
      <c r="T68" s="276"/>
      <c r="U68" s="277"/>
      <c r="V68" s="148"/>
      <c r="W68" s="144"/>
      <c r="X68" s="276"/>
      <c r="Y68" s="277"/>
      <c r="Z68" s="148"/>
      <c r="AA68" s="144"/>
      <c r="AB68" s="276"/>
      <c r="AC68" s="277"/>
      <c r="AD68" s="148"/>
      <c r="AE68" s="144"/>
      <c r="AF68" s="276"/>
      <c r="AG68" s="277"/>
      <c r="AH68" s="148"/>
      <c r="AI68" s="144"/>
      <c r="AJ68" s="276"/>
      <c r="AK68" s="277"/>
      <c r="AL68" s="148"/>
      <c r="AM68" s="144"/>
      <c r="AN68" s="276"/>
      <c r="AO68" s="277"/>
      <c r="AP68" s="148"/>
      <c r="AQ68" s="144"/>
      <c r="AR68" s="266"/>
      <c r="AS68" s="267"/>
      <c r="AT68" s="148"/>
      <c r="AU68" s="144"/>
      <c r="AV68" s="266"/>
      <c r="AW68" s="267"/>
      <c r="AX68" s="148"/>
    </row>
    <row r="69" spans="3:50">
      <c r="C69" s="144"/>
      <c r="D69" s="266"/>
      <c r="E69" s="267"/>
      <c r="F69" s="146"/>
      <c r="G69" s="144"/>
      <c r="H69" s="266"/>
      <c r="I69" s="267"/>
      <c r="J69" s="148"/>
      <c r="K69" s="144"/>
      <c r="L69" s="266"/>
      <c r="M69" s="267"/>
      <c r="N69" s="148"/>
      <c r="O69" s="144"/>
      <c r="P69" s="266"/>
      <c r="Q69" s="267"/>
      <c r="R69" s="148"/>
      <c r="S69" s="144"/>
      <c r="T69" s="276"/>
      <c r="U69" s="277"/>
      <c r="V69" s="148"/>
      <c r="W69" s="144"/>
      <c r="X69" s="276"/>
      <c r="Y69" s="277"/>
      <c r="Z69" s="148"/>
      <c r="AA69" s="144"/>
      <c r="AB69" s="276"/>
      <c r="AC69" s="277"/>
      <c r="AD69" s="148"/>
      <c r="AE69" s="144"/>
      <c r="AF69" s="276"/>
      <c r="AG69" s="277"/>
      <c r="AH69" s="148"/>
      <c r="AI69" s="144"/>
      <c r="AJ69" s="276"/>
      <c r="AK69" s="277"/>
      <c r="AL69" s="148"/>
      <c r="AM69" s="144"/>
      <c r="AN69" s="276"/>
      <c r="AO69" s="277"/>
      <c r="AP69" s="148"/>
      <c r="AQ69" s="144"/>
      <c r="AR69" s="266"/>
      <c r="AS69" s="267"/>
      <c r="AT69" s="148"/>
      <c r="AU69" s="144"/>
      <c r="AV69" s="266"/>
      <c r="AW69" s="267"/>
      <c r="AX69" s="148"/>
    </row>
    <row r="70" spans="3:50">
      <c r="C70" s="144"/>
      <c r="D70" s="266"/>
      <c r="E70" s="267"/>
      <c r="F70" s="146"/>
      <c r="G70" s="144"/>
      <c r="H70" s="266"/>
      <c r="I70" s="267"/>
      <c r="J70" s="148"/>
      <c r="K70" s="144"/>
      <c r="L70" s="266"/>
      <c r="M70" s="267"/>
      <c r="N70" s="148"/>
      <c r="O70" s="144"/>
      <c r="P70" s="266"/>
      <c r="Q70" s="267"/>
      <c r="R70" s="148"/>
      <c r="S70" s="144"/>
      <c r="T70" s="276"/>
      <c r="U70" s="277"/>
      <c r="V70" s="148"/>
      <c r="W70" s="144"/>
      <c r="X70" s="266" t="s">
        <v>431</v>
      </c>
      <c r="Y70" s="267"/>
      <c r="Z70" s="148">
        <f>3289.11+270.87</f>
        <v>3559.98</v>
      </c>
      <c r="AA70" s="144"/>
      <c r="AB70" s="276"/>
      <c r="AC70" s="277"/>
      <c r="AD70" s="148"/>
      <c r="AE70" s="144"/>
      <c r="AF70" s="276"/>
      <c r="AG70" s="277"/>
      <c r="AH70" s="148"/>
      <c r="AI70" s="144"/>
      <c r="AJ70" s="276"/>
      <c r="AK70" s="277"/>
      <c r="AL70" s="148"/>
      <c r="AM70" s="144"/>
      <c r="AN70" s="276"/>
      <c r="AO70" s="277"/>
      <c r="AP70" s="148"/>
      <c r="AQ70" s="144"/>
      <c r="AR70" s="266"/>
      <c r="AS70" s="267"/>
      <c r="AT70" s="148"/>
      <c r="AU70" s="144"/>
      <c r="AV70" s="266"/>
      <c r="AW70" s="267"/>
      <c r="AX70" s="148"/>
    </row>
    <row r="71" spans="3:50" ht="15.75" thickBot="1">
      <c r="C71" s="145"/>
      <c r="D71" s="264"/>
      <c r="E71" s="265"/>
      <c r="F71" s="147"/>
      <c r="G71" s="145"/>
      <c r="H71" s="264"/>
      <c r="I71" s="265"/>
      <c r="J71" s="149"/>
      <c r="K71" s="145"/>
      <c r="L71" s="264"/>
      <c r="M71" s="265"/>
      <c r="N71" s="149"/>
      <c r="O71" s="145"/>
      <c r="P71" s="264"/>
      <c r="Q71" s="265"/>
      <c r="R71" s="149"/>
      <c r="S71" s="145"/>
      <c r="T71" s="278"/>
      <c r="U71" s="279"/>
      <c r="V71" s="149"/>
      <c r="W71" s="145"/>
      <c r="X71" s="280" t="s">
        <v>432</v>
      </c>
      <c r="Y71" s="281"/>
      <c r="Z71" s="149">
        <f>Z70-1484.91-429.89</f>
        <v>1645.1799999999998</v>
      </c>
      <c r="AA71" s="145"/>
      <c r="AB71" s="278"/>
      <c r="AC71" s="279"/>
      <c r="AD71" s="149">
        <f>550-161.56</f>
        <v>388.44</v>
      </c>
      <c r="AE71" s="145"/>
      <c r="AF71" s="278"/>
      <c r="AG71" s="279"/>
      <c r="AH71" s="149"/>
      <c r="AI71" s="145"/>
      <c r="AJ71" s="278"/>
      <c r="AK71" s="279"/>
      <c r="AL71" s="149"/>
      <c r="AM71" s="145"/>
      <c r="AN71" s="278"/>
      <c r="AO71" s="279"/>
      <c r="AP71" s="149"/>
      <c r="AQ71" s="145"/>
      <c r="AR71" s="264"/>
      <c r="AS71" s="265"/>
      <c r="AT71" s="149"/>
      <c r="AU71" s="145"/>
      <c r="AV71" s="264"/>
      <c r="AW71" s="265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2037.62</v>
      </c>
      <c r="L5" s="305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6798.75</v>
      </c>
      <c r="L7" s="29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400+185+90</f>
        <v>675</v>
      </c>
      <c r="L11" s="29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24613.260000000002</v>
      </c>
      <c r="L19" s="300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4">
        <v>300</v>
      </c>
      <c r="L25" s="305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280.26</v>
      </c>
      <c r="L26" s="29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7">
        <v>586.85</v>
      </c>
      <c r="L27" s="29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7">
        <v>500</v>
      </c>
      <c r="L28" s="29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296" t="s">
        <v>10</v>
      </c>
      <c r="C424" s="295"/>
      <c r="D424" s="294" t="s">
        <v>11</v>
      </c>
      <c r="E424" s="294"/>
      <c r="F424" s="294"/>
      <c r="G424" s="295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2339.39</v>
      </c>
      <c r="L5" s="314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f>5618.33+399+8.39+28.86</f>
        <v>6054.58</v>
      </c>
      <c r="L7" s="312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v>260</v>
      </c>
      <c r="L11" s="312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23755.86</v>
      </c>
      <c r="L19" s="318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3">
        <v>209.32</v>
      </c>
      <c r="L25" s="314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1">
        <v>550</v>
      </c>
      <c r="L26" s="312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1">
        <v>0.06</v>
      </c>
      <c r="L27" s="312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1">
        <v>201.21</v>
      </c>
      <c r="L28" s="312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1">
        <v>124</v>
      </c>
      <c r="L29" s="312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topLeftCell="A106" workbookViewId="0">
      <selection activeCell="J119" sqref="J119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2513.6799999999998</v>
      </c>
      <c r="L5" s="314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550.05999999999995</v>
      </c>
      <c r="L6" s="312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v>5258.31</v>
      </c>
      <c r="L7" s="312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f>380+60</f>
        <v>440</v>
      </c>
      <c r="L11" s="312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23313.940000000002</v>
      </c>
      <c r="L19" s="318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3">
        <f>15.31+20.31</f>
        <v>35.619999999999997</v>
      </c>
      <c r="L25" s="314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705</v>
      </c>
      <c r="K26" s="311">
        <v>340</v>
      </c>
      <c r="L26" s="312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2</v>
      </c>
      <c r="J27" s="35" t="s">
        <v>276</v>
      </c>
      <c r="K27" s="311">
        <v>346.47</v>
      </c>
      <c r="L27" s="312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873.75</v>
      </c>
      <c r="B40" s="221">
        <f>SUM(B26:B39)</f>
        <v>1128</v>
      </c>
      <c r="C40" s="34" t="s">
        <v>66</v>
      </c>
      <c r="D40" s="221">
        <f>SUM(D26:D39)</f>
        <v>917.95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728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734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730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735</v>
      </c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267.79999999999995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727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35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737</v>
      </c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136.05000000000001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729.94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731.24</v>
      </c>
      <c r="B120" s="221">
        <f>SUM(B106:B119)</f>
        <v>400</v>
      </c>
      <c r="C120" s="34" t="s">
        <v>66</v>
      </c>
      <c r="D120" s="221">
        <f>SUM(D106:D119)</f>
        <v>648.88000000000011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>
        <f>27.61-E286</f>
        <v>20.61</v>
      </c>
      <c r="F186" s="224"/>
      <c r="G186" s="33" t="s">
        <v>731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729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35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731</v>
      </c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7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733</v>
      </c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736</v>
      </c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12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4.7+4.45+3.7+2.8+4.45</f>
        <v>20.100000000000001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10.050000000000001</v>
      </c>
      <c r="E380" s="221">
        <f>SUM(E366:E379)</f>
        <v>0</v>
      </c>
      <c r="F380" s="221">
        <f>SUM(F366:F379)</f>
        <v>20.100000000000001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</f>
        <v>4030.58</v>
      </c>
      <c r="B426" s="220">
        <f>'2018'!AQ17 -A426</f>
        <v>-2567.73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-2567.73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88" workbookViewId="0">
      <selection activeCell="B102" sqref="B102:G10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2001.75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779.94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1110.71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1462.46</v>
      </c>
      <c r="L5" s="305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423.18</v>
      </c>
      <c r="L6" s="29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7102.9</v>
      </c>
      <c r="L7" s="29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1250</v>
      </c>
      <c r="L8" s="29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7">
        <v>100.34</v>
      </c>
      <c r="L9" s="29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7">
        <f>5007.8</f>
        <v>5007.8</v>
      </c>
      <c r="L10" s="29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7">
        <v>1566.09</v>
      </c>
      <c r="L11" s="29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7">
        <v>1800</v>
      </c>
      <c r="L12" s="29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7">
        <f>75+20+95</f>
        <v>190</v>
      </c>
      <c r="L13" s="29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SUM(K5:K18)-K11</f>
        <v>17336.68</v>
      </c>
      <c r="L19" s="300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4">
        <v>1.01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7">
        <v>0.04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7">
        <v>2831.41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7">
        <v>72.66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7">
        <v>93.93</v>
      </c>
      <c r="L29" s="29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7">
        <v>700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7">
        <v>50</v>
      </c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7">
        <v>229.4</v>
      </c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7">
        <v>0.05</v>
      </c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7">
        <v>1566.27</v>
      </c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7">
        <v>449</v>
      </c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7">
        <v>314.12</v>
      </c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1295.79</v>
      </c>
      <c r="L5" s="305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379.61</v>
      </c>
      <c r="L6" s="29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7271.78</v>
      </c>
      <c r="L7" s="29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7">
        <v>9090.56</v>
      </c>
      <c r="L8" s="29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69.22</v>
      </c>
      <c r="L9" s="29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290+20</f>
        <v>310</v>
      </c>
      <c r="L11" s="29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7"/>
      <c r="L12" s="29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20217</v>
      </c>
      <c r="L19" s="300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7">
        <v>176.46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7">
        <v>47.52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7">
        <v>93.93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7">
        <v>447.43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7">
        <v>1638.24</v>
      </c>
      <c r="L29" s="29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1852.76</v>
      </c>
      <c r="L5" s="305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335.99</v>
      </c>
      <c r="L6" s="29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7">
        <v>7882.01</v>
      </c>
      <c r="L7" s="29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3390.56</v>
      </c>
      <c r="L8" s="29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30+40+170</f>
        <v>240</v>
      </c>
      <c r="L11" s="29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21214.57</v>
      </c>
      <c r="L19" s="300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259.36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7">
        <v>176.46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1117.3699999999999</v>
      </c>
      <c r="L5" s="305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292.37</v>
      </c>
      <c r="L6" s="29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7">
        <f>6685.64-16.84-6.88</f>
        <v>6661.92</v>
      </c>
      <c r="L7" s="29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90+30+15</f>
        <v>135</v>
      </c>
      <c r="L11" s="29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20719.909999999996</v>
      </c>
      <c r="L19" s="300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249.22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197.22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7">
        <v>2290.23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7">
        <v>80.099999999999994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7">
        <v>0.03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7">
        <v>325.64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1091.18</v>
      </c>
      <c r="L5" s="305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248.78</v>
      </c>
      <c r="L6" s="29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7">
        <v>8736.65</v>
      </c>
      <c r="L7" s="29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40+276</f>
        <v>316</v>
      </c>
      <c r="L11" s="29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22905.86</v>
      </c>
      <c r="L19" s="300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4">
        <v>38.64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7">
        <v>249.22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7">
        <v>155.69999999999999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2311.09</v>
      </c>
      <c r="L5" s="305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205.16</v>
      </c>
      <c r="L6" s="29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6999</v>
      </c>
      <c r="L7" s="29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465+90</f>
        <v>555</v>
      </c>
      <c r="L11" s="29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23622.14</v>
      </c>
      <c r="L19" s="300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4">
        <v>197.22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7">
        <v>200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2946.37</v>
      </c>
      <c r="L5" s="305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161.54</v>
      </c>
      <c r="L6" s="29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7451.76</v>
      </c>
      <c r="L7" s="29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v>800</v>
      </c>
      <c r="L11" s="29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7">
        <v>5092.08</v>
      </c>
      <c r="L12" s="29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24911.559999999998</v>
      </c>
      <c r="L19" s="300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4">
        <v>134.94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7">
        <v>83.04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7">
        <v>786.42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7">
        <v>26.77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7">
        <v>0.02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f>2534.79-49</f>
        <v>2485.79</v>
      </c>
      <c r="L5" s="305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6661.07</v>
      </c>
      <c r="L7" s="29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220+20</f>
        <v>240</v>
      </c>
      <c r="L11" s="29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24488.75</v>
      </c>
      <c r="L19" s="300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4">
        <v>269.88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7">
        <v>49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2018-11-16T16:15:16Z</dcterms:modified>
</cp:coreProperties>
</file>