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3B8C1AFC-3602-4141-9E8F-6E1E37E16098}" xr6:coauthVersionLast="41" xr6:coauthVersionMax="41" xr10:uidLastSave="{00000000-0000-0000-0000-000000000000}"/>
  <bookViews>
    <workbookView xWindow="-108" yWindow="12852" windowWidth="22116" windowHeight="13176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96" i="1" l="1"/>
  <c r="F366" i="13" l="1"/>
  <c r="AT95" i="1" l="1"/>
  <c r="A108" i="13"/>
  <c r="L55" i="13"/>
  <c r="B307" i="13" s="1"/>
  <c r="A427" i="13" l="1"/>
  <c r="D7" i="19"/>
  <c r="B3" i="19"/>
  <c r="P32" i="18"/>
  <c r="A109" i="13"/>
  <c r="L56" i="12"/>
  <c r="F366" i="12" l="1"/>
  <c r="B299" i="13" l="1"/>
  <c r="B130" i="13"/>
  <c r="B467" i="13"/>
  <c r="B256" i="13"/>
  <c r="B257" i="13"/>
  <c r="A359" i="13" l="1"/>
  <c r="A358" i="13"/>
  <c r="A346" i="13"/>
  <c r="A299" i="13"/>
  <c r="A286" i="13"/>
  <c r="A256" i="13"/>
  <c r="A246" i="13"/>
  <c r="A130" i="13"/>
  <c r="A129" i="13"/>
  <c r="A126" i="13"/>
  <c r="A79" i="13"/>
  <c r="A360" i="13" l="1"/>
  <c r="A300" i="13"/>
  <c r="B308" i="12"/>
  <c r="L55" i="11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B2" i="13"/>
  <c r="N36" i="18" l="1"/>
  <c r="Q36" i="18" s="1"/>
  <c r="L36" i="18"/>
  <c r="D36" i="18"/>
  <c r="L40" i="12"/>
  <c r="P36" i="18" l="1"/>
  <c r="R36" i="18" s="1"/>
  <c r="K9" i="12"/>
  <c r="K7" i="12"/>
  <c r="K11" i="12"/>
  <c r="D316" i="11"/>
  <c r="D315" i="11"/>
  <c r="A130" i="11" l="1"/>
  <c r="A130" i="12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B12" i="19"/>
  <c r="Q29" i="18" l="1"/>
  <c r="Q30" i="18"/>
  <c r="Q34" i="18"/>
  <c r="Q9" i="18"/>
  <c r="Q6" i="18"/>
  <c r="Q7" i="18"/>
  <c r="Q8" i="18"/>
  <c r="L32" i="11" l="1"/>
  <c r="D247" i="1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M60" i="10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B26" i="15"/>
  <c r="U28" i="18"/>
  <c r="F366" i="9"/>
  <c r="H48" i="10" l="1"/>
  <c r="M5" i="9" l="1"/>
  <c r="H48" i="9" l="1"/>
  <c r="A299" i="9" l="1"/>
  <c r="A299" i="10" s="1"/>
  <c r="A299" i="11" s="1"/>
  <c r="A299" i="12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2" s="1"/>
  <c r="A360" i="11"/>
  <c r="L55" i="8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C4" i="19" l="1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X36" i="18" l="1"/>
  <c r="Y36" i="18" s="1"/>
  <c r="X27" i="18"/>
  <c r="Y27" i="18" s="1"/>
  <c r="X19" i="18"/>
  <c r="X39" i="18"/>
  <c r="Y39" i="18" s="1"/>
  <c r="X31" i="18"/>
  <c r="Y31" i="18" s="1"/>
  <c r="X23" i="18"/>
  <c r="Y23" i="18" s="1"/>
  <c r="X15" i="18"/>
  <c r="Y15" i="18" s="1"/>
  <c r="X38" i="18"/>
  <c r="Y38" i="18" s="1"/>
  <c r="X30" i="18"/>
  <c r="Y30" i="18" s="1"/>
  <c r="X22" i="18"/>
  <c r="Y22" i="18" s="1"/>
  <c r="X14" i="18"/>
  <c r="Y14" i="18" s="1"/>
  <c r="X37" i="18"/>
  <c r="Y37" i="18" s="1"/>
  <c r="X29" i="18"/>
  <c r="Y29" i="18" s="1"/>
  <c r="X21" i="18"/>
  <c r="Y21" i="18" s="1"/>
  <c r="X20" i="18"/>
  <c r="X34" i="18"/>
  <c r="Y34" i="18" s="1"/>
  <c r="X26" i="18"/>
  <c r="Y26" i="18" s="1"/>
  <c r="X18" i="18"/>
  <c r="Y18" i="18" s="1"/>
  <c r="X41" i="18"/>
  <c r="Y41" i="18" s="1"/>
  <c r="X33" i="18"/>
  <c r="X25" i="18"/>
  <c r="X17" i="18"/>
  <c r="Y17" i="18" s="1"/>
  <c r="X40" i="18"/>
  <c r="Y40" i="18" s="1"/>
  <c r="X32" i="18"/>
  <c r="Y32" i="18" s="1"/>
  <c r="X24" i="18"/>
  <c r="Y24" i="18" s="1"/>
  <c r="X16" i="18"/>
  <c r="Y16" i="18" s="1"/>
  <c r="X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Q20" i="18" s="1"/>
  <c r="O20" i="18" l="1"/>
  <c r="E20" i="18"/>
  <c r="Y20" i="18" s="1"/>
  <c r="U71" i="18"/>
  <c r="U68" i="18"/>
  <c r="U69" i="18" s="1"/>
  <c r="U70" i="18" s="1"/>
  <c r="U60" i="18"/>
  <c r="U61" i="18" s="1"/>
  <c r="H59" i="18"/>
  <c r="H58" i="18"/>
  <c r="H57" i="18"/>
  <c r="H56" i="18"/>
  <c r="H35" i="18"/>
  <c r="M35" i="18" s="1"/>
  <c r="P34" i="18"/>
  <c r="R34" i="18" s="1"/>
  <c r="H33" i="18"/>
  <c r="M33" i="18" s="1"/>
  <c r="P30" i="18"/>
  <c r="R30" i="18" s="1"/>
  <c r="P29" i="18"/>
  <c r="R29" i="18" s="1"/>
  <c r="K28" i="18"/>
  <c r="H28" i="18"/>
  <c r="M28" i="18" s="1"/>
  <c r="H25" i="18"/>
  <c r="M25" i="18" s="1"/>
  <c r="R24" i="18"/>
  <c r="R21" i="18"/>
  <c r="H19" i="18"/>
  <c r="M19" i="18" s="1"/>
  <c r="R14" i="18"/>
  <c r="T13" i="18" s="1"/>
  <c r="H13" i="18"/>
  <c r="I13" i="18" s="1"/>
  <c r="J13" i="18" s="1"/>
  <c r="H5" i="18"/>
  <c r="M5" i="18" s="1"/>
  <c r="H4" i="18"/>
  <c r="M4" i="18" s="1"/>
  <c r="H3" i="18"/>
  <c r="I3" i="18" s="1"/>
  <c r="J3" i="18" s="1"/>
  <c r="N19" i="18" l="1"/>
  <c r="Q19" i="18"/>
  <c r="N35" i="18"/>
  <c r="Q35" i="18" s="1"/>
  <c r="N25" i="18"/>
  <c r="O25" i="18" s="1"/>
  <c r="Q25" i="18"/>
  <c r="T19" i="18"/>
  <c r="I4" i="18"/>
  <c r="J4" i="18" s="1"/>
  <c r="I25" i="18"/>
  <c r="J25" i="18" s="1"/>
  <c r="M3" i="18"/>
  <c r="P20" i="18"/>
  <c r="R20" i="18" s="1"/>
  <c r="D35" i="18"/>
  <c r="X35" i="18" s="1"/>
  <c r="D28" i="18"/>
  <c r="X28" i="18" s="1"/>
  <c r="M13" i="18"/>
  <c r="I33" i="18"/>
  <c r="I19" i="18"/>
  <c r="J19" i="18" s="1"/>
  <c r="O19" i="18" s="1"/>
  <c r="I28" i="18"/>
  <c r="J28" i="18" s="1"/>
  <c r="I35" i="18"/>
  <c r="J35" i="18" s="1"/>
  <c r="N28" i="18"/>
  <c r="Q28" i="18" s="1"/>
  <c r="N5" i="18"/>
  <c r="Q5" i="18" s="1"/>
  <c r="N33" i="18"/>
  <c r="Q33" i="18" s="1"/>
  <c r="N4" i="18"/>
  <c r="Q4" i="18" s="1"/>
  <c r="I5" i="18"/>
  <c r="E13" i="18"/>
  <c r="Y13" i="18" s="1"/>
  <c r="E3" i="18"/>
  <c r="E25" i="18"/>
  <c r="Y25" i="18" s="1"/>
  <c r="B46" i="7"/>
  <c r="N3" i="18" l="1"/>
  <c r="Q3" i="18" s="1"/>
  <c r="O35" i="18"/>
  <c r="N13" i="18"/>
  <c r="N42" i="18" s="1"/>
  <c r="P25" i="18"/>
  <c r="R25" i="18" s="1"/>
  <c r="J33" i="18"/>
  <c r="O33" i="18" s="1"/>
  <c r="O28" i="18"/>
  <c r="X42" i="18"/>
  <c r="D42" i="18"/>
  <c r="E35" i="18"/>
  <c r="P35" i="18" s="1"/>
  <c r="E19" i="18"/>
  <c r="Y19" i="18" s="1"/>
  <c r="O4" i="18"/>
  <c r="E4" i="18"/>
  <c r="E28" i="18"/>
  <c r="Y28" i="18" s="1"/>
  <c r="J5" i="18"/>
  <c r="O5" i="18" s="1"/>
  <c r="D51" i="6"/>
  <c r="Q13" i="18" l="1"/>
  <c r="O42" i="18"/>
  <c r="O3" i="18"/>
  <c r="P3" i="18"/>
  <c r="R3" i="18" s="1"/>
  <c r="Y35" i="18"/>
  <c r="E33" i="18"/>
  <c r="E42" i="18" s="1"/>
  <c r="J42" i="18"/>
  <c r="R35" i="18"/>
  <c r="P4" i="18"/>
  <c r="R4" i="18" s="1"/>
  <c r="E5" i="18"/>
  <c r="P28" i="18"/>
  <c r="A429" i="6"/>
  <c r="Y33" i="18" l="1"/>
  <c r="Y42" i="18" s="1"/>
  <c r="P33" i="18"/>
  <c r="R33" i="18" s="1"/>
  <c r="D6" i="19"/>
  <c r="D5" i="19"/>
  <c r="D4" i="19"/>
  <c r="D3" i="19"/>
  <c r="R28" i="18"/>
  <c r="T28" i="18" s="1"/>
  <c r="P42" i="18"/>
  <c r="P5" i="18"/>
  <c r="R5" i="18" s="1"/>
  <c r="R42" i="18" l="1"/>
  <c r="Z42" i="18"/>
  <c r="AA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7" i="13" s="1"/>
  <c r="A140" i="13" s="1"/>
  <c r="A129" i="5"/>
  <c r="A129" i="6" s="1"/>
  <c r="A129" i="7" s="1"/>
  <c r="A129" i="8" s="1"/>
  <c r="A129" i="9" s="1"/>
  <c r="A129" i="10" s="1"/>
  <c r="A129" i="11" s="1"/>
  <c r="A129" i="12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A140" i="12" s="1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247" i="4" l="1"/>
  <c r="D51" i="4" s="1"/>
  <c r="F68" i="4"/>
  <c r="D49" i="4"/>
  <c r="D67" i="4"/>
  <c r="A173" i="2" l="1"/>
  <c r="A166" i="2"/>
  <c r="D74" i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A66" i="9" s="1"/>
  <c r="A66" i="10" s="1"/>
  <c r="D56" i="2"/>
  <c r="D55" i="2"/>
  <c r="D54" i="2"/>
  <c r="B467" i="2" l="1"/>
  <c r="A66" i="11" l="1"/>
  <c r="A66" i="12" s="1"/>
  <c r="A66" i="13" s="1"/>
  <c r="A80" i="13" s="1"/>
  <c r="A79" i="2"/>
  <c r="A79" i="3" s="1"/>
  <c r="A79" i="4" s="1"/>
  <c r="A79" i="5" s="1"/>
  <c r="A80" i="5" l="1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80" i="9" l="1"/>
  <c r="A79" i="10"/>
  <c r="A120" i="2"/>
  <c r="A20" i="2"/>
  <c r="A26" i="2"/>
  <c r="A40" i="2" s="1"/>
  <c r="A468" i="2"/>
  <c r="A480" i="2" s="1"/>
  <c r="AZ48" i="1"/>
  <c r="A79" i="11" l="1"/>
  <c r="A80" i="10"/>
  <c r="A467" i="3"/>
  <c r="A467" i="4" s="1"/>
  <c r="A467" i="5" s="1"/>
  <c r="A467" i="6" s="1"/>
  <c r="A467" i="7" s="1"/>
  <c r="A467" i="8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7" i="11" l="1"/>
  <c r="A7" i="12" s="1"/>
  <c r="A7" i="13" s="1"/>
  <c r="A13" i="11"/>
  <c r="A13" i="12" s="1"/>
  <c r="A13" i="13" s="1"/>
  <c r="A12" i="12"/>
  <c r="A12" i="13" s="1"/>
  <c r="A12" i="11"/>
  <c r="A28" i="11"/>
  <c r="A28" i="12" s="1"/>
  <c r="A28" i="13" s="1"/>
  <c r="A467" i="9"/>
  <c r="A467" i="10" s="1"/>
  <c r="A79" i="12"/>
  <c r="A80" i="12" s="1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9" i="5"/>
  <c r="A109" i="6" s="1"/>
  <c r="A109" i="7" s="1"/>
  <c r="A109" i="8" s="1"/>
  <c r="A108" i="5"/>
  <c r="A108" i="6" s="1"/>
  <c r="A108" i="7" s="1"/>
  <c r="A108" i="8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7" i="11" l="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10"/>
  <c r="A109" i="9"/>
  <c r="A468" i="7"/>
  <c r="A468" i="8" s="1"/>
  <c r="A468" i="9" s="1"/>
  <c r="A468" i="10" s="1"/>
  <c r="A480" i="6"/>
  <c r="L20" i="2"/>
  <c r="N22" i="2"/>
  <c r="A40" i="4"/>
  <c r="A40" i="5"/>
  <c r="A40" i="6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108" i="11" l="1"/>
  <c r="A108" i="12" s="1"/>
  <c r="A109" i="11"/>
  <c r="A109" i="12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F15" i="16"/>
  <c r="G6" i="16"/>
  <c r="I16" i="15"/>
  <c r="A17" i="15"/>
  <c r="E3" i="15"/>
  <c r="E11" i="15"/>
  <c r="E14" i="15"/>
  <c r="E15" i="15"/>
  <c r="E17" i="15"/>
  <c r="E19" i="14" l="1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J25" i="15"/>
  <c r="L25" i="15" s="1"/>
  <c r="M25" i="15" s="1"/>
  <c r="M83" i="15" s="1"/>
  <c r="C5" i="1"/>
  <c r="B14" i="14"/>
  <c r="I18" i="15"/>
  <c r="A19" i="15"/>
  <c r="D63" i="17" l="1"/>
  <c r="E9" i="14"/>
  <c r="G23" i="15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50" i="1" s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50" i="1" s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A425" i="11" l="1"/>
  <c r="B426" i="11" s="1"/>
  <c r="B440" i="11" s="1"/>
  <c r="B426" i="3"/>
  <c r="B440" i="3" s="1"/>
  <c r="I64" i="15"/>
  <c r="H63" i="15" s="1"/>
  <c r="AF41" i="1"/>
  <c r="AO21" i="1"/>
  <c r="AO22" i="1"/>
  <c r="AO50" i="1" s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50" i="1" s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B5" i="14" s="1"/>
  <c r="E10" i="14" s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H34" i="1" l="1"/>
  <c r="AL34" i="1" s="1"/>
  <c r="AP34" i="1" s="1"/>
  <c r="AT34" i="1" s="1"/>
  <c r="A286" i="9"/>
  <c r="M7" i="14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BJ32" i="1" s="1"/>
  <c r="D83" i="15"/>
  <c r="E24" i="15"/>
  <c r="E83" i="15" s="1"/>
  <c r="K7" i="14"/>
  <c r="L8" i="14" s="1"/>
  <c r="AX23" i="1"/>
  <c r="BJ23" i="1" s="1"/>
  <c r="AX38" i="1"/>
  <c r="BJ38" i="1" s="1"/>
  <c r="AX30" i="1"/>
  <c r="BJ30" i="1"/>
  <c r="AX39" i="1"/>
  <c r="BJ39" i="1" s="1"/>
  <c r="AX27" i="1"/>
  <c r="BJ27" i="1" s="1"/>
  <c r="AX34" i="1"/>
  <c r="BJ34" i="1"/>
  <c r="AX36" i="1"/>
  <c r="BJ36" i="1" s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300" i="9" l="1"/>
  <c r="A286" i="10"/>
  <c r="K8" i="14"/>
  <c r="L9" i="14" s="1"/>
  <c r="A246" i="5"/>
  <c r="A246" i="6" s="1"/>
  <c r="AX21" i="1"/>
  <c r="BJ21" i="1"/>
  <c r="AX22" i="1"/>
  <c r="BJ22" i="1" s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A286" i="11" l="1"/>
  <c r="A300" i="10"/>
  <c r="M9" i="14"/>
  <c r="N9" i="14" s="1"/>
  <c r="A246" i="7"/>
  <c r="A246" i="8" s="1"/>
  <c r="A246" i="9" s="1"/>
  <c r="A246" i="10" s="1"/>
  <c r="A246" i="11" s="1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A300" i="11"/>
  <c r="A286" i="12"/>
  <c r="A300" i="12" s="1"/>
  <c r="K10" i="14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AX20" i="1"/>
  <c r="BJ20" i="1"/>
  <c r="AX40" i="1"/>
  <c r="BJ40" i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7" i="13" s="1"/>
  <c r="A260" i="13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2" s="1"/>
  <c r="A260" i="11"/>
</calcChain>
</file>

<file path=xl/sharedStrings.xml><?xml version="1.0" encoding="utf-8"?>
<sst xmlns="http://schemas.openxmlformats.org/spreadsheetml/2006/main" count="5903" uniqueCount="969">
  <si>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</si>
  <si>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</si>
  <si>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</si>
  <si>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</si>
  <si>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</si>
  <si>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</si>
  <si>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</si>
  <si>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</si>
  <si>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</si>
  <si>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</si>
  <si>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</si>
  <si>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</si>
  <si>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</si>
  <si>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</si>
  <si>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</si>
  <si>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</si>
  <si>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</si>
  <si>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</si>
  <si>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</si>
  <si>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</si>
  <si>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</si>
  <si>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</si>
  <si>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</si>
  <si>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</si>
  <si>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</si>
  <si>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</si>
  <si>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</si>
  <si>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</si>
  <si>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</si>
  <si>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</si>
  <si>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</si>
  <si>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</si>
  <si>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</si>
  <si>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</si>
  <si>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</si>
  <si>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</si>
  <si>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</si>
  <si>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</si>
  <si>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</si>
  <si>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</si>
  <si>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</si>
  <si>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</si>
  <si>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</si>
  <si>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</si>
  <si>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</si>
  <si>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</si>
  <si>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</si>
  <si>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</si>
  <si>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</si>
  <si>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</si>
  <si>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</si>
  <si>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</si>
  <si>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</si>
  <si>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</si>
  <si>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</si>
  <si>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</si>
  <si>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</si>
  <si>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</si>
  <si>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</si>
  <si>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</si>
  <si>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</si>
  <si>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</si>
  <si>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</si>
  <si>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</si>
  <si>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</si>
  <si>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</si>
  <si>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</si>
  <si>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</si>
  <si>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</si>
  <si>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</si>
  <si>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</si>
  <si>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</si>
  <si>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</si>
  <si>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</si>
  <si>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</si>
  <si>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</si>
  <si>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</si>
  <si>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</si>
  <si>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</si>
  <si>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</si>
  <si>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</si>
  <si>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</si>
  <si>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</si>
  <si>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</si>
  <si>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</si>
  <si>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</si>
  <si>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</si>
  <si>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</si>
  <si>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</si>
  <si>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</si>
  <si>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</si>
  <si>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</si>
  <si>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</si>
  <si>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</si>
  <si>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</si>
  <si>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</si>
  <si>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</si>
  <si>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</si>
  <si>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</si>
  <si>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</si>
  <si>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</si>
  <si>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</si>
  <si>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</si>
  <si>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</si>
  <si>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</si>
  <si>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</si>
  <si>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</si>
  <si>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</si>
  <si>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</si>
  <si>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</si>
  <si>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</si>
  <si>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</si>
  <si>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</si>
  <si>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</si>
  <si>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</si>
  <si>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</si>
  <si>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</si>
  <si>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</si>
  <si>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</si>
  <si>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</si>
  <si>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</si>
  <si>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</si>
  <si>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</si>
  <si>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</si>
  <si>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</si>
  <si>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</si>
  <si>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</si>
  <si>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</si>
  <si>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</si>
  <si>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</si>
  <si>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</si>
  <si>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</si>
  <si>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</si>
  <si>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</si>
  <si>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</si>
  <si>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</si>
  <si>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</si>
  <si>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</si>
  <si>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</si>
  <si>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</si>
  <si>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</si>
  <si>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</si>
  <si>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</si>
  <si>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</si>
  <si>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</si>
  <si>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</si>
  <si>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</si>
  <si>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</si>
  <si>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</si>
  <si>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</si>
  <si>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</si>
  <si>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</si>
  <si>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</si>
  <si>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</si>
  <si>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</si>
  <si>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</si>
  <si>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</si>
  <si>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</si>
  <si>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</si>
  <si>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</si>
  <si>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</si>
  <si>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</si>
  <si>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</si>
  <si>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</si>
  <si>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</si>
  <si>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</si>
  <si>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</si>
  <si>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</si>
  <si>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</si>
  <si>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</si>
  <si>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</si>
  <si>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</si>
  <si>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</si>
  <si>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</si>
  <si>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</si>
  <si>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</si>
  <si>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</si>
  <si>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</si>
  <si>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</si>
  <si>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</si>
  <si>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</si>
  <si>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</si>
  <si>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</si>
  <si>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</si>
  <si>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</si>
  <si>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</si>
  <si>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</si>
  <si>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</si>
  <si>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</si>
  <si>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</si>
  <si>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</si>
  <si>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</si>
  <si>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</si>
  <si>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</si>
  <si>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</si>
  <si>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</si>
  <si>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</si>
  <si>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</si>
  <si>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</si>
  <si>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</si>
  <si>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</si>
  <si>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</si>
  <si>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</si>
  <si>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</si>
  <si>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</si>
  <si>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</si>
  <si>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</si>
  <si>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</si>
  <si>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</si>
  <si>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</si>
  <si>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</si>
  <si>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</si>
  <si>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</si>
  <si>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</si>
  <si>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</si>
  <si>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</si>
  <si>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</si>
  <si>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</si>
  <si>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</si>
  <si>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</si>
  <si>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</si>
  <si>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</si>
  <si>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</si>
  <si>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</si>
  <si>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</si>
  <si>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</si>
  <si>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</si>
  <si>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</si>
  <si>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</si>
  <si>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</si>
  <si>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</si>
  <si>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</si>
  <si>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</si>
  <si>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</si>
  <si>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</si>
  <si>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</si>
  <si>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</si>
  <si>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</si>
  <si>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</si>
  <si>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</si>
  <si>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</si>
  <si>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</si>
  <si>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</si>
  <si>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</si>
  <si>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</si>
  <si>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</si>
  <si>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</si>
  <si>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</si>
  <si>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</si>
  <si>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</si>
  <si>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</si>
  <si>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</si>
  <si>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</si>
  <si>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</si>
  <si>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</si>
  <si>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</si>
  <si>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</si>
  <si>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</si>
  <si>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</si>
  <si>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</si>
  <si>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</si>
  <si>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</si>
  <si>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</si>
  <si>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</si>
  <si>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</si>
  <si>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</si>
  <si>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</si>
  <si>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</si>
  <si>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</si>
  <si>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</si>
  <si>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</si>
  <si>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</si>
  <si>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</si>
  <si>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</si>
  <si>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</si>
  <si>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</si>
  <si>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</si>
  <si>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</si>
  <si>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</si>
  <si>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</si>
  <si>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</si>
  <si>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</si>
  <si>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</si>
  <si>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</si>
  <si>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</si>
  <si>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</si>
  <si>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</si>
  <si>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</si>
  <si>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</si>
  <si>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</si>
  <si>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</si>
  <si>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</si>
  <si>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</si>
  <si>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</si>
  <si>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</si>
  <si>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</si>
  <si>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</si>
  <si>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</si>
  <si>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</si>
  <si>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</si>
  <si>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</si>
  <si>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</si>
  <si>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</si>
  <si>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</si>
  <si>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</si>
  <si>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</si>
  <si>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</si>
  <si>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</si>
  <si>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</si>
  <si>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</si>
  <si>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</si>
  <si>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</si>
  <si>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</si>
  <si>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</si>
  <si>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</si>
  <si>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</si>
  <si>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</si>
  <si>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</si>
  <si>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</si>
  <si>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</si>
  <si>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</si>
  <si>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</si>
  <si>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</si>
  <si>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</si>
  <si>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</si>
  <si>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</si>
  <si>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</si>
  <si>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</si>
  <si>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</si>
  <si>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</si>
  <si>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</si>
  <si>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</si>
  <si>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</si>
  <si>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</si>
  <si>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</si>
  <si>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</si>
  <si>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</si>
  <si>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</si>
  <si>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</si>
  <si>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</si>
  <si>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</si>
  <si>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</si>
  <si>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</si>
  <si>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</si>
  <si>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</si>
  <si>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</si>
  <si>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</si>
  <si>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</si>
  <si>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</si>
  <si>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</si>
  <si>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</si>
  <si>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</si>
  <si>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</si>
  <si>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</si>
  <si>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</si>
  <si>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</si>
  <si>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</si>
  <si>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</si>
  <si>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</si>
  <si>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</si>
  <si>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</si>
  <si>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</si>
  <si>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</si>
  <si>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</si>
  <si>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</si>
  <si>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</si>
  <si>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</si>
  <si>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</si>
  <si>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</si>
  <si>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</si>
  <si>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</si>
  <si>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</si>
  <si>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</si>
  <si>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</si>
  <si>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</si>
  <si>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</si>
  <si>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</si>
  <si>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</si>
  <si>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</si>
  <si>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</si>
  <si>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</si>
  <si>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</si>
  <si>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</si>
  <si>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</si>
  <si>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</si>
  <si>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</si>
  <si>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</si>
  <si>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</si>
  <si>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</si>
  <si>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</si>
  <si>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</si>
  <si>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</si>
  <si>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</si>
  <si>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</si>
  <si>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</si>
  <si>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</si>
  <si>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</si>
  <si>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</si>
  <si>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</si>
  <si>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</si>
  <si>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</si>
  <si>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</si>
  <si>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</si>
  <si>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</si>
  <si>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</si>
  <si>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</si>
  <si>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</si>
  <si>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</si>
  <si>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</si>
  <si>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</si>
  <si>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</si>
  <si>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</si>
  <si>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</si>
  <si>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</si>
  <si>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</si>
  <si>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</si>
  <si>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</si>
  <si>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</si>
  <si>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</si>
  <si>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</si>
  <si>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</si>
  <si>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</si>
  <si>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</si>
  <si>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</si>
  <si>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</si>
  <si>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</si>
  <si>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</si>
  <si>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</si>
  <si>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</si>
  <si>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</si>
  <si>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</si>
  <si>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</si>
  <si>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</si>
  <si>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</si>
  <si>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</si>
  <si>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</si>
  <si>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</si>
  <si>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</si>
  <si>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</si>
  <si>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</si>
  <si>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</si>
  <si>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</si>
  <si>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</si>
  <si>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</si>
  <si>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</si>
  <si>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</si>
  <si>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</si>
  <si>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</si>
  <si>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</si>
  <si>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</si>
  <si>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</si>
  <si>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</si>
  <si>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</si>
  <si>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</si>
  <si>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</si>
  <si>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</si>
  <si>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</si>
  <si>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</si>
  <si>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</si>
  <si>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</si>
  <si>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</si>
  <si>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</si>
  <si>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</si>
  <si>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</si>
  <si>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</si>
  <si>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</si>
  <si>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</si>
  <si>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</si>
  <si>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</si>
  <si>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</si>
  <si>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</si>
  <si>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</si>
  <si>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</si>
  <si>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</si>
  <si>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</si>
  <si>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</si>
  <si>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</si>
  <si>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</si>
  <si>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</si>
  <si>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</si>
  <si>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</si>
  <si>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</si>
  <si>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</si>
  <si>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</si>
  <si>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</si>
  <si>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</si>
  <si>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</si>
  <si>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</si>
  <si>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</si>
  <si>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</si>
  <si>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</si>
  <si>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</si>
  <si>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</si>
  <si>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</si>
  <si>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</si>
  <si>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</si>
  <si>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</si>
  <si>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</si>
  <si>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</si>
  <si>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</si>
  <si>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</si>
  <si>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</si>
  <si>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</si>
  <si>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</si>
  <si>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</si>
  <si>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</si>
  <si>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</si>
  <si>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</si>
  <si>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</si>
  <si>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</si>
  <si>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</si>
  <si>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</si>
  <si>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</si>
  <si>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</si>
  <si>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</si>
  <si>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</si>
  <si>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</si>
  <si>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</si>
  <si>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</si>
  <si>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</si>
  <si>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</si>
  <si>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</si>
  <si>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</si>
  <si>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</si>
  <si>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</si>
  <si>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</si>
  <si>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</si>
  <si>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</si>
  <si>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</si>
  <si>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</si>
  <si>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</si>
  <si>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</si>
  <si>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</si>
  <si>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</si>
  <si>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</si>
  <si>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</si>
  <si>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</si>
  <si>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</si>
  <si>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</si>
  <si>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</si>
  <si>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</si>
  <si>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</si>
  <si>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</si>
  <si>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</si>
  <si>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</si>
  <si>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</si>
  <si>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</si>
  <si>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</si>
  <si>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</si>
  <si>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</si>
  <si>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</si>
  <si>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</si>
  <si>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</si>
  <si>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</si>
  <si>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</si>
  <si>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</si>
  <si>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</si>
  <si>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</si>
  <si>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</si>
  <si>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</si>
  <si>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</si>
  <si>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</si>
  <si>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</si>
  <si>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</si>
  <si>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</si>
  <si>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</si>
  <si>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</si>
  <si>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</si>
  <si>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</si>
  <si>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</si>
  <si>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</si>
  <si>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</si>
  <si>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</si>
  <si>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</si>
  <si>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</si>
  <si>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</si>
  <si>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</si>
  <si>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</si>
  <si>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</si>
  <si>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</si>
  <si>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</si>
  <si>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</si>
  <si>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</si>
  <si>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</si>
  <si>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</si>
  <si>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</si>
  <si>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</si>
  <si>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</si>
  <si>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</si>
  <si>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</si>
  <si>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</si>
  <si>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</si>
  <si>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</si>
  <si>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</si>
  <si>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</si>
  <si>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</si>
  <si>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</si>
  <si>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</si>
  <si>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</si>
  <si>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</si>
  <si>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</si>
  <si>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</si>
  <si>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</si>
  <si>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</si>
  <si>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</si>
  <si>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</si>
  <si>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</si>
  <si>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</si>
  <si>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</si>
  <si>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</si>
  <si>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</si>
  <si>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</si>
  <si>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</si>
  <si>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</si>
  <si>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</si>
  <si>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</si>
  <si>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</si>
  <si>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</si>
  <si>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</si>
  <si>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</si>
  <si>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</si>
  <si>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</si>
  <si>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</si>
  <si>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</si>
  <si>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</si>
  <si>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</si>
  <si>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</si>
  <si>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</si>
  <si>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</si>
  <si>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</si>
  <si>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</si>
  <si>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</si>
  <si>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</si>
  <si>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</si>
  <si>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</si>
  <si>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</si>
  <si>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</si>
  <si>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</si>
  <si>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</si>
  <si>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</si>
  <si>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</si>
  <si>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</si>
  <si>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</si>
  <si>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</si>
  <si>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</si>
  <si>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</si>
  <si>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</si>
  <si>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</si>
  <si>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</si>
  <si>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</si>
  <si>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</si>
  <si>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</si>
  <si>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</si>
  <si>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</si>
  <si>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</si>
  <si>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</si>
  <si>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</si>
  <si>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</si>
  <si>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</si>
  <si>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</si>
  <si>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</si>
  <si>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</si>
  <si>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</si>
  <si>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</si>
  <si>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</si>
  <si>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</si>
  <si>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</si>
  <si>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</si>
  <si>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</si>
  <si>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</si>
  <si>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</si>
  <si>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</si>
  <si>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</si>
  <si>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</si>
  <si>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</si>
  <si>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</si>
  <si>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</si>
  <si>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</si>
  <si>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</si>
  <si>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</si>
  <si>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</si>
  <si>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</si>
  <si>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</si>
  <si>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</si>
  <si>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</si>
  <si>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</si>
  <si>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</si>
  <si>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</si>
  <si>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</si>
  <si>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</si>
  <si>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</si>
  <si>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</si>
  <si>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</si>
  <si>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</si>
  <si>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</si>
  <si>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</si>
  <si>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</si>
  <si>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</si>
  <si>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</si>
  <si>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</si>
  <si>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</si>
  <si>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</si>
  <si>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</si>
  <si>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</si>
  <si>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</si>
  <si>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</si>
  <si>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</si>
  <si>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</si>
  <si>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</si>
  <si>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</si>
  <si>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</si>
  <si>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</si>
  <si>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</si>
  <si>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</si>
  <si>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</si>
  <si>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</si>
  <si>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</si>
  <si>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</si>
  <si>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</si>
  <si>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</si>
  <si>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</si>
  <si>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</si>
  <si>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</si>
  <si>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</si>
  <si>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</si>
  <si>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</si>
  <si>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</si>
  <si>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</si>
  <si>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</si>
  <si>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</si>
  <si>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</si>
  <si>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</si>
  <si>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</si>
  <si>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</si>
  <si>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</si>
  <si>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</si>
  <si>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</si>
  <si>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</si>
  <si>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</si>
  <si>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</si>
  <si>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</si>
  <si>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</si>
  <si>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</si>
  <si>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</si>
  <si>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</si>
  <si>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</si>
  <si>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</si>
  <si>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</si>
  <si>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</si>
  <si>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</si>
  <si>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</si>
  <si>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</si>
  <si>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</si>
  <si>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</si>
  <si>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</si>
  <si>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</si>
  <si>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</si>
  <si>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</si>
  <si>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</si>
  <si>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</si>
  <si>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</si>
  <si>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</si>
  <si>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</si>
  <si>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</si>
  <si>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</si>
  <si>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</si>
  <si>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</si>
  <si>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</si>
  <si>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</si>
  <si>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</si>
  <si>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</si>
  <si>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</si>
  <si>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</si>
  <si>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</si>
  <si>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</si>
  <si>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</si>
  <si>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</si>
  <si>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</si>
  <si>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</si>
  <si>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SURF10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</si>
  <si>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</si>
  <si>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</si>
  <si>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</si>
  <si>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</si>
  <si>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</si>
  <si>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</si>
  <si>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</si>
  <si>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</si>
  <si>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</si>
  <si>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</si>
  <si>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</si>
  <si>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</si>
  <si>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</si>
  <si>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</si>
  <si>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</si>
  <si>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</si>
  <si>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</si>
  <si>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</si>
  <si>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</si>
  <si>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</si>
  <si>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</si>
  <si>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</si>
  <si>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</si>
  <si>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</si>
  <si>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</si>
  <si>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</si>
  <si>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</si>
  <si>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</si>
  <si>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</si>
  <si>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</si>
  <si>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</si>
  <si>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</si>
  <si>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</si>
  <si>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</si>
  <si>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</si>
  <si>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</si>
  <si>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</si>
  <si>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</si>
  <si>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</si>
  <si>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</si>
  <si>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</si>
  <si>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</si>
  <si>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</si>
  <si>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</si>
  <si>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</si>
  <si>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</si>
  <si>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</si>
  <si>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</si>
  <si>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</si>
  <si>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</si>
  <si>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</si>
  <si>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</si>
  <si>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</si>
  <si>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</si>
  <si>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&lt;400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</si>
  <si>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</si>
  <si>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</si>
  <si>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</si>
  <si>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</si>
  <si>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</si>
  <si>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</si>
  <si>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</si>
  <si>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</si>
  <si>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</si>
  <si>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</si>
  <si>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</si>
  <si>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</si>
  <si>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</si>
  <si>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</si>
  <si>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</si>
  <si>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</si>
  <si>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</si>
  <si>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</si>
  <si>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</si>
  <si>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</si>
  <si>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</si>
  <si>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</si>
  <si>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</si>
  <si>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</si>
  <si>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</si>
  <si>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</si>
  <si>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</si>
  <si>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</si>
  <si>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</si>
  <si>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</si>
  <si>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</si>
  <si>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</si>
  <si>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</si>
  <si>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</si>
  <si>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</si>
  <si>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</si>
  <si>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</si>
  <si>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</si>
  <si>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</si>
  <si>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</si>
  <si>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 xml:space="preserve">Hacienda 2018 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</si>
  <si>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</si>
  <si>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</si>
  <si>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</si>
  <si>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</si>
  <si>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</si>
  <si>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</si>
  <si>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</si>
  <si>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</si>
  <si>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</si>
  <si>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</si>
  <si>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</si>
  <si>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</si>
  <si>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</si>
  <si>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</si>
  <si>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</si>
  <si>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</si>
  <si>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</si>
  <si>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</si>
  <si>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</si>
  <si>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</si>
  <si>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</si>
  <si>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</si>
  <si>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</si>
  <si>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</si>
  <si>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</si>
  <si>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</si>
  <si>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</si>
  <si>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</si>
  <si>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</si>
  <si>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</si>
  <si>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</si>
  <si>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</si>
  <si>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</si>
  <si>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</si>
  <si>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</si>
  <si>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</si>
  <si>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</si>
  <si>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&lt;350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</si>
  <si>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</si>
  <si>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</si>
  <si>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</si>
  <si>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</si>
  <si>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</si>
  <si>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</si>
  <si>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</si>
  <si>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</si>
  <si>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</si>
  <si>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</si>
  <si>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</si>
  <si>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</si>
  <si>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</si>
  <si>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</si>
  <si>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</si>
  <si>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</si>
  <si>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</si>
  <si>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</si>
  <si>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</si>
  <si>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Basse Rocio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</si>
  <si>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</si>
  <si>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</si>
  <si>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</si>
  <si>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</si>
  <si>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</si>
  <si>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</si>
  <si>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</si>
  <si>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</si>
  <si>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</si>
  <si>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27/11 Mantenimiento</t>
  </si>
  <si>
    <t>28/11 Delhaize</t>
  </si>
  <si>
    <t>29/11 Delhaize</t>
  </si>
  <si>
    <t>30/11 Delhaize</t>
  </si>
  <si>
    <t>30/11 Aldi</t>
  </si>
  <si>
    <t>30/11 Gine</t>
  </si>
  <si>
    <t>02/12 Nespresso</t>
  </si>
  <si>
    <t>03/12 Pneus</t>
  </si>
  <si>
    <t>02/12 Colruyt</t>
  </si>
  <si>
    <t>03/12 Custodia Noviembre</t>
  </si>
  <si>
    <t>02/12 Gine</t>
  </si>
  <si>
    <t>Alquiler + Aqualia</t>
  </si>
  <si>
    <t>03/12 Madam Glam</t>
  </si>
  <si>
    <t>03/12 Reyes Rocio</t>
  </si>
  <si>
    <t>03/12 Shell</t>
  </si>
  <si>
    <t>04/12 Medi-Market</t>
  </si>
  <si>
    <t>04/12 Carrefour</t>
  </si>
  <si>
    <t>c</t>
  </si>
  <si>
    <t>04/12 Gine</t>
  </si>
  <si>
    <t>05/12 Delhaize</t>
  </si>
  <si>
    <t>06/12 Lidl</t>
  </si>
  <si>
    <t>08/12 Trafic</t>
  </si>
  <si>
    <t>06/12 Action</t>
  </si>
  <si>
    <t>06/12 Hema</t>
  </si>
  <si>
    <t>09/12 Delhaize</t>
  </si>
  <si>
    <t>10/12 Tape l'oeil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</si>
</sst>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6"/>
  <sheetViews>
    <sheetView tabSelected="1" topLeftCell="A31" zoomScaleNormal="100" workbookViewId="0">
      <pane xSplit="1" topLeftCell="AO1" activePane="topRight" state="frozen"/>
      <selection pane="topRight" activeCell="AY50" sqref="AY50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81" t="s">
        <v>0</v>
      </c>
      <c r="D4" s="382"/>
      <c r="E4" s="382"/>
      <c r="F4" s="383"/>
      <c r="G4" s="381" t="s">
        <v>1</v>
      </c>
      <c r="H4" s="382"/>
      <c r="I4" s="382"/>
      <c r="J4" s="383"/>
      <c r="K4" s="381" t="s">
        <v>2</v>
      </c>
      <c r="L4" s="382"/>
      <c r="M4" s="382"/>
      <c r="N4" s="383"/>
      <c r="O4" s="381" t="s">
        <v>3</v>
      </c>
      <c r="P4" s="382"/>
      <c r="Q4" s="382"/>
      <c r="R4" s="383"/>
      <c r="S4" s="381" t="s">
        <v>71</v>
      </c>
      <c r="T4" s="382"/>
      <c r="U4" s="382"/>
      <c r="V4" s="383"/>
      <c r="W4" s="381" t="s">
        <v>70</v>
      </c>
      <c r="X4" s="382"/>
      <c r="Y4" s="382"/>
      <c r="Z4" s="383"/>
      <c r="AA4" s="381" t="s">
        <v>72</v>
      </c>
      <c r="AB4" s="382"/>
      <c r="AC4" s="382"/>
      <c r="AD4" s="383"/>
      <c r="AE4" s="381" t="s">
        <v>73</v>
      </c>
      <c r="AF4" s="382"/>
      <c r="AG4" s="382"/>
      <c r="AH4" s="383"/>
      <c r="AI4" s="381" t="s">
        <v>75</v>
      </c>
      <c r="AJ4" s="382"/>
      <c r="AK4" s="382"/>
      <c r="AL4" s="383"/>
      <c r="AM4" s="381" t="s">
        <v>77</v>
      </c>
      <c r="AN4" s="382"/>
      <c r="AO4" s="382"/>
      <c r="AP4" s="383"/>
      <c r="AQ4" s="381" t="s">
        <v>79</v>
      </c>
      <c r="AR4" s="382"/>
      <c r="AS4" s="382"/>
      <c r="AT4" s="383"/>
      <c r="AU4" s="381" t="s">
        <v>84</v>
      </c>
      <c r="AV4" s="382"/>
      <c r="AW4" s="382"/>
      <c r="AX4" s="383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90">
        <f>'01'!K19</f>
        <v>26383.54</v>
      </c>
      <c r="D5" s="388"/>
      <c r="E5" s="388"/>
      <c r="F5" s="389"/>
      <c r="G5" s="390">
        <f>'02'!K19</f>
        <v>25229.379999999997</v>
      </c>
      <c r="H5" s="388"/>
      <c r="I5" s="388"/>
      <c r="J5" s="389"/>
      <c r="K5" s="387">
        <f>'03'!K19</f>
        <v>25574.760000000002</v>
      </c>
      <c r="L5" s="388"/>
      <c r="M5" s="388"/>
      <c r="N5" s="389"/>
      <c r="O5" s="387">
        <f>'04'!K19</f>
        <v>26443.759999999998</v>
      </c>
      <c r="P5" s="388"/>
      <c r="Q5" s="388"/>
      <c r="R5" s="389"/>
      <c r="S5" s="387">
        <f>'05'!K19</f>
        <v>27163.090000000004</v>
      </c>
      <c r="T5" s="388"/>
      <c r="U5" s="388"/>
      <c r="V5" s="389"/>
      <c r="W5" s="387">
        <f>'06'!K19</f>
        <v>29014.079999999998</v>
      </c>
      <c r="X5" s="388"/>
      <c r="Y5" s="388"/>
      <c r="Z5" s="389"/>
      <c r="AA5" s="387">
        <f>'07'!K19</f>
        <v>29282.959999999999</v>
      </c>
      <c r="AB5" s="388"/>
      <c r="AC5" s="388"/>
      <c r="AD5" s="389"/>
      <c r="AE5" s="387">
        <f>'08'!K19</f>
        <v>29166.850000000002</v>
      </c>
      <c r="AF5" s="388"/>
      <c r="AG5" s="388"/>
      <c r="AH5" s="389"/>
      <c r="AI5" s="387">
        <f>'09'!K19</f>
        <v>29258.260000000002</v>
      </c>
      <c r="AJ5" s="388"/>
      <c r="AK5" s="388"/>
      <c r="AL5" s="389"/>
      <c r="AM5" s="387">
        <f>'10'!K19</f>
        <v>30089.47</v>
      </c>
      <c r="AN5" s="388"/>
      <c r="AO5" s="388"/>
      <c r="AP5" s="389"/>
      <c r="AQ5" s="387">
        <f>'11'!K19</f>
        <v>30103.380000000005</v>
      </c>
      <c r="AR5" s="388"/>
      <c r="AS5" s="388"/>
      <c r="AT5" s="389"/>
      <c r="AU5" s="387">
        <f>'12'!K19</f>
        <v>30685.880000000005</v>
      </c>
      <c r="AV5" s="388"/>
      <c r="AW5" s="388"/>
      <c r="AX5" s="389"/>
      <c r="AZ5" s="6"/>
      <c r="BA5" s="7"/>
      <c r="BB5" s="1"/>
      <c r="BC5" s="1"/>
    </row>
    <row r="6" spans="1:55" ht="17.25" thickTop="1" thickBot="1">
      <c r="A6" s="205"/>
      <c r="B6" s="8"/>
      <c r="C6" s="341"/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/>
      <c r="P6" s="341"/>
      <c r="Q6" s="341"/>
      <c r="R6" s="341"/>
      <c r="S6" s="341"/>
      <c r="T6" s="341"/>
      <c r="U6" s="341"/>
      <c r="V6" s="341"/>
      <c r="W6" s="341"/>
      <c r="X6" s="341"/>
      <c r="Y6" s="341"/>
      <c r="Z6" s="341"/>
      <c r="AA6" s="341"/>
      <c r="AB6" s="341"/>
      <c r="AC6" s="341"/>
      <c r="AD6" s="341"/>
      <c r="AE6" s="341"/>
      <c r="AF6" s="341"/>
      <c r="AG6" s="341"/>
      <c r="AH6" s="341"/>
      <c r="AI6" s="341"/>
      <c r="AJ6" s="341"/>
      <c r="AK6" s="341"/>
      <c r="AL6" s="341"/>
      <c r="AM6" s="341"/>
      <c r="AN6" s="341"/>
      <c r="AO6" s="341"/>
      <c r="AP6" s="341"/>
      <c r="AQ6" s="341"/>
      <c r="AR6" s="341"/>
      <c r="AS6" s="341"/>
      <c r="AT6" s="341"/>
      <c r="AU6" s="341"/>
      <c r="AV6" s="341"/>
      <c r="AW6" s="341"/>
      <c r="AX6" s="341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84" t="s">
        <v>229</v>
      </c>
      <c r="D7" s="385"/>
      <c r="E7" s="385"/>
      <c r="F7" s="386"/>
      <c r="G7" s="384" t="s">
        <v>229</v>
      </c>
      <c r="H7" s="385"/>
      <c r="I7" s="385"/>
      <c r="J7" s="386"/>
      <c r="K7" s="384" t="s">
        <v>229</v>
      </c>
      <c r="L7" s="385"/>
      <c r="M7" s="385"/>
      <c r="N7" s="386"/>
      <c r="O7" s="384" t="s">
        <v>229</v>
      </c>
      <c r="P7" s="385"/>
      <c r="Q7" s="385"/>
      <c r="R7" s="386"/>
      <c r="S7" s="384" t="s">
        <v>229</v>
      </c>
      <c r="T7" s="385"/>
      <c r="U7" s="385"/>
      <c r="V7" s="386"/>
      <c r="W7" s="384" t="s">
        <v>229</v>
      </c>
      <c r="X7" s="385"/>
      <c r="Y7" s="385"/>
      <c r="Z7" s="386"/>
      <c r="AA7" s="384" t="s">
        <v>229</v>
      </c>
      <c r="AB7" s="385"/>
      <c r="AC7" s="385"/>
      <c r="AD7" s="386"/>
      <c r="AE7" s="384" t="s">
        <v>229</v>
      </c>
      <c r="AF7" s="385"/>
      <c r="AG7" s="385"/>
      <c r="AH7" s="386"/>
      <c r="AI7" s="384" t="s">
        <v>229</v>
      </c>
      <c r="AJ7" s="385"/>
      <c r="AK7" s="385"/>
      <c r="AL7" s="386"/>
      <c r="AM7" s="384" t="s">
        <v>229</v>
      </c>
      <c r="AN7" s="385"/>
      <c r="AO7" s="385"/>
      <c r="AP7" s="386"/>
      <c r="AQ7" s="384" t="s">
        <v>229</v>
      </c>
      <c r="AR7" s="385"/>
      <c r="AS7" s="385"/>
      <c r="AT7" s="386"/>
      <c r="AU7" s="384" t="s">
        <v>229</v>
      </c>
      <c r="AV7" s="385"/>
      <c r="AW7" s="385"/>
      <c r="AX7" s="386"/>
      <c r="AZ7" s="9" t="s">
        <v>231</v>
      </c>
      <c r="BA7" s="13" t="s">
        <v>188</v>
      </c>
      <c r="BB7" s="1"/>
      <c r="BC7" s="1"/>
    </row>
    <row r="8" spans="1:55" ht="15.75">
      <c r="A8" s="206" t="s">
        <v>211</v>
      </c>
      <c r="B8" s="192">
        <v>33389.54</v>
      </c>
      <c r="C8" s="391">
        <f>SUM('01'!L25:'01'!L29)</f>
        <v>2593.46</v>
      </c>
      <c r="D8" s="392"/>
      <c r="E8" s="392"/>
      <c r="F8" s="393"/>
      <c r="G8" s="391">
        <f>SUM('02'!L25:'02'!L29)</f>
        <v>2592.42</v>
      </c>
      <c r="H8" s="392"/>
      <c r="I8" s="392"/>
      <c r="J8" s="393"/>
      <c r="K8" s="391">
        <f>SUM('03'!L25:'03'!L29)</f>
        <v>2526.87</v>
      </c>
      <c r="L8" s="392"/>
      <c r="M8" s="392"/>
      <c r="N8" s="393"/>
      <c r="O8" s="391">
        <f>SUM('04'!L25:'04'!L29)</f>
        <v>2570.56</v>
      </c>
      <c r="P8" s="392"/>
      <c r="Q8" s="392"/>
      <c r="R8" s="393"/>
      <c r="S8" s="391">
        <f>SUM('05'!L25:'05'!L29)</f>
        <v>4448.8500000000004</v>
      </c>
      <c r="T8" s="392"/>
      <c r="U8" s="392"/>
      <c r="V8" s="393"/>
      <c r="W8" s="391">
        <f>SUM('06'!L25:'06'!L29)</f>
        <v>2574.61</v>
      </c>
      <c r="X8" s="392"/>
      <c r="Y8" s="392"/>
      <c r="Z8" s="393"/>
      <c r="AA8" s="391">
        <f>SUM('07'!L25:'07'!L29)</f>
        <v>2568.54</v>
      </c>
      <c r="AB8" s="392"/>
      <c r="AC8" s="392"/>
      <c r="AD8" s="393"/>
      <c r="AE8" s="391">
        <f>SUM('08'!L25:'08'!L29)</f>
        <v>2571.5500000000002</v>
      </c>
      <c r="AF8" s="392"/>
      <c r="AG8" s="392"/>
      <c r="AH8" s="393"/>
      <c r="AI8" s="391">
        <f>SUM('09'!L25:'09'!L29)</f>
        <v>2573.7399999999998</v>
      </c>
      <c r="AJ8" s="392"/>
      <c r="AK8" s="392"/>
      <c r="AL8" s="393"/>
      <c r="AM8" s="391">
        <f>SUM('10'!L25:'10'!L29)</f>
        <v>2617.69</v>
      </c>
      <c r="AN8" s="392"/>
      <c r="AO8" s="392"/>
      <c r="AP8" s="393"/>
      <c r="AQ8" s="391">
        <f>SUM('11'!L25:'11'!L29)</f>
        <v>2588.0700000000002</v>
      </c>
      <c r="AR8" s="392"/>
      <c r="AS8" s="392"/>
      <c r="AT8" s="393"/>
      <c r="AU8" s="391">
        <f>SUM('12'!L25:'12'!L29)</f>
        <v>0</v>
      </c>
      <c r="AV8" s="392"/>
      <c r="AW8" s="392"/>
      <c r="AX8" s="393"/>
      <c r="AZ8" s="209">
        <f>SUM(C8:AU8)</f>
        <v>30226.359999999997</v>
      </c>
      <c r="BA8" s="112">
        <f t="shared" ref="BA8:BA16" ca="1" si="0">AZ8/BC$17</f>
        <v>2518.8633333333332</v>
      </c>
      <c r="BB8" s="1"/>
      <c r="BC8" s="1"/>
    </row>
    <row r="9" spans="1:55" ht="15.75">
      <c r="A9" s="189" t="s">
        <v>212</v>
      </c>
      <c r="B9" s="193">
        <v>5835.74</v>
      </c>
      <c r="C9" s="378">
        <f>SUM('01'!L30:'01'!L34)</f>
        <v>655.59</v>
      </c>
      <c r="D9" s="379"/>
      <c r="E9" s="379"/>
      <c r="F9" s="380"/>
      <c r="G9" s="378">
        <f>SUM('02'!L30:'02'!L34)</f>
        <v>760.26</v>
      </c>
      <c r="H9" s="379"/>
      <c r="I9" s="379"/>
      <c r="J9" s="380"/>
      <c r="K9" s="378">
        <f>SUM('03'!L30:'03'!L34)</f>
        <v>516.44000000000005</v>
      </c>
      <c r="L9" s="379"/>
      <c r="M9" s="379"/>
      <c r="N9" s="380"/>
      <c r="O9" s="378">
        <f>SUM('04'!L30:'04'!L34)</f>
        <v>507.54</v>
      </c>
      <c r="P9" s="379"/>
      <c r="Q9" s="379"/>
      <c r="R9" s="380"/>
      <c r="S9" s="378">
        <f>SUM('05'!L30:'05'!L34)</f>
        <v>578.16999999999996</v>
      </c>
      <c r="T9" s="379"/>
      <c r="U9" s="379"/>
      <c r="V9" s="380"/>
      <c r="W9" s="378">
        <f>SUM('06'!L30:'06'!L34)</f>
        <v>613.67000000000007</v>
      </c>
      <c r="X9" s="379"/>
      <c r="Y9" s="379"/>
      <c r="Z9" s="380"/>
      <c r="AA9" s="378">
        <f>SUM('07'!L30:'07'!L34)</f>
        <v>1147.52</v>
      </c>
      <c r="AB9" s="379"/>
      <c r="AC9" s="379"/>
      <c r="AD9" s="380"/>
      <c r="AE9" s="378">
        <f>SUM('08'!L30:'08'!L34)</f>
        <v>291.60000000000002</v>
      </c>
      <c r="AF9" s="379"/>
      <c r="AG9" s="379"/>
      <c r="AH9" s="380"/>
      <c r="AI9" s="378">
        <f>SUM('09'!L30:'09'!L34)</f>
        <v>291.60000000000002</v>
      </c>
      <c r="AJ9" s="379"/>
      <c r="AK9" s="379"/>
      <c r="AL9" s="380"/>
      <c r="AM9" s="378">
        <f>SUM('10'!L30:'10'!L34)</f>
        <v>599.04999999999995</v>
      </c>
      <c r="AN9" s="379"/>
      <c r="AO9" s="379"/>
      <c r="AP9" s="380"/>
      <c r="AQ9" s="378">
        <f>SUM('11'!L30:'11'!L34)</f>
        <v>302.78999999999996</v>
      </c>
      <c r="AR9" s="379"/>
      <c r="AS9" s="379"/>
      <c r="AT9" s="380"/>
      <c r="AU9" s="378">
        <f>SUM('12'!L30:'12'!L34)</f>
        <v>71</v>
      </c>
      <c r="AV9" s="379"/>
      <c r="AW9" s="379"/>
      <c r="AX9" s="380"/>
      <c r="AZ9" s="210">
        <f t="shared" ref="AZ9:AZ16" si="1">SUM(C9:AW9)</f>
        <v>6335.2300000000014</v>
      </c>
      <c r="BA9" s="112">
        <f t="shared" ca="1" si="0"/>
        <v>527.93583333333345</v>
      </c>
      <c r="BB9" s="1"/>
      <c r="BC9" s="1"/>
    </row>
    <row r="10" spans="1:55" ht="15.75">
      <c r="A10" s="190" t="s">
        <v>217</v>
      </c>
      <c r="B10" s="194">
        <v>2731.18</v>
      </c>
      <c r="C10" s="378">
        <f>SUM('01'!L35:'01'!L39)</f>
        <v>120.85</v>
      </c>
      <c r="D10" s="379"/>
      <c r="E10" s="379"/>
      <c r="F10" s="380"/>
      <c r="G10" s="378">
        <f>SUM('02'!L35:'02'!L39)</f>
        <v>107.38</v>
      </c>
      <c r="H10" s="379"/>
      <c r="I10" s="379"/>
      <c r="J10" s="380"/>
      <c r="K10" s="378">
        <f>SUM('03'!L35:'03'!L39)</f>
        <v>91.73</v>
      </c>
      <c r="L10" s="379"/>
      <c r="M10" s="379"/>
      <c r="N10" s="380"/>
      <c r="O10" s="378">
        <f>SUM('04'!L35:'04'!L39)</f>
        <v>204.23</v>
      </c>
      <c r="P10" s="379"/>
      <c r="Q10" s="379"/>
      <c r="R10" s="380"/>
      <c r="S10" s="378">
        <f>SUM('05'!L35:'05'!L39)</f>
        <v>119.85</v>
      </c>
      <c r="T10" s="379"/>
      <c r="U10" s="379"/>
      <c r="V10" s="380"/>
      <c r="W10" s="394">
        <f>SUM('06'!L35:'06'!L39)</f>
        <v>55.09</v>
      </c>
      <c r="X10" s="395"/>
      <c r="Y10" s="395"/>
      <c r="Z10" s="396"/>
      <c r="AA10" s="394">
        <f>SUM('07'!L35:'07'!L39)</f>
        <v>124.52</v>
      </c>
      <c r="AB10" s="395"/>
      <c r="AC10" s="395"/>
      <c r="AD10" s="396"/>
      <c r="AE10" s="394">
        <f>SUM('08'!L35:'08'!L39)</f>
        <v>164.91</v>
      </c>
      <c r="AF10" s="395"/>
      <c r="AG10" s="395"/>
      <c r="AH10" s="396"/>
      <c r="AI10" s="394">
        <f>SUM('09'!L35:'09'!L39)</f>
        <v>167.95</v>
      </c>
      <c r="AJ10" s="395"/>
      <c r="AK10" s="395"/>
      <c r="AL10" s="396"/>
      <c r="AM10" s="394">
        <f>SUM('10'!L35:'10'!L39)</f>
        <v>0</v>
      </c>
      <c r="AN10" s="395"/>
      <c r="AO10" s="395"/>
      <c r="AP10" s="396"/>
      <c r="AQ10" s="394">
        <f>SUM('11'!L35:'11'!L39)</f>
        <v>0</v>
      </c>
      <c r="AR10" s="395"/>
      <c r="AS10" s="395"/>
      <c r="AT10" s="396"/>
      <c r="AU10" s="394">
        <f>SUM('12'!L35:'12'!L39)</f>
        <v>0</v>
      </c>
      <c r="AV10" s="395"/>
      <c r="AW10" s="395"/>
      <c r="AX10" s="396"/>
      <c r="AZ10" s="211">
        <f t="shared" si="1"/>
        <v>1156.51</v>
      </c>
      <c r="BA10" s="112">
        <f t="shared" ca="1" si="0"/>
        <v>96.375833333333333</v>
      </c>
      <c r="BB10" s="1"/>
      <c r="BC10" s="1"/>
    </row>
    <row r="11" spans="1:55" ht="15.75">
      <c r="A11" s="189" t="s">
        <v>213</v>
      </c>
      <c r="B11" s="193">
        <v>2906.88</v>
      </c>
      <c r="C11" s="378">
        <f>SUM('01'!L40:'01'!L44)</f>
        <v>3.87</v>
      </c>
      <c r="D11" s="379"/>
      <c r="E11" s="379"/>
      <c r="F11" s="380"/>
      <c r="G11" s="378">
        <f>SUM('02'!L40:'02'!L44)</f>
        <v>0</v>
      </c>
      <c r="H11" s="379"/>
      <c r="I11" s="379"/>
      <c r="J11" s="380"/>
      <c r="K11" s="378">
        <f>SUM('03'!L40:'03'!L44)</f>
        <v>0</v>
      </c>
      <c r="L11" s="379"/>
      <c r="M11" s="379"/>
      <c r="N11" s="380"/>
      <c r="O11" s="378">
        <f>SUM('04'!L40:'04'!L44)</f>
        <v>356.59</v>
      </c>
      <c r="P11" s="379"/>
      <c r="Q11" s="379"/>
      <c r="R11" s="380"/>
      <c r="S11" s="378">
        <f>SUM('05'!L40:'05'!L44)</f>
        <v>45.86</v>
      </c>
      <c r="T11" s="379"/>
      <c r="U11" s="379"/>
      <c r="V11" s="380"/>
      <c r="W11" s="378">
        <f>SUM('06'!L40:'06'!L44)</f>
        <v>0</v>
      </c>
      <c r="X11" s="379"/>
      <c r="Y11" s="379"/>
      <c r="Z11" s="380"/>
      <c r="AA11" s="378">
        <f>SUM('07'!L40:'07'!L44)</f>
        <v>1.02</v>
      </c>
      <c r="AB11" s="379"/>
      <c r="AC11" s="379"/>
      <c r="AD11" s="380"/>
      <c r="AE11" s="378">
        <f>SUM('08'!L40:'08'!L44)</f>
        <v>0</v>
      </c>
      <c r="AF11" s="379"/>
      <c r="AG11" s="379"/>
      <c r="AH11" s="380"/>
      <c r="AI11" s="378">
        <f>SUM('09'!L40:'09'!L44)</f>
        <v>0</v>
      </c>
      <c r="AJ11" s="379"/>
      <c r="AK11" s="379"/>
      <c r="AL11" s="380"/>
      <c r="AM11" s="378">
        <f>SUM('10'!L40:'10'!L44)</f>
        <v>52.97</v>
      </c>
      <c r="AN11" s="379"/>
      <c r="AO11" s="379"/>
      <c r="AP11" s="380"/>
      <c r="AQ11" s="378">
        <f>SUM('11'!L40:'11'!L44)</f>
        <v>42.84</v>
      </c>
      <c r="AR11" s="379"/>
      <c r="AS11" s="379"/>
      <c r="AT11" s="380"/>
      <c r="AU11" s="378">
        <f>SUM('12'!L40:'12'!L44)</f>
        <v>0</v>
      </c>
      <c r="AV11" s="379"/>
      <c r="AW11" s="379"/>
      <c r="AX11" s="380"/>
      <c r="AZ11" s="210">
        <f t="shared" si="1"/>
        <v>503.15</v>
      </c>
      <c r="BA11" s="112">
        <f t="shared" ca="1" si="0"/>
        <v>41.929166666666667</v>
      </c>
      <c r="BB11" s="1"/>
      <c r="BC11" s="1"/>
    </row>
    <row r="12" spans="1:55" ht="15.75">
      <c r="A12" s="190" t="s">
        <v>23</v>
      </c>
      <c r="B12" s="194">
        <v>3325.31</v>
      </c>
      <c r="C12" s="378">
        <f>SUM('01'!L45:'01'!L49)</f>
        <v>137</v>
      </c>
      <c r="D12" s="379"/>
      <c r="E12" s="379"/>
      <c r="F12" s="380"/>
      <c r="G12" s="378">
        <f>SUM('02'!L45:'02'!L49)</f>
        <v>600.04</v>
      </c>
      <c r="H12" s="379"/>
      <c r="I12" s="379"/>
      <c r="J12" s="380"/>
      <c r="K12" s="378">
        <f>SUM('03'!L45:'03'!L49)</f>
        <v>380</v>
      </c>
      <c r="L12" s="379"/>
      <c r="M12" s="379"/>
      <c r="N12" s="380"/>
      <c r="O12" s="378">
        <f>SUM('04'!L45:'04'!L49)</f>
        <v>0</v>
      </c>
      <c r="P12" s="379"/>
      <c r="Q12" s="379"/>
      <c r="R12" s="380"/>
      <c r="S12" s="378">
        <f>SUM('05'!L45:'05'!L49)</f>
        <v>0</v>
      </c>
      <c r="T12" s="379"/>
      <c r="U12" s="379"/>
      <c r="V12" s="380"/>
      <c r="W12" s="394">
        <f>SUM('06'!L45:'06'!L49)</f>
        <v>242.41</v>
      </c>
      <c r="X12" s="395"/>
      <c r="Y12" s="395"/>
      <c r="Z12" s="396"/>
      <c r="AA12" s="394">
        <f>SUM('07'!L45:'07'!L49)</f>
        <v>0</v>
      </c>
      <c r="AB12" s="395"/>
      <c r="AC12" s="395"/>
      <c r="AD12" s="396"/>
      <c r="AE12" s="394">
        <f>SUM('08'!L45:'08'!L49)</f>
        <v>222.98</v>
      </c>
      <c r="AF12" s="395"/>
      <c r="AG12" s="395"/>
      <c r="AH12" s="396"/>
      <c r="AI12" s="394">
        <f>SUM('09'!L45:'09'!L49)</f>
        <v>200</v>
      </c>
      <c r="AJ12" s="395"/>
      <c r="AK12" s="395"/>
      <c r="AL12" s="396"/>
      <c r="AM12" s="394">
        <f>SUM('10'!L45:'10'!L49)</f>
        <v>0</v>
      </c>
      <c r="AN12" s="395"/>
      <c r="AO12" s="395"/>
      <c r="AP12" s="396"/>
      <c r="AQ12" s="394">
        <f>SUM('11'!L45:'11'!L49)</f>
        <v>430</v>
      </c>
      <c r="AR12" s="395"/>
      <c r="AS12" s="395"/>
      <c r="AT12" s="396"/>
      <c r="AU12" s="394">
        <f>SUM('12'!L45:'12'!L49)</f>
        <v>0</v>
      </c>
      <c r="AV12" s="395"/>
      <c r="AW12" s="395"/>
      <c r="AX12" s="396"/>
      <c r="AZ12" s="211">
        <f t="shared" si="1"/>
        <v>2212.4300000000003</v>
      </c>
      <c r="BA12" s="112">
        <f t="shared" ca="1" si="0"/>
        <v>184.3691666666667</v>
      </c>
      <c r="BB12" s="1"/>
      <c r="BC12" s="1"/>
    </row>
    <row r="13" spans="1:55" ht="15.75">
      <c r="A13" s="189" t="s">
        <v>214</v>
      </c>
      <c r="B13" s="195">
        <v>3443.8099999999995</v>
      </c>
      <c r="C13" s="378">
        <f>SUM('01'!L50:'01'!L54)</f>
        <v>95.8</v>
      </c>
      <c r="D13" s="379"/>
      <c r="E13" s="379"/>
      <c r="F13" s="380"/>
      <c r="G13" s="378">
        <f>SUM('02'!L50:'02'!L54)</f>
        <v>95.8</v>
      </c>
      <c r="H13" s="379"/>
      <c r="I13" s="379"/>
      <c r="J13" s="380"/>
      <c r="K13" s="378">
        <f>SUM('03'!L50:'03'!L54)</f>
        <v>4517.74</v>
      </c>
      <c r="L13" s="379"/>
      <c r="M13" s="379"/>
      <c r="N13" s="380"/>
      <c r="O13" s="378">
        <f>SUM('04'!L50:'04'!L54)</f>
        <v>95.8</v>
      </c>
      <c r="P13" s="379"/>
      <c r="Q13" s="379"/>
      <c r="R13" s="380"/>
      <c r="S13" s="378">
        <f>SUM('05'!L50:'05'!L54)</f>
        <v>95.8</v>
      </c>
      <c r="T13" s="379"/>
      <c r="U13" s="379"/>
      <c r="V13" s="380"/>
      <c r="W13" s="378">
        <f>SUM('06'!L50:'06'!L54)</f>
        <v>95.8</v>
      </c>
      <c r="X13" s="379"/>
      <c r="Y13" s="379"/>
      <c r="Z13" s="380"/>
      <c r="AA13" s="378">
        <f>SUM('07'!L50:'07'!L54)</f>
        <v>95.8</v>
      </c>
      <c r="AB13" s="379"/>
      <c r="AC13" s="379"/>
      <c r="AD13" s="380"/>
      <c r="AE13" s="378">
        <f>SUM('08'!L50:'08'!L54)</f>
        <v>117.03</v>
      </c>
      <c r="AF13" s="379"/>
      <c r="AG13" s="379"/>
      <c r="AH13" s="380"/>
      <c r="AI13" s="378">
        <f>SUM('09'!L50:'09'!L54)</f>
        <v>1072.33</v>
      </c>
      <c r="AJ13" s="379"/>
      <c r="AK13" s="379"/>
      <c r="AL13" s="380"/>
      <c r="AM13" s="378">
        <f>SUM('10'!L50:'10'!L54)</f>
        <v>95.8</v>
      </c>
      <c r="AN13" s="379"/>
      <c r="AO13" s="379"/>
      <c r="AP13" s="380"/>
      <c r="AQ13" s="378">
        <f>SUM('11'!L50:'11'!L54)</f>
        <v>95.8</v>
      </c>
      <c r="AR13" s="379"/>
      <c r="AS13" s="379"/>
      <c r="AT13" s="380"/>
      <c r="AU13" s="378">
        <f>SUM('12'!L50:'12'!L54)</f>
        <v>273.07</v>
      </c>
      <c r="AV13" s="379"/>
      <c r="AW13" s="379"/>
      <c r="AX13" s="380"/>
      <c r="AZ13" s="212">
        <f t="shared" si="1"/>
        <v>6746.5700000000006</v>
      </c>
      <c r="BA13" s="112">
        <f t="shared" ca="1" si="0"/>
        <v>562.21416666666676</v>
      </c>
      <c r="BB13" s="1"/>
      <c r="BC13" s="1"/>
    </row>
    <row r="14" spans="1:55" ht="15.75">
      <c r="A14" s="190" t="s">
        <v>215</v>
      </c>
      <c r="B14" s="194">
        <v>364.62</v>
      </c>
      <c r="C14" s="378">
        <f>SUM('01'!L55:'01'!L59)</f>
        <v>0</v>
      </c>
      <c r="D14" s="379"/>
      <c r="E14" s="379"/>
      <c r="F14" s="380"/>
      <c r="G14" s="378">
        <f>SUM('02'!L55:'02'!L59)</f>
        <v>0</v>
      </c>
      <c r="H14" s="379"/>
      <c r="I14" s="379"/>
      <c r="J14" s="380"/>
      <c r="K14" s="378">
        <f>SUM('03'!L55:'03'!L59)</f>
        <v>9.44</v>
      </c>
      <c r="L14" s="379"/>
      <c r="M14" s="379"/>
      <c r="N14" s="380"/>
      <c r="O14" s="378">
        <f>SUM('04'!L55:'04'!L59)</f>
        <v>37.980000000000004</v>
      </c>
      <c r="P14" s="379"/>
      <c r="Q14" s="379"/>
      <c r="R14" s="380"/>
      <c r="S14" s="378">
        <f>SUM('05'!L55:'05'!L59)</f>
        <v>17.350000000000001</v>
      </c>
      <c r="T14" s="379"/>
      <c r="U14" s="379"/>
      <c r="V14" s="380"/>
      <c r="W14" s="394">
        <f>SUM('06'!L55:'06'!L59)</f>
        <v>0</v>
      </c>
      <c r="X14" s="395"/>
      <c r="Y14" s="395"/>
      <c r="Z14" s="396"/>
      <c r="AA14" s="394">
        <f>SUM('07'!L55:'07'!L59)</f>
        <v>51.759999999999991</v>
      </c>
      <c r="AB14" s="395"/>
      <c r="AC14" s="395"/>
      <c r="AD14" s="396"/>
      <c r="AE14" s="394">
        <f>SUM('08'!L55:'08'!L59)</f>
        <v>27.42</v>
      </c>
      <c r="AF14" s="395"/>
      <c r="AG14" s="395"/>
      <c r="AH14" s="396"/>
      <c r="AI14" s="394">
        <f>SUM('09'!L55:'09'!L59)</f>
        <v>0</v>
      </c>
      <c r="AJ14" s="395"/>
      <c r="AK14" s="395"/>
      <c r="AL14" s="396"/>
      <c r="AM14" s="394">
        <f>SUM('10'!L55:'10'!L59)</f>
        <v>57.08</v>
      </c>
      <c r="AN14" s="395"/>
      <c r="AO14" s="395"/>
      <c r="AP14" s="396"/>
      <c r="AQ14" s="394">
        <f>SUM('11'!L55:'11'!L59)</f>
        <v>466.40999999999997</v>
      </c>
      <c r="AR14" s="395"/>
      <c r="AS14" s="395"/>
      <c r="AT14" s="396"/>
      <c r="AU14" s="394">
        <f>SUM('12'!L55:'12'!L59)</f>
        <v>100.91</v>
      </c>
      <c r="AV14" s="395"/>
      <c r="AW14" s="395"/>
      <c r="AX14" s="396"/>
      <c r="AZ14" s="211">
        <f t="shared" si="1"/>
        <v>768.34999999999991</v>
      </c>
      <c r="BA14" s="112">
        <f t="shared" ca="1" si="0"/>
        <v>64.029166666666654</v>
      </c>
      <c r="BB14" s="3"/>
      <c r="BC14" s="3"/>
    </row>
    <row r="15" spans="1:55" ht="15.75">
      <c r="A15" s="189" t="s">
        <v>216</v>
      </c>
      <c r="B15" s="193">
        <v>7756.04</v>
      </c>
      <c r="C15" s="378">
        <f>SUM('01'!L60:'01'!L64)</f>
        <v>0</v>
      </c>
      <c r="D15" s="379"/>
      <c r="E15" s="379"/>
      <c r="F15" s="380"/>
      <c r="G15" s="378">
        <f>SUM('02'!L60:'02'!L64)</f>
        <v>665.77</v>
      </c>
      <c r="H15" s="379"/>
      <c r="I15" s="379"/>
      <c r="J15" s="380"/>
      <c r="K15" s="378">
        <f>SUM('03'!L60:'03'!L64)</f>
        <v>682.39</v>
      </c>
      <c r="L15" s="379"/>
      <c r="M15" s="379"/>
      <c r="N15" s="380"/>
      <c r="O15" s="378">
        <f>SUM('04'!L60:'04'!L64)</f>
        <v>550</v>
      </c>
      <c r="P15" s="379"/>
      <c r="Q15" s="379"/>
      <c r="R15" s="380"/>
      <c r="S15" s="378">
        <f>SUM('05'!L60:'05'!L64)</f>
        <v>652.44000000000005</v>
      </c>
      <c r="T15" s="379"/>
      <c r="U15" s="379"/>
      <c r="V15" s="380"/>
      <c r="W15" s="378">
        <f>SUM('06'!L60:'06'!L64)</f>
        <v>511.74</v>
      </c>
      <c r="X15" s="379"/>
      <c r="Y15" s="379"/>
      <c r="Z15" s="380"/>
      <c r="AA15" s="378">
        <f>SUM('07'!L60:'07'!L64)</f>
        <v>649.1</v>
      </c>
      <c r="AB15" s="379"/>
      <c r="AC15" s="379"/>
      <c r="AD15" s="380"/>
      <c r="AE15" s="378">
        <f>SUM('08'!L60:'08'!L64)</f>
        <v>550</v>
      </c>
      <c r="AF15" s="379"/>
      <c r="AG15" s="379"/>
      <c r="AH15" s="380"/>
      <c r="AI15" s="378">
        <f>SUM('09'!L60:'09'!L64)</f>
        <v>676.35</v>
      </c>
      <c r="AJ15" s="379"/>
      <c r="AK15" s="379"/>
      <c r="AL15" s="380"/>
      <c r="AM15" s="378">
        <f>SUM('10'!L60:'10'!L64)</f>
        <v>550</v>
      </c>
      <c r="AN15" s="379"/>
      <c r="AO15" s="379"/>
      <c r="AP15" s="380"/>
      <c r="AQ15" s="378">
        <f>SUM('11'!L60:'11'!L64)</f>
        <v>647.88</v>
      </c>
      <c r="AR15" s="379"/>
      <c r="AS15" s="379"/>
      <c r="AT15" s="380"/>
      <c r="AU15" s="378">
        <f>SUM('12'!L60:'12'!L64)</f>
        <v>574.16999999999996</v>
      </c>
      <c r="AV15" s="379"/>
      <c r="AW15" s="379"/>
      <c r="AX15" s="380"/>
      <c r="AZ15" s="210">
        <f t="shared" si="1"/>
        <v>6709.8400000000011</v>
      </c>
      <c r="BA15" s="112">
        <f t="shared" ca="1" si="0"/>
        <v>559.15333333333342</v>
      </c>
      <c r="BB15" s="1"/>
      <c r="BC15" s="1"/>
    </row>
    <row r="16" spans="1:55" ht="16.5" thickBot="1">
      <c r="A16" s="191" t="s">
        <v>42</v>
      </c>
      <c r="B16" s="196">
        <v>2018.96</v>
      </c>
      <c r="C16" s="378">
        <f>SUM('01'!L65:'01'!L69)</f>
        <v>85</v>
      </c>
      <c r="D16" s="379"/>
      <c r="E16" s="379"/>
      <c r="F16" s="380"/>
      <c r="G16" s="378">
        <f>SUM('02'!L65:'02'!L69)</f>
        <v>0</v>
      </c>
      <c r="H16" s="379"/>
      <c r="I16" s="379"/>
      <c r="J16" s="380"/>
      <c r="K16" s="378">
        <f>SUM('03'!L65:'03'!L69)</f>
        <v>0</v>
      </c>
      <c r="L16" s="379"/>
      <c r="M16" s="379"/>
      <c r="N16" s="380"/>
      <c r="O16" s="378">
        <f>SUM('04'!L65:'04'!L69)</f>
        <v>0</v>
      </c>
      <c r="P16" s="379"/>
      <c r="Q16" s="379"/>
      <c r="R16" s="380"/>
      <c r="S16" s="378">
        <f>SUM('05'!L65:'05'!L69)</f>
        <v>0</v>
      </c>
      <c r="T16" s="379"/>
      <c r="U16" s="379"/>
      <c r="V16" s="380"/>
      <c r="W16" s="397">
        <f>SUM('06'!L65:'06'!L69)</f>
        <v>0</v>
      </c>
      <c r="X16" s="398"/>
      <c r="Y16" s="398"/>
      <c r="Z16" s="399"/>
      <c r="AA16" s="397">
        <f>SUM('07'!L65:'07'!L69)</f>
        <v>0</v>
      </c>
      <c r="AB16" s="398"/>
      <c r="AC16" s="398"/>
      <c r="AD16" s="399"/>
      <c r="AE16" s="397">
        <f>SUM('08'!L65:'08'!L69)</f>
        <v>0</v>
      </c>
      <c r="AF16" s="398"/>
      <c r="AG16" s="398"/>
      <c r="AH16" s="399"/>
      <c r="AI16" s="397">
        <f>SUM('09'!L65:'09'!L69)</f>
        <v>0</v>
      </c>
      <c r="AJ16" s="398"/>
      <c r="AK16" s="398"/>
      <c r="AL16" s="399"/>
      <c r="AM16" s="397">
        <f>SUM('10'!L65:'10'!L69)</f>
        <v>0</v>
      </c>
      <c r="AN16" s="398"/>
      <c r="AO16" s="398"/>
      <c r="AP16" s="399"/>
      <c r="AQ16" s="397">
        <f>SUM('11'!L65:'11'!L69)</f>
        <v>0</v>
      </c>
      <c r="AR16" s="398"/>
      <c r="AS16" s="398"/>
      <c r="AT16" s="399"/>
      <c r="AU16" s="397">
        <f>SUM('12'!L65:'12'!L69)</f>
        <v>0</v>
      </c>
      <c r="AV16" s="398"/>
      <c r="AW16" s="398"/>
      <c r="AX16" s="399"/>
      <c r="AZ16" s="213">
        <f t="shared" si="1"/>
        <v>85</v>
      </c>
      <c r="BA16" s="112">
        <f t="shared" ca="1" si="0"/>
        <v>7.083333333333333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74">
        <f>SUM(C8:C16)</f>
        <v>3691.57</v>
      </c>
      <c r="D17" s="375"/>
      <c r="E17" s="375"/>
      <c r="F17" s="376"/>
      <c r="G17" s="374">
        <f>SUM(G8:G16)</f>
        <v>4821.67</v>
      </c>
      <c r="H17" s="375"/>
      <c r="I17" s="375"/>
      <c r="J17" s="376"/>
      <c r="K17" s="374">
        <f>SUM(K8:K16)</f>
        <v>8724.6099999999988</v>
      </c>
      <c r="L17" s="375"/>
      <c r="M17" s="375"/>
      <c r="N17" s="376"/>
      <c r="O17" s="374">
        <f>SUM(O8:O16)</f>
        <v>4322.7000000000007</v>
      </c>
      <c r="P17" s="375"/>
      <c r="Q17" s="375"/>
      <c r="R17" s="376"/>
      <c r="S17" s="374">
        <f>SUM(S8:S16)</f>
        <v>5958.3200000000015</v>
      </c>
      <c r="T17" s="375"/>
      <c r="U17" s="375"/>
      <c r="V17" s="376"/>
      <c r="W17" s="374">
        <f>SUM(W8:W16)</f>
        <v>4093.3200000000006</v>
      </c>
      <c r="X17" s="375"/>
      <c r="Y17" s="375"/>
      <c r="Z17" s="376"/>
      <c r="AA17" s="374">
        <f>SUM(AA8:AA16)</f>
        <v>4638.26</v>
      </c>
      <c r="AB17" s="375"/>
      <c r="AC17" s="375"/>
      <c r="AD17" s="376"/>
      <c r="AE17" s="374">
        <f>SUM(AE8:AE16)</f>
        <v>3945.4900000000002</v>
      </c>
      <c r="AF17" s="375"/>
      <c r="AG17" s="375"/>
      <c r="AH17" s="376"/>
      <c r="AI17" s="374">
        <f>SUM(AI8:AI16)</f>
        <v>4981.9699999999993</v>
      </c>
      <c r="AJ17" s="375"/>
      <c r="AK17" s="375"/>
      <c r="AL17" s="376"/>
      <c r="AM17" s="374">
        <f>SUM(AM8:AM16)</f>
        <v>3972.5899999999997</v>
      </c>
      <c r="AN17" s="375"/>
      <c r="AO17" s="375"/>
      <c r="AP17" s="376"/>
      <c r="AQ17" s="374">
        <f>SUM(AQ8:AQ16)</f>
        <v>4573.79</v>
      </c>
      <c r="AR17" s="375"/>
      <c r="AS17" s="375"/>
      <c r="AT17" s="376"/>
      <c r="AU17" s="374">
        <f>SUM(AU8:AU16)</f>
        <v>1019.15</v>
      </c>
      <c r="AV17" s="375"/>
      <c r="AW17" s="375"/>
      <c r="AX17" s="376"/>
      <c r="AZ17" s="227">
        <f>SUM(AZ8:AZ16)</f>
        <v>54743.44</v>
      </c>
      <c r="BA17" s="112">
        <f ca="1">AZ17/BC$17</f>
        <v>4561.9533333333338</v>
      </c>
      <c r="BB17" s="1" t="s">
        <v>83</v>
      </c>
      <c r="BC17" s="1">
        <f ca="1">MONTH(TODAY())</f>
        <v>12</v>
      </c>
      <c r="BD17" s="39"/>
    </row>
    <row r="18" spans="1:62" ht="32.25" customHeight="1" thickTop="1" thickBot="1">
      <c r="A18" s="10"/>
      <c r="B18" s="10"/>
      <c r="C18" s="377"/>
      <c r="D18" s="377"/>
      <c r="E18" s="377"/>
      <c r="F18" s="377"/>
      <c r="G18" s="377"/>
      <c r="H18" s="377"/>
      <c r="I18" s="377"/>
      <c r="J18" s="377"/>
      <c r="K18" s="377"/>
      <c r="L18" s="377"/>
      <c r="M18" s="377"/>
      <c r="N18" s="377"/>
      <c r="O18" s="377"/>
      <c r="P18" s="377"/>
      <c r="Q18" s="377"/>
      <c r="R18" s="377"/>
      <c r="S18" s="377"/>
      <c r="T18" s="377"/>
      <c r="U18" s="377"/>
      <c r="V18" s="377"/>
      <c r="W18" s="377"/>
      <c r="X18" s="377"/>
      <c r="Y18" s="377"/>
      <c r="Z18" s="377"/>
      <c r="AA18" s="377"/>
      <c r="AB18" s="377"/>
      <c r="AC18" s="377"/>
      <c r="AD18" s="377"/>
      <c r="AE18" s="377"/>
      <c r="AF18" s="377"/>
      <c r="AG18" s="377"/>
      <c r="AH18" s="377"/>
      <c r="AI18" s="377"/>
      <c r="AJ18" s="377"/>
      <c r="AK18" s="377"/>
      <c r="AL18" s="377"/>
      <c r="AM18" s="377"/>
      <c r="AN18" s="377"/>
      <c r="AO18" s="377"/>
      <c r="AP18" s="377"/>
      <c r="AQ18" s="377"/>
      <c r="AR18" s="377"/>
      <c r="AS18" s="377"/>
      <c r="AT18" s="377"/>
      <c r="AU18" s="377" t="s">
        <v>173</v>
      </c>
      <c r="AV18" s="377"/>
      <c r="AW18" s="377"/>
      <c r="AX18" s="377"/>
      <c r="AZ18" s="131">
        <f>(2500*13)+(600*12)+(550*12)+(95*12)</f>
        <v>47440</v>
      </c>
      <c r="BA18" s="131">
        <f ca="1">12*BA17</f>
        <v>54743.44</v>
      </c>
      <c r="BB18" s="1"/>
      <c r="BC18" s="1"/>
    </row>
    <row r="19" spans="1:62" ht="17.25" thickTop="1" thickBot="1">
      <c r="A19" s="24" t="s">
        <v>7</v>
      </c>
      <c r="B19" s="24" t="s">
        <v>209</v>
      </c>
      <c r="C19" s="178" t="s">
        <v>54</v>
      </c>
      <c r="D19" s="179" t="s">
        <v>210</v>
      </c>
      <c r="E19" s="179" t="s">
        <v>9</v>
      </c>
      <c r="F19" s="180" t="s">
        <v>10</v>
      </c>
      <c r="G19" s="178" t="s">
        <v>54</v>
      </c>
      <c r="H19" s="179" t="s">
        <v>210</v>
      </c>
      <c r="I19" s="179" t="s">
        <v>9</v>
      </c>
      <c r="J19" s="180" t="s">
        <v>10</v>
      </c>
      <c r="K19" s="178" t="s">
        <v>54</v>
      </c>
      <c r="L19" s="179" t="s">
        <v>210</v>
      </c>
      <c r="M19" s="179" t="s">
        <v>9</v>
      </c>
      <c r="N19" s="180" t="s">
        <v>10</v>
      </c>
      <c r="O19" s="178" t="s">
        <v>54</v>
      </c>
      <c r="P19" s="179" t="s">
        <v>210</v>
      </c>
      <c r="Q19" s="179" t="s">
        <v>9</v>
      </c>
      <c r="R19" s="180" t="s">
        <v>10</v>
      </c>
      <c r="S19" s="178" t="s">
        <v>54</v>
      </c>
      <c r="T19" s="179" t="s">
        <v>210</v>
      </c>
      <c r="U19" s="179" t="s">
        <v>9</v>
      </c>
      <c r="V19" s="180" t="s">
        <v>10</v>
      </c>
      <c r="W19" s="178" t="s">
        <v>54</v>
      </c>
      <c r="X19" s="179" t="s">
        <v>210</v>
      </c>
      <c r="Y19" s="179" t="s">
        <v>9</v>
      </c>
      <c r="Z19" s="180" t="s">
        <v>10</v>
      </c>
      <c r="AA19" s="178" t="s">
        <v>54</v>
      </c>
      <c r="AB19" s="179" t="s">
        <v>210</v>
      </c>
      <c r="AC19" s="179" t="s">
        <v>9</v>
      </c>
      <c r="AD19" s="180" t="s">
        <v>10</v>
      </c>
      <c r="AE19" s="178" t="s">
        <v>54</v>
      </c>
      <c r="AF19" s="179" t="s">
        <v>210</v>
      </c>
      <c r="AG19" s="179" t="s">
        <v>9</v>
      </c>
      <c r="AH19" s="180" t="s">
        <v>10</v>
      </c>
      <c r="AI19" s="178" t="s">
        <v>54</v>
      </c>
      <c r="AJ19" s="179" t="s">
        <v>210</v>
      </c>
      <c r="AK19" s="179" t="s">
        <v>9</v>
      </c>
      <c r="AL19" s="180" t="s">
        <v>10</v>
      </c>
      <c r="AM19" s="178" t="s">
        <v>54</v>
      </c>
      <c r="AN19" s="179" t="s">
        <v>210</v>
      </c>
      <c r="AO19" s="179" t="s">
        <v>9</v>
      </c>
      <c r="AP19" s="180" t="s">
        <v>10</v>
      </c>
      <c r="AQ19" s="178" t="s">
        <v>54</v>
      </c>
      <c r="AR19" s="179" t="s">
        <v>210</v>
      </c>
      <c r="AS19" s="179" t="s">
        <v>9</v>
      </c>
      <c r="AT19" s="180" t="s">
        <v>10</v>
      </c>
      <c r="AU19" s="178" t="s">
        <v>54</v>
      </c>
      <c r="AV19" s="179" t="s">
        <v>210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230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415.05999999999995</v>
      </c>
      <c r="AI20" s="143" t="s">
        <v>76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617.41999999999996</v>
      </c>
      <c r="AM20" s="143" t="s">
        <v>77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593.21999999999991</v>
      </c>
      <c r="AQ20" s="143" t="s">
        <v>80</v>
      </c>
      <c r="AR20" s="144">
        <f>'11'!B20</f>
        <v>603.05999999999995</v>
      </c>
      <c r="AS20" s="144">
        <f>SUM('11'!D20:F20)</f>
        <v>455.66</v>
      </c>
      <c r="AT20" s="145">
        <f t="shared" ref="AT20:AT45" si="12">AP20+AR20-AS20</f>
        <v>740.61999999999966</v>
      </c>
      <c r="AU20" s="143" t="s">
        <v>84</v>
      </c>
      <c r="AV20" s="144">
        <f>'12'!B20</f>
        <v>266.31</v>
      </c>
      <c r="AW20" s="144">
        <f>SUM('12'!D20:F20)</f>
        <v>12</v>
      </c>
      <c r="AX20" s="145">
        <f t="shared" ref="AX20:AX45" si="13">AT20+AV20-AW20</f>
        <v>994.92999999999961</v>
      </c>
      <c r="AZ20" s="123">
        <f t="shared" ref="AZ20:AZ27" si="14">E20+I20+M20+Q20+U20+Y20+AC20+AG20+AK20+AO20+AS20+AW20</f>
        <v>6149.68</v>
      </c>
      <c r="BA20" s="21">
        <f t="shared" ref="BA20:BA45" si="15">AZ20/AZ$46</f>
        <v>0.12111825341147806</v>
      </c>
      <c r="BB20" s="22">
        <f>_xlfn.RANK.EQ(BA20,$BA$20:$BA$45,)</f>
        <v>2</v>
      </c>
      <c r="BC20" s="22">
        <f t="shared" ref="BC20:BC45" ca="1" si="16">AZ20/BC$17</f>
        <v>512.47333333333336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6695.8300000000008</v>
      </c>
      <c r="BF20" s="21">
        <f t="shared" ref="BF20:BF45" ca="1" si="18">BE20/BE$46</f>
        <v>0.12244063662081384</v>
      </c>
      <c r="BG20" s="22">
        <f ca="1">_xlfn.RANK.EQ(BF20,$BF$20:$BF$45,)</f>
        <v>2</v>
      </c>
      <c r="BH20" s="22">
        <f t="shared" ref="BH20:BH45" ca="1" si="19">BE20/BC$17</f>
        <v>557.9858333333334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546.15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76</v>
      </c>
      <c r="AJ21" s="149">
        <f>'09'!B40</f>
        <v>1148</v>
      </c>
      <c r="AK21" s="150">
        <f>SUM('09'!D40:F40)</f>
        <v>1103.94</v>
      </c>
      <c r="AL21" s="151">
        <f t="shared" si="10"/>
        <v>364.07999999999925</v>
      </c>
      <c r="AM21" s="148" t="s">
        <v>77</v>
      </c>
      <c r="AN21" s="149">
        <f>'10'!B40</f>
        <v>1148</v>
      </c>
      <c r="AO21" s="150">
        <f>SUM('10'!D40:F40)</f>
        <v>1208.1300000000001</v>
      </c>
      <c r="AP21" s="151">
        <f t="shared" si="11"/>
        <v>303.94999999999914</v>
      </c>
      <c r="AQ21" s="143" t="s">
        <v>80</v>
      </c>
      <c r="AR21" s="149">
        <f>'11'!B40</f>
        <v>1148</v>
      </c>
      <c r="AS21" s="150">
        <f>SUM('11'!D40:F40)</f>
        <v>1104.6099999999999</v>
      </c>
      <c r="AT21" s="151">
        <f t="shared" si="12"/>
        <v>347.33999999999924</v>
      </c>
      <c r="AU21" s="148" t="s">
        <v>84</v>
      </c>
      <c r="AV21" s="149">
        <f>'12'!B40</f>
        <v>1153</v>
      </c>
      <c r="AW21" s="150">
        <f>SUM('12'!D40:F40)</f>
        <v>0</v>
      </c>
      <c r="AX21" s="151">
        <f t="shared" si="13"/>
        <v>1500.3399999999992</v>
      </c>
      <c r="AZ21" s="152">
        <f t="shared" si="14"/>
        <v>12958.52</v>
      </c>
      <c r="BA21" s="21">
        <f t="shared" si="15"/>
        <v>0.25521869580168505</v>
      </c>
      <c r="BB21" s="22">
        <f t="shared" ref="BB21:BB45" si="20">_xlfn.RANK.EQ(BA21,$BA$20:$BA$45,)</f>
        <v>1</v>
      </c>
      <c r="BC21" s="22">
        <f t="shared" ca="1" si="16"/>
        <v>1079.8766666666668</v>
      </c>
      <c r="BE21" s="224">
        <f t="shared" ca="1" si="17"/>
        <v>13806</v>
      </c>
      <c r="BF21" s="21">
        <f t="shared" ca="1" si="18"/>
        <v>0.25245793713205916</v>
      </c>
      <c r="BG21" s="22">
        <f t="shared" ref="BG21:BG45" ca="1" si="21">_xlfn.RANK.EQ(BF21,$BF$20:$BF$45,)</f>
        <v>1</v>
      </c>
      <c r="BH21" s="22">
        <f t="shared" ca="1" si="19"/>
        <v>1150.5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847.47999999999956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323.87</v>
      </c>
      <c r="AG22" s="155">
        <f>SUM('08'!D60:F60)</f>
        <v>323.87000000000006</v>
      </c>
      <c r="AH22" s="156">
        <f t="shared" si="9"/>
        <v>489.68000000000012</v>
      </c>
      <c r="AI22" s="143" t="s">
        <v>76</v>
      </c>
      <c r="AJ22" s="155">
        <f>'09'!B60</f>
        <v>300</v>
      </c>
      <c r="AK22" s="155">
        <f>SUM('09'!D60:F60)</f>
        <v>284.70000000000005</v>
      </c>
      <c r="AL22" s="156">
        <f t="shared" si="10"/>
        <v>504.98</v>
      </c>
      <c r="AM22" s="143" t="s">
        <v>77</v>
      </c>
      <c r="AN22" s="155">
        <f>'10'!B60</f>
        <v>300</v>
      </c>
      <c r="AO22" s="155">
        <f>SUM('10'!D60:F60)</f>
        <v>327.21000000000004</v>
      </c>
      <c r="AP22" s="156">
        <f t="shared" si="11"/>
        <v>477.77</v>
      </c>
      <c r="AQ22" s="143" t="s">
        <v>80</v>
      </c>
      <c r="AR22" s="155">
        <f>'11'!B60</f>
        <v>300</v>
      </c>
      <c r="AS22" s="155">
        <f>SUM('11'!D60:F60)</f>
        <v>499.71999999999997</v>
      </c>
      <c r="AT22" s="156">
        <f t="shared" si="12"/>
        <v>278.05</v>
      </c>
      <c r="AU22" s="143" t="s">
        <v>84</v>
      </c>
      <c r="AV22" s="155">
        <f>'12'!B60</f>
        <v>315</v>
      </c>
      <c r="AW22" s="155">
        <f>SUM('12'!D60:F60)</f>
        <v>259.97999999999996</v>
      </c>
      <c r="AX22" s="156">
        <f t="shared" si="13"/>
        <v>333.07</v>
      </c>
      <c r="AZ22" s="157">
        <f t="shared" si="14"/>
        <v>3714.2299999999996</v>
      </c>
      <c r="BA22" s="21">
        <f t="shared" si="15"/>
        <v>7.31519445513448E-2</v>
      </c>
      <c r="BB22" s="22">
        <f t="shared" si="20"/>
        <v>5</v>
      </c>
      <c r="BC22" s="22">
        <f t="shared" ca="1" si="16"/>
        <v>309.51916666666665</v>
      </c>
      <c r="BE22" s="225">
        <f t="shared" ca="1" si="17"/>
        <v>3801.23</v>
      </c>
      <c r="BF22" s="21">
        <f t="shared" ca="1" si="18"/>
        <v>6.9509683062762367E-2</v>
      </c>
      <c r="BG22" s="22">
        <f t="shared" ca="1" si="21"/>
        <v>6</v>
      </c>
      <c r="BH22" s="22">
        <f t="shared" ca="1" si="19"/>
        <v>316.76916666666665</v>
      </c>
      <c r="BJ22" s="225">
        <f t="shared" ca="1" si="22"/>
        <v>86.999999999999829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210</v>
      </c>
      <c r="AG23" s="150">
        <f>SUM('08'!D80:F80)</f>
        <v>216.64999999999998</v>
      </c>
      <c r="AH23" s="151">
        <f t="shared" si="9"/>
        <v>122.8300000000001</v>
      </c>
      <c r="AI23" s="148" t="s">
        <v>76</v>
      </c>
      <c r="AJ23" s="149">
        <f>'09'!B80</f>
        <v>280</v>
      </c>
      <c r="AK23" s="150">
        <f>SUM('09'!D80:F80)</f>
        <v>272.90000000000003</v>
      </c>
      <c r="AL23" s="151">
        <f t="shared" si="10"/>
        <v>129.93000000000006</v>
      </c>
      <c r="AM23" s="148" t="s">
        <v>77</v>
      </c>
      <c r="AN23" s="149">
        <f>'10'!B80</f>
        <v>185</v>
      </c>
      <c r="AO23" s="150">
        <f>SUM('10'!D80:F80)</f>
        <v>168.38</v>
      </c>
      <c r="AP23" s="151">
        <f t="shared" si="11"/>
        <v>146.55000000000007</v>
      </c>
      <c r="AQ23" s="148" t="s">
        <v>80</v>
      </c>
      <c r="AR23" s="149">
        <f>'11'!B80</f>
        <v>185</v>
      </c>
      <c r="AS23" s="150">
        <f>SUM('11'!D80:F80)</f>
        <v>153.19999999999999</v>
      </c>
      <c r="AT23" s="151">
        <f t="shared" si="12"/>
        <v>178.35000000000008</v>
      </c>
      <c r="AU23" s="148" t="s">
        <v>84</v>
      </c>
      <c r="AV23" s="149">
        <f>'12'!B80</f>
        <v>185</v>
      </c>
      <c r="AW23" s="150">
        <f>SUM('12'!D80:F80)</f>
        <v>0</v>
      </c>
      <c r="AX23" s="151">
        <f t="shared" si="13"/>
        <v>363.35000000000008</v>
      </c>
      <c r="AZ23" s="152">
        <f t="shared" si="14"/>
        <v>1958.78</v>
      </c>
      <c r="BA23" s="21">
        <f t="shared" si="15"/>
        <v>3.8578269506272682E-2</v>
      </c>
      <c r="BB23" s="22">
        <f t="shared" si="20"/>
        <v>8</v>
      </c>
      <c r="BC23" s="22">
        <f t="shared" ca="1" si="16"/>
        <v>163.23166666666665</v>
      </c>
      <c r="BE23" s="224">
        <f t="shared" ca="1" si="17"/>
        <v>2280</v>
      </c>
      <c r="BF23" s="21">
        <f t="shared" ca="1" si="18"/>
        <v>4.1692314693690773E-2</v>
      </c>
      <c r="BG23" s="22">
        <f t="shared" ca="1" si="21"/>
        <v>9</v>
      </c>
      <c r="BH23" s="22">
        <f t="shared" ca="1" si="19"/>
        <v>190</v>
      </c>
      <c r="BJ23" s="224">
        <f t="shared" ca="1" si="22"/>
        <v>321.22000000000003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143.82</v>
      </c>
      <c r="AH24" s="156">
        <f t="shared" si="9"/>
        <v>211.08999999999997</v>
      </c>
      <c r="AI24" s="143" t="s">
        <v>76</v>
      </c>
      <c r="AJ24" s="155">
        <f>'09'!B100</f>
        <v>150</v>
      </c>
      <c r="AK24" s="155">
        <f>SUM('09'!D100:F100)</f>
        <v>154.66</v>
      </c>
      <c r="AL24" s="156">
        <f t="shared" si="10"/>
        <v>206.42999999999998</v>
      </c>
      <c r="AM24" s="143" t="s">
        <v>77</v>
      </c>
      <c r="AN24" s="155">
        <f>'10'!B100</f>
        <v>150</v>
      </c>
      <c r="AO24" s="155">
        <f>SUM('10'!D100:F100)</f>
        <v>210.17999999999998</v>
      </c>
      <c r="AP24" s="156">
        <f t="shared" si="11"/>
        <v>146.24999999999997</v>
      </c>
      <c r="AQ24" s="143" t="s">
        <v>80</v>
      </c>
      <c r="AR24" s="155">
        <f>'11'!B100</f>
        <v>150</v>
      </c>
      <c r="AS24" s="155">
        <f>SUM('11'!D100:F100)</f>
        <v>43.28</v>
      </c>
      <c r="AT24" s="156">
        <f t="shared" si="12"/>
        <v>252.97</v>
      </c>
      <c r="AU24" s="143" t="s">
        <v>84</v>
      </c>
      <c r="AV24" s="155">
        <f>'12'!B100</f>
        <v>150</v>
      </c>
      <c r="AW24" s="155">
        <f>SUM('12'!D100:F100)</f>
        <v>36.89</v>
      </c>
      <c r="AX24" s="156">
        <f t="shared" si="13"/>
        <v>366.08000000000004</v>
      </c>
      <c r="AZ24" s="157">
        <f t="shared" si="14"/>
        <v>1543.9200000000003</v>
      </c>
      <c r="BA24" s="21">
        <f t="shared" si="15"/>
        <v>3.0407581176101723E-2</v>
      </c>
      <c r="BB24" s="22">
        <f t="shared" si="20"/>
        <v>11</v>
      </c>
      <c r="BC24" s="22">
        <f t="shared" ca="1" si="16"/>
        <v>128.66000000000003</v>
      </c>
      <c r="BE24" s="225">
        <f t="shared" ca="1" si="17"/>
        <v>1910</v>
      </c>
      <c r="BF24" s="21">
        <f t="shared" ca="1" si="18"/>
        <v>3.4926456607433938E-2</v>
      </c>
      <c r="BG24" s="22">
        <f t="shared" ca="1" si="21"/>
        <v>11</v>
      </c>
      <c r="BH24" s="22">
        <f t="shared" ca="1" si="19"/>
        <v>159.16666666666666</v>
      </c>
      <c r="BJ24" s="225">
        <f t="shared" ca="1" si="22"/>
        <v>366.08000000000004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327.38</v>
      </c>
      <c r="AL25" s="151">
        <f t="shared" si="10"/>
        <v>4075.4799999999977</v>
      </c>
      <c r="AM25" s="148" t="s">
        <v>77</v>
      </c>
      <c r="AN25" s="149">
        <f>'10'!B120</f>
        <v>761.33159742449789</v>
      </c>
      <c r="AO25" s="150">
        <f>SUM('10'!D120:F120)</f>
        <v>327.38</v>
      </c>
      <c r="AP25" s="151">
        <f t="shared" si="11"/>
        <v>4509.4315974244955</v>
      </c>
      <c r="AQ25" s="148" t="s">
        <v>80</v>
      </c>
      <c r="AR25" s="149">
        <f>'11'!B120</f>
        <v>457.47</v>
      </c>
      <c r="AS25" s="150">
        <f>SUM('11'!D120:F120)</f>
        <v>721.95</v>
      </c>
      <c r="AT25" s="151">
        <f t="shared" si="12"/>
        <v>4244.951597424496</v>
      </c>
      <c r="AU25" s="148" t="s">
        <v>84</v>
      </c>
      <c r="AV25" s="149">
        <f>'12'!B120</f>
        <v>457.47</v>
      </c>
      <c r="AW25" s="150">
        <f>SUM('12'!D120:F120)</f>
        <v>378.83000000000004</v>
      </c>
      <c r="AX25" s="151">
        <f t="shared" si="13"/>
        <v>4323.5915974244963</v>
      </c>
      <c r="AZ25" s="152">
        <f t="shared" si="14"/>
        <v>4438.5800000000008</v>
      </c>
      <c r="BA25" s="21">
        <f t="shared" si="15"/>
        <v>8.741805382184413E-2</v>
      </c>
      <c r="BB25" s="22">
        <f t="shared" si="20"/>
        <v>4</v>
      </c>
      <c r="BC25" s="22">
        <f t="shared" ca="1" si="16"/>
        <v>369.88166666666672</v>
      </c>
      <c r="BE25" s="224">
        <f t="shared" ca="1" si="17"/>
        <v>5599.6215974244988</v>
      </c>
      <c r="BF25" s="21">
        <f t="shared" ca="1" si="18"/>
        <v>0.10239525693219721</v>
      </c>
      <c r="BG25" s="22">
        <f t="shared" ca="1" si="21"/>
        <v>3</v>
      </c>
      <c r="BH25" s="22">
        <f t="shared" ca="1" si="19"/>
        <v>466.63513311870821</v>
      </c>
      <c r="BJ25" s="224">
        <f t="shared" ca="1" si="22"/>
        <v>1161.0415974244979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55.49</v>
      </c>
      <c r="AH26" s="156">
        <f t="shared" si="9"/>
        <v>25.04999999999999</v>
      </c>
      <c r="AI26" s="143" t="s">
        <v>76</v>
      </c>
      <c r="AJ26" s="155">
        <f>'09'!B140</f>
        <v>53</v>
      </c>
      <c r="AK26" s="155">
        <f>SUM('09'!D140:F140)</f>
        <v>45.49</v>
      </c>
      <c r="AL26" s="156">
        <f t="shared" si="10"/>
        <v>32.559999999999981</v>
      </c>
      <c r="AM26" s="143" t="s">
        <v>77</v>
      </c>
      <c r="AN26" s="155">
        <f>'10'!B140</f>
        <v>53</v>
      </c>
      <c r="AO26" s="155">
        <f>SUM('10'!D140:F140)</f>
        <v>110.49</v>
      </c>
      <c r="AP26" s="156">
        <f t="shared" si="11"/>
        <v>-24.930000000000021</v>
      </c>
      <c r="AQ26" s="143" t="s">
        <v>80</v>
      </c>
      <c r="AR26" s="155">
        <f>'11'!B140</f>
        <v>53</v>
      </c>
      <c r="AS26" s="155">
        <f>SUM('11'!D140:F140)</f>
        <v>55.49</v>
      </c>
      <c r="AT26" s="156">
        <f t="shared" si="12"/>
        <v>-27.420000000000023</v>
      </c>
      <c r="AU26" s="143" t="s">
        <v>84</v>
      </c>
      <c r="AV26" s="155">
        <f>'12'!B140</f>
        <v>68</v>
      </c>
      <c r="AW26" s="155">
        <f>SUM('12'!D140:F140)</f>
        <v>7.99</v>
      </c>
      <c r="AX26" s="156">
        <f t="shared" si="13"/>
        <v>32.589999999999975</v>
      </c>
      <c r="AZ26" s="157">
        <f t="shared" si="14"/>
        <v>633.40000000000009</v>
      </c>
      <c r="BA26" s="21">
        <f t="shared" si="15"/>
        <v>1.2474844497734876E-2</v>
      </c>
      <c r="BB26" s="22">
        <f t="shared" si="20"/>
        <v>15</v>
      </c>
      <c r="BC26" s="22">
        <f t="shared" ca="1" si="16"/>
        <v>52.783333333333339</v>
      </c>
      <c r="BE26" s="225">
        <f t="shared" ca="1" si="17"/>
        <v>646.45000000000005</v>
      </c>
      <c r="BF26" s="21">
        <f t="shared" ca="1" si="18"/>
        <v>1.1821051242866844E-2</v>
      </c>
      <c r="BG26" s="22">
        <f t="shared" ca="1" si="21"/>
        <v>17</v>
      </c>
      <c r="BH26" s="22">
        <f t="shared" ca="1" si="19"/>
        <v>53.870833333333337</v>
      </c>
      <c r="BJ26" s="225">
        <f t="shared" ca="1" si="22"/>
        <v>13.050000000000026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37.29</v>
      </c>
      <c r="AH27" s="187">
        <f t="shared" si="9"/>
        <v>292.25000000000006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342.25000000000006</v>
      </c>
      <c r="AM27" s="185" t="s">
        <v>77</v>
      </c>
      <c r="AN27" s="186">
        <f>'10'!B160</f>
        <v>50</v>
      </c>
      <c r="AO27" s="186">
        <f>SUM('10'!D160:F160)</f>
        <v>46.76</v>
      </c>
      <c r="AP27" s="187">
        <f t="shared" si="11"/>
        <v>345.49000000000007</v>
      </c>
      <c r="AQ27" s="185" t="s">
        <v>80</v>
      </c>
      <c r="AR27" s="186">
        <f>'11'!B160</f>
        <v>50</v>
      </c>
      <c r="AS27" s="186">
        <f>SUM('11'!D160:F160)</f>
        <v>16.579999999999998</v>
      </c>
      <c r="AT27" s="187">
        <f t="shared" si="12"/>
        <v>378.91000000000008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428.91000000000008</v>
      </c>
      <c r="AZ27" s="188">
        <f t="shared" si="14"/>
        <v>415.03999999999996</v>
      </c>
      <c r="BA27" s="21">
        <f t="shared" si="15"/>
        <v>8.1742334391220108E-3</v>
      </c>
      <c r="BB27" s="22">
        <f t="shared" si="20"/>
        <v>18</v>
      </c>
      <c r="BC27" s="22">
        <f t="shared" ca="1" si="16"/>
        <v>34.586666666666666</v>
      </c>
      <c r="BE27" s="224">
        <f t="shared" ca="1" si="17"/>
        <v>540</v>
      </c>
      <c r="BF27" s="21">
        <f t="shared" ca="1" si="18"/>
        <v>9.8744955853478159E-3</v>
      </c>
      <c r="BG27" s="22">
        <f t="shared" ca="1" si="21"/>
        <v>19</v>
      </c>
      <c r="BH27" s="22">
        <f t="shared" ca="1" si="19"/>
        <v>45</v>
      </c>
      <c r="BJ27" s="224">
        <f t="shared" ca="1" si="22"/>
        <v>124.96000000000004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44</v>
      </c>
      <c r="AL28" s="159">
        <f t="shared" si="10"/>
        <v>689.00000000000023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889.00000000000023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1089.0000000000002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1289.0000000000002</v>
      </c>
      <c r="AZ28" s="182">
        <f t="shared" ref="AZ28:AZ45" si="23">E28+I28+M28+Q28+U28+Y28+AC28+AG28+AK28+AO28+AS28+AW28</f>
        <v>3400.09</v>
      </c>
      <c r="BA28" s="21">
        <f t="shared" si="15"/>
        <v>6.696494162978113E-2</v>
      </c>
      <c r="BB28" s="22">
        <f t="shared" si="20"/>
        <v>6</v>
      </c>
      <c r="BC28" s="22">
        <f t="shared" ca="1" si="16"/>
        <v>283.34083333333336</v>
      </c>
      <c r="BE28" s="223">
        <f t="shared" ca="1" si="17"/>
        <v>4080.04</v>
      </c>
      <c r="BF28" s="21">
        <f t="shared" ca="1" si="18"/>
        <v>7.4608031422300922E-2</v>
      </c>
      <c r="BG28" s="22">
        <f t="shared" ca="1" si="21"/>
        <v>5</v>
      </c>
      <c r="BH28" s="22">
        <f t="shared" ca="1" si="19"/>
        <v>340.00333333333333</v>
      </c>
      <c r="BJ28" s="223">
        <f t="shared" ca="1" si="22"/>
        <v>679.95000000000016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76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0</v>
      </c>
      <c r="AM29" s="148" t="s">
        <v>77</v>
      </c>
      <c r="AN29" s="149">
        <f>'10'!B200</f>
        <v>70</v>
      </c>
      <c r="AO29" s="150">
        <f>SUM('10'!D200:F200)</f>
        <v>133.79000000000002</v>
      </c>
      <c r="AP29" s="160">
        <f t="shared" si="11"/>
        <v>-63.79000000000002</v>
      </c>
      <c r="AQ29" s="148" t="s">
        <v>80</v>
      </c>
      <c r="AR29" s="149">
        <f>'11'!B200</f>
        <v>70</v>
      </c>
      <c r="AS29" s="150">
        <f>SUM('11'!D200:F200)</f>
        <v>64.16</v>
      </c>
      <c r="AT29" s="160">
        <f t="shared" si="12"/>
        <v>-57.950000000000017</v>
      </c>
      <c r="AU29" s="148" t="s">
        <v>84</v>
      </c>
      <c r="AV29" s="149">
        <f>'12'!B200</f>
        <v>105</v>
      </c>
      <c r="AW29" s="150">
        <f>SUM('12'!D200:F200)</f>
        <v>69.45</v>
      </c>
      <c r="AX29" s="160">
        <f t="shared" si="13"/>
        <v>-22.40000000000002</v>
      </c>
      <c r="AZ29" s="152">
        <f t="shared" si="23"/>
        <v>1091.3899999999999</v>
      </c>
      <c r="BA29" s="21">
        <f t="shared" si="15"/>
        <v>2.1494980322675817E-2</v>
      </c>
      <c r="BB29" s="22">
        <f t="shared" si="20"/>
        <v>13</v>
      </c>
      <c r="BC29" s="22">
        <f t="shared" ca="1" si="16"/>
        <v>90.949166666666656</v>
      </c>
      <c r="BE29" s="224">
        <f t="shared" ca="1" si="17"/>
        <v>1115.6600000000001</v>
      </c>
      <c r="BF29" s="21">
        <f t="shared" ca="1" si="18"/>
        <v>2.0401073601387303E-2</v>
      </c>
      <c r="BG29" s="22">
        <f t="shared" ca="1" si="21"/>
        <v>14</v>
      </c>
      <c r="BH29" s="22">
        <f t="shared" ca="1" si="19"/>
        <v>92.971666666666678</v>
      </c>
      <c r="BJ29" s="224">
        <f t="shared" ca="1" si="22"/>
        <v>24.269999999999911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76</v>
      </c>
      <c r="AJ30" s="155">
        <f>'09'!B220</f>
        <v>35</v>
      </c>
      <c r="AK30" s="155">
        <f>SUM('09'!D220:F220)</f>
        <v>12.5</v>
      </c>
      <c r="AL30" s="161">
        <f t="shared" si="10"/>
        <v>85.419999999999973</v>
      </c>
      <c r="AM30" s="143" t="s">
        <v>77</v>
      </c>
      <c r="AN30" s="155">
        <f>'10'!B220</f>
        <v>35</v>
      </c>
      <c r="AO30" s="155">
        <f>SUM('10'!D220:F220)</f>
        <v>23.5</v>
      </c>
      <c r="AP30" s="161">
        <f t="shared" si="11"/>
        <v>96.919999999999973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131.91999999999996</v>
      </c>
      <c r="AU30" s="143" t="s">
        <v>84</v>
      </c>
      <c r="AV30" s="155">
        <f>'12'!B220</f>
        <v>35</v>
      </c>
      <c r="AW30" s="155">
        <f>SUM('12'!D220:F220)</f>
        <v>103.17</v>
      </c>
      <c r="AX30" s="161">
        <f t="shared" si="13"/>
        <v>63.749999999999957</v>
      </c>
      <c r="AZ30" s="157">
        <f t="shared" si="23"/>
        <v>369.42</v>
      </c>
      <c r="BA30" s="21">
        <f t="shared" si="15"/>
        <v>7.2757452705292346E-3</v>
      </c>
      <c r="BB30" s="22">
        <f t="shared" si="20"/>
        <v>19</v>
      </c>
      <c r="BC30" s="22">
        <f t="shared" ca="1" si="16"/>
        <v>30.785</v>
      </c>
      <c r="BE30" s="225">
        <f t="shared" ca="1" si="17"/>
        <v>460</v>
      </c>
      <c r="BF30" s="21">
        <f t="shared" ca="1" si="18"/>
        <v>8.4116073504814717E-3</v>
      </c>
      <c r="BG30" s="22">
        <f t="shared" ca="1" si="21"/>
        <v>20</v>
      </c>
      <c r="BH30" s="22">
        <f t="shared" ca="1" si="19"/>
        <v>38.333333333333336</v>
      </c>
      <c r="BJ30" s="225">
        <f t="shared" ca="1" si="22"/>
        <v>90.579999999999984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20.98</v>
      </c>
      <c r="AH31" s="160">
        <f t="shared" si="9"/>
        <v>57.699999999999974</v>
      </c>
      <c r="AI31" s="148" t="s">
        <v>76</v>
      </c>
      <c r="AJ31" s="149">
        <f>'09'!B240</f>
        <v>20</v>
      </c>
      <c r="AK31" s="150">
        <f>SUM('09'!D240:F240)</f>
        <v>20.98</v>
      </c>
      <c r="AL31" s="160">
        <f t="shared" si="10"/>
        <v>56.71999999999997</v>
      </c>
      <c r="AM31" s="148" t="s">
        <v>77</v>
      </c>
      <c r="AN31" s="149">
        <f>'10'!B240</f>
        <v>20</v>
      </c>
      <c r="AO31" s="150">
        <f>SUM('10'!D240:F240)</f>
        <v>20.98</v>
      </c>
      <c r="AP31" s="160">
        <f t="shared" si="11"/>
        <v>55.739999999999966</v>
      </c>
      <c r="AQ31" s="148" t="s">
        <v>80</v>
      </c>
      <c r="AR31" s="149">
        <f>'11'!B240</f>
        <v>20</v>
      </c>
      <c r="AS31" s="150">
        <f>SUM('11'!D240:F240)</f>
        <v>20.98</v>
      </c>
      <c r="AT31" s="160">
        <f t="shared" si="12"/>
        <v>54.759999999999962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74.759999999999962</v>
      </c>
      <c r="AZ31" s="152">
        <f t="shared" si="23"/>
        <v>241.27999999999994</v>
      </c>
      <c r="BA31" s="21">
        <f t="shared" si="15"/>
        <v>4.7520215983793334E-3</v>
      </c>
      <c r="BB31" s="22">
        <f t="shared" si="20"/>
        <v>20</v>
      </c>
      <c r="BC31" s="22">
        <f t="shared" ca="1" si="16"/>
        <v>20.106666666666662</v>
      </c>
      <c r="BE31" s="224">
        <f t="shared" ca="1" si="17"/>
        <v>240</v>
      </c>
      <c r="BF31" s="21">
        <f t="shared" ca="1" si="18"/>
        <v>4.3886647045990289E-3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-1.2800000000000438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112.12</v>
      </c>
      <c r="AG32" s="155">
        <f>SUM('08'!D260:F260)</f>
        <v>69.89</v>
      </c>
      <c r="AH32" s="161">
        <f t="shared" si="9"/>
        <v>631.11999999999989</v>
      </c>
      <c r="AI32" s="143" t="s">
        <v>76</v>
      </c>
      <c r="AJ32" s="155">
        <f>'09'!B260</f>
        <v>438.08</v>
      </c>
      <c r="AK32" s="155">
        <f>SUM('09'!D260:F260)</f>
        <v>594.42000000000007</v>
      </c>
      <c r="AL32" s="161">
        <f t="shared" si="10"/>
        <v>474.77999999999975</v>
      </c>
      <c r="AM32" s="143" t="s">
        <v>77</v>
      </c>
      <c r="AN32" s="155">
        <f>'10'!B260</f>
        <v>95</v>
      </c>
      <c r="AO32" s="155">
        <f>SUM('10'!D260:F260)</f>
        <v>172.2</v>
      </c>
      <c r="AP32" s="161">
        <f t="shared" si="11"/>
        <v>397.57999999999976</v>
      </c>
      <c r="AQ32" s="143" t="s">
        <v>80</v>
      </c>
      <c r="AR32" s="155">
        <f>'11'!B260</f>
        <v>95</v>
      </c>
      <c r="AS32" s="155">
        <f>SUM('11'!D260:F260)</f>
        <v>100.67</v>
      </c>
      <c r="AT32" s="161">
        <f t="shared" si="12"/>
        <v>391.90999999999974</v>
      </c>
      <c r="AU32" s="143" t="s">
        <v>84</v>
      </c>
      <c r="AV32" s="155">
        <f>'12'!B260</f>
        <v>250</v>
      </c>
      <c r="AW32" s="155">
        <f>SUM('12'!D260:F260)</f>
        <v>0</v>
      </c>
      <c r="AX32" s="161">
        <f t="shared" si="13"/>
        <v>641.90999999999974</v>
      </c>
      <c r="AZ32" s="157">
        <f t="shared" si="23"/>
        <v>1926.1700000000003</v>
      </c>
      <c r="BA32" s="21">
        <f t="shared" si="15"/>
        <v>3.7936013934641598E-2</v>
      </c>
      <c r="BB32" s="22">
        <f t="shared" si="20"/>
        <v>9</v>
      </c>
      <c r="BC32" s="22">
        <f t="shared" ca="1" si="16"/>
        <v>160.51416666666668</v>
      </c>
      <c r="BE32" s="225">
        <f t="shared" ca="1" si="17"/>
        <v>2582.33</v>
      </c>
      <c r="BF32" s="21">
        <f t="shared" ca="1" si="18"/>
        <v>4.7220752194280041E-2</v>
      </c>
      <c r="BG32" s="22">
        <f t="shared" ca="1" si="21"/>
        <v>7</v>
      </c>
      <c r="BH32" s="22">
        <f t="shared" ca="1" si="19"/>
        <v>215.19416666666666</v>
      </c>
      <c r="BJ32" s="225">
        <f t="shared" ca="1" si="22"/>
        <v>656.15999999999974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80</v>
      </c>
      <c r="AG33" s="150">
        <f>SUM('08'!D280:F280)</f>
        <v>11</v>
      </c>
      <c r="AH33" s="160">
        <f t="shared" si="9"/>
        <v>465.09000000000026</v>
      </c>
      <c r="AI33" s="148" t="s">
        <v>76</v>
      </c>
      <c r="AJ33" s="149">
        <f>'09'!B280</f>
        <v>60</v>
      </c>
      <c r="AK33" s="150">
        <f>SUM('09'!D280:F280)</f>
        <v>55</v>
      </c>
      <c r="AL33" s="160">
        <f t="shared" si="10"/>
        <v>470.09000000000026</v>
      </c>
      <c r="AM33" s="148" t="s">
        <v>77</v>
      </c>
      <c r="AN33" s="149">
        <f>'10'!B280</f>
        <v>60</v>
      </c>
      <c r="AO33" s="150">
        <f>SUM('10'!D280:F280)</f>
        <v>22</v>
      </c>
      <c r="AP33" s="160">
        <f t="shared" si="11"/>
        <v>508.09000000000026</v>
      </c>
      <c r="AQ33" s="148" t="s">
        <v>80</v>
      </c>
      <c r="AR33" s="149">
        <f>'11'!B280</f>
        <v>60</v>
      </c>
      <c r="AS33" s="150">
        <f>SUM('11'!D280:F280)</f>
        <v>0</v>
      </c>
      <c r="AT33" s="160">
        <f t="shared" si="12"/>
        <v>568.09000000000026</v>
      </c>
      <c r="AU33" s="148" t="s">
        <v>84</v>
      </c>
      <c r="AV33" s="149">
        <f>'12'!B280</f>
        <v>40</v>
      </c>
      <c r="AW33" s="150">
        <f>SUM('12'!D280:F280)</f>
        <v>0</v>
      </c>
      <c r="AX33" s="160">
        <f t="shared" si="13"/>
        <v>608.09000000000026</v>
      </c>
      <c r="AZ33" s="152">
        <f t="shared" si="23"/>
        <v>4483.8500000000004</v>
      </c>
      <c r="BA33" s="21">
        <f t="shared" si="15"/>
        <v>8.8309648723032083E-2</v>
      </c>
      <c r="BB33" s="22">
        <f t="shared" si="20"/>
        <v>3</v>
      </c>
      <c r="BC33" s="22">
        <f t="shared" ca="1" si="16"/>
        <v>373.6541666666667</v>
      </c>
      <c r="BE33" s="224">
        <f t="shared" ca="1" si="17"/>
        <v>4671.9400000000005</v>
      </c>
      <c r="BF33" s="21">
        <f t="shared" ca="1" si="18"/>
        <v>8.5431575750018293E-2</v>
      </c>
      <c r="BG33" s="22">
        <f t="shared" ca="1" si="21"/>
        <v>4</v>
      </c>
      <c r="BH33" s="22">
        <f t="shared" ca="1" si="19"/>
        <v>389.32833333333338</v>
      </c>
      <c r="BJ33" s="224">
        <f t="shared" ca="1" si="22"/>
        <v>188.09000000000026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14.29</v>
      </c>
      <c r="AH34" s="161">
        <f t="shared" si="9"/>
        <v>65.359999999999815</v>
      </c>
      <c r="AI34" s="143" t="s">
        <v>76</v>
      </c>
      <c r="AJ34" s="155">
        <f>'09'!B300</f>
        <v>90</v>
      </c>
      <c r="AK34" s="155">
        <f>SUM('09'!D300:F300)</f>
        <v>71</v>
      </c>
      <c r="AL34" s="161">
        <f t="shared" si="10"/>
        <v>84.359999999999815</v>
      </c>
      <c r="AM34" s="143" t="s">
        <v>77</v>
      </c>
      <c r="AN34" s="155">
        <f>'10'!B300</f>
        <v>90</v>
      </c>
      <c r="AO34" s="155">
        <f>SUM('10'!D300:F300)</f>
        <v>45.9</v>
      </c>
      <c r="AP34" s="161">
        <f t="shared" si="11"/>
        <v>128.45999999999981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218.45999999999981</v>
      </c>
      <c r="AU34" s="143" t="s">
        <v>84</v>
      </c>
      <c r="AV34" s="155">
        <f>'12'!B300</f>
        <v>95</v>
      </c>
      <c r="AW34" s="155">
        <f>SUM('12'!D300:F300)</f>
        <v>316</v>
      </c>
      <c r="AX34" s="161">
        <f t="shared" si="13"/>
        <v>-2.540000000000191</v>
      </c>
      <c r="AZ34" s="152">
        <f t="shared" si="23"/>
        <v>1613.5500000000002</v>
      </c>
      <c r="BA34" s="21">
        <f t="shared" si="15"/>
        <v>3.177894748866452E-2</v>
      </c>
      <c r="BB34" s="22">
        <f t="shared" si="20"/>
        <v>10</v>
      </c>
      <c r="BC34" s="22">
        <f t="shared" ca="1" si="16"/>
        <v>134.46250000000001</v>
      </c>
      <c r="BE34" s="225">
        <f t="shared" ca="1" si="17"/>
        <v>1509.4099999999999</v>
      </c>
      <c r="BF34" s="21">
        <f t="shared" ca="1" si="18"/>
        <v>2.7601226632370083E-2</v>
      </c>
      <c r="BG34" s="22">
        <f t="shared" ca="1" si="21"/>
        <v>12</v>
      </c>
      <c r="BH34" s="22">
        <f t="shared" ca="1" si="19"/>
        <v>125.78416666666665</v>
      </c>
      <c r="BJ34" s="225">
        <f t="shared" ca="1" si="22"/>
        <v>-104.1400000000001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1816.7900000000004</v>
      </c>
      <c r="AI35" s="185" t="s">
        <v>76</v>
      </c>
      <c r="AJ35" s="186">
        <f>'09'!B320</f>
        <v>130</v>
      </c>
      <c r="AK35" s="186">
        <f>SUM('09'!D320:F320)</f>
        <v>196.51</v>
      </c>
      <c r="AL35" s="187">
        <f t="shared" si="10"/>
        <v>1750.2800000000004</v>
      </c>
      <c r="AM35" s="185" t="s">
        <v>77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1432.5900000000004</v>
      </c>
      <c r="AQ35" s="185" t="s">
        <v>80</v>
      </c>
      <c r="AR35" s="186">
        <f>'11'!B320</f>
        <v>596.41</v>
      </c>
      <c r="AS35" s="186">
        <f>SUM('11'!D320:F320)</f>
        <v>519.04999999999995</v>
      </c>
      <c r="AT35" s="187">
        <f t="shared" si="12"/>
        <v>1509.9500000000005</v>
      </c>
      <c r="AU35" s="185" t="s">
        <v>84</v>
      </c>
      <c r="AV35" s="186">
        <f>'12'!B320</f>
        <v>230.91</v>
      </c>
      <c r="AW35" s="186">
        <f>SUM('12'!D320:F320)</f>
        <v>206</v>
      </c>
      <c r="AX35" s="187">
        <f t="shared" si="13"/>
        <v>1534.8600000000006</v>
      </c>
      <c r="AZ35" s="188">
        <f t="shared" si="23"/>
        <v>2508.5699999999997</v>
      </c>
      <c r="BA35" s="21">
        <f t="shared" si="15"/>
        <v>4.9406410896246873E-2</v>
      </c>
      <c r="BB35" s="22">
        <f t="shared" si="20"/>
        <v>7</v>
      </c>
      <c r="BC35" s="22">
        <f t="shared" ca="1" si="16"/>
        <v>209.04749999999999</v>
      </c>
      <c r="BE35" s="224">
        <f t="shared" ca="1" si="17"/>
        <v>2553.83</v>
      </c>
      <c r="BF35" s="21">
        <f t="shared" ca="1" si="18"/>
        <v>4.6699598260608911E-2</v>
      </c>
      <c r="BG35" s="22">
        <f t="shared" ca="1" si="21"/>
        <v>8</v>
      </c>
      <c r="BH35" s="22">
        <f t="shared" ca="1" si="19"/>
        <v>212.81916666666666</v>
      </c>
      <c r="BJ35" s="224">
        <f t="shared" ca="1" si="22"/>
        <v>45.260000000000218</v>
      </c>
    </row>
    <row r="36" spans="1:62" ht="15.75">
      <c r="A36" s="163" t="s">
        <v>568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282.98</v>
      </c>
      <c r="AG36" s="164">
        <f>SUM('08'!D340:F340)</f>
        <v>620.53</v>
      </c>
      <c r="AH36" s="156">
        <f t="shared" si="9"/>
        <v>57.370000000000118</v>
      </c>
      <c r="AI36" s="143" t="s">
        <v>76</v>
      </c>
      <c r="AJ36" s="164">
        <f>'09'!B340</f>
        <v>345.97</v>
      </c>
      <c r="AK36" s="164">
        <f>SUM('09'!D340:F340)</f>
        <v>87.85</v>
      </c>
      <c r="AL36" s="156">
        <f t="shared" si="10"/>
        <v>315.49000000000012</v>
      </c>
      <c r="AM36" s="143" t="s">
        <v>77</v>
      </c>
      <c r="AN36" s="164">
        <f>'10'!B340</f>
        <v>90</v>
      </c>
      <c r="AO36" s="164">
        <f>SUM('10'!D340:F340)</f>
        <v>5</v>
      </c>
      <c r="AP36" s="156">
        <f t="shared" si="11"/>
        <v>400.49000000000012</v>
      </c>
      <c r="AQ36" s="143" t="s">
        <v>80</v>
      </c>
      <c r="AR36" s="164">
        <f>'11'!B340</f>
        <v>520</v>
      </c>
      <c r="AS36" s="164">
        <f>SUM('11'!D340:F340)</f>
        <v>15</v>
      </c>
      <c r="AT36" s="156">
        <f t="shared" si="12"/>
        <v>905.49000000000012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995.49000000000012</v>
      </c>
      <c r="AZ36" s="182">
        <f t="shared" si="23"/>
        <v>1274.4699999999998</v>
      </c>
      <c r="BA36" s="21">
        <f t="shared" si="15"/>
        <v>2.5100750026883743E-2</v>
      </c>
      <c r="BB36" s="22">
        <f t="shared" si="20"/>
        <v>12</v>
      </c>
      <c r="BC36" s="22">
        <f t="shared" ca="1" si="16"/>
        <v>106.20583333333332</v>
      </c>
      <c r="BE36" s="223">
        <f t="shared" ca="1" si="17"/>
        <v>2168.9700000000003</v>
      </c>
      <c r="BF36" s="21">
        <f t="shared" ca="1" si="18"/>
        <v>3.9662008684725657E-2</v>
      </c>
      <c r="BG36" s="22">
        <f t="shared" ca="1" si="21"/>
        <v>10</v>
      </c>
      <c r="BH36" s="22">
        <f t="shared" ca="1" si="19"/>
        <v>180.74750000000003</v>
      </c>
      <c r="BJ36" s="223">
        <f t="shared" ca="1" si="22"/>
        <v>894.5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65</v>
      </c>
      <c r="AT37" s="151">
        <f t="shared" si="12"/>
        <v>345.73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390.73</v>
      </c>
      <c r="AZ37" s="152">
        <f t="shared" si="23"/>
        <v>496.95</v>
      </c>
      <c r="BA37" s="21">
        <f t="shared" si="15"/>
        <v>9.7874549623450362E-3</v>
      </c>
      <c r="BB37" s="22">
        <f t="shared" si="20"/>
        <v>17</v>
      </c>
      <c r="BC37" s="22">
        <f t="shared" ca="1" si="16"/>
        <v>41.412500000000001</v>
      </c>
      <c r="BE37" s="224">
        <f t="shared" ca="1" si="17"/>
        <v>614.29999999999995</v>
      </c>
      <c r="BF37" s="21">
        <f t="shared" ca="1" si="18"/>
        <v>1.123315303347993E-2</v>
      </c>
      <c r="BG37" s="22">
        <f t="shared" ca="1" si="21"/>
        <v>18</v>
      </c>
      <c r="BH37" s="22">
        <f t="shared" ca="1" si="19"/>
        <v>51.191666666666663</v>
      </c>
      <c r="BJ37" s="224">
        <f t="shared" ca="1" si="22"/>
        <v>117.35000000000002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41.3</v>
      </c>
      <c r="AH38" s="156">
        <f t="shared" si="9"/>
        <v>96.730000000000061</v>
      </c>
      <c r="AI38" s="143" t="s">
        <v>76</v>
      </c>
      <c r="AJ38" s="166">
        <f>'09'!B380</f>
        <v>65</v>
      </c>
      <c r="AK38" s="166">
        <f>SUM('09'!D380:F380)</f>
        <v>43</v>
      </c>
      <c r="AL38" s="156">
        <f t="shared" si="10"/>
        <v>118.73000000000008</v>
      </c>
      <c r="AM38" s="143" t="s">
        <v>77</v>
      </c>
      <c r="AN38" s="166">
        <f>'10'!B380</f>
        <v>65</v>
      </c>
      <c r="AO38" s="166">
        <f>SUM('10'!D380:F380)</f>
        <v>17.5</v>
      </c>
      <c r="AP38" s="156">
        <f t="shared" si="11"/>
        <v>166.23000000000008</v>
      </c>
      <c r="AQ38" s="143" t="s">
        <v>80</v>
      </c>
      <c r="AR38" s="166">
        <f>'11'!B380</f>
        <v>65</v>
      </c>
      <c r="AS38" s="166">
        <f>SUM('11'!D380:F380)</f>
        <v>86.53</v>
      </c>
      <c r="AT38" s="156">
        <f t="shared" si="12"/>
        <v>144.70000000000007</v>
      </c>
      <c r="AU38" s="143" t="s">
        <v>84</v>
      </c>
      <c r="AV38" s="166">
        <f>'12'!B380</f>
        <v>60</v>
      </c>
      <c r="AW38" s="166">
        <f>SUM('12'!D380:F380)</f>
        <v>16.7</v>
      </c>
      <c r="AX38" s="156">
        <f t="shared" si="13"/>
        <v>188.00000000000009</v>
      </c>
      <c r="AZ38" s="157">
        <f t="shared" si="23"/>
        <v>696.2</v>
      </c>
      <c r="BA38" s="21">
        <f t="shared" si="15"/>
        <v>1.3711693620655226E-2</v>
      </c>
      <c r="BB38" s="22">
        <f t="shared" si="20"/>
        <v>14</v>
      </c>
      <c r="BC38" s="22">
        <f t="shared" ca="1" si="16"/>
        <v>58.016666666666673</v>
      </c>
      <c r="BE38" s="225">
        <f t="shared" ca="1" si="17"/>
        <v>845</v>
      </c>
      <c r="BF38" s="21">
        <f t="shared" ca="1" si="18"/>
        <v>1.5451756980775748E-2</v>
      </c>
      <c r="BG38" s="22">
        <f t="shared" ca="1" si="21"/>
        <v>16</v>
      </c>
      <c r="BH38" s="22">
        <f t="shared" ca="1" si="19"/>
        <v>70.416666666666671</v>
      </c>
      <c r="BJ38" s="225">
        <f t="shared" ca="1" si="22"/>
        <v>148.80000000000007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1433.0207879809902</v>
      </c>
      <c r="AO39" s="165">
        <f>SUM('10'!D400:F400)</f>
        <v>0</v>
      </c>
      <c r="AP39" s="151">
        <f t="shared" si="11"/>
        <v>1459.2807879809902</v>
      </c>
      <c r="AQ39" s="148" t="s">
        <v>80</v>
      </c>
      <c r="AR39" s="165">
        <f>'11'!B400</f>
        <v>15</v>
      </c>
      <c r="AS39" s="165">
        <f>SUM('11'!D400:F400)</f>
        <v>0</v>
      </c>
      <c r="AT39" s="151">
        <f t="shared" si="12"/>
        <v>1474.2807879809902</v>
      </c>
      <c r="AU39" s="148" t="s">
        <v>84</v>
      </c>
      <c r="AV39" s="165">
        <f>'12'!B400</f>
        <v>10</v>
      </c>
      <c r="AW39" s="165">
        <f>SUM('12'!D400:F400)</f>
        <v>0</v>
      </c>
      <c r="AX39" s="151">
        <f t="shared" si="13"/>
        <v>1484.2807879809902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304.28078798099023</v>
      </c>
      <c r="BF39" s="21">
        <f t="shared" ca="1" si="18"/>
        <v>5.5641098104156341E-3</v>
      </c>
      <c r="BG39" s="22">
        <f t="shared" ca="1" si="21"/>
        <v>21</v>
      </c>
      <c r="BH39" s="22">
        <f t="shared" ca="1" si="19"/>
        <v>25.356732331749186</v>
      </c>
      <c r="BJ39" s="224">
        <f t="shared" ca="1" si="22"/>
        <v>304.28078798099023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3.09</v>
      </c>
      <c r="AL40" s="156">
        <f t="shared" si="10"/>
        <v>74.740000000000606</v>
      </c>
      <c r="AM40" s="143" t="s">
        <v>77</v>
      </c>
      <c r="AN40" s="166">
        <f>'10'!B420</f>
        <v>1311.1861040380193</v>
      </c>
      <c r="AO40" s="166">
        <f>SUM('10'!D420:F420)</f>
        <v>3.15</v>
      </c>
      <c r="AP40" s="156">
        <f t="shared" si="11"/>
        <v>1382.7761040380199</v>
      </c>
      <c r="AQ40" s="143" t="s">
        <v>80</v>
      </c>
      <c r="AR40" s="166">
        <f>'11'!B420</f>
        <v>92.84</v>
      </c>
      <c r="AS40" s="166">
        <f>SUM('11'!D420:F420)</f>
        <v>2.31</v>
      </c>
      <c r="AT40" s="156">
        <f t="shared" si="12"/>
        <v>1473.3061040380198</v>
      </c>
      <c r="AU40" s="143" t="s">
        <v>84</v>
      </c>
      <c r="AV40" s="166">
        <f>'12'!B420</f>
        <v>50</v>
      </c>
      <c r="AW40" s="166">
        <f>SUM('12'!D420:F420)</f>
        <v>2.3199999999999998</v>
      </c>
      <c r="AX40" s="156">
        <f t="shared" si="13"/>
        <v>1520.9861040380199</v>
      </c>
      <c r="AZ40" s="157">
        <f t="shared" si="23"/>
        <v>175.10000000000002</v>
      </c>
      <c r="BA40" s="21">
        <f t="shared" si="15"/>
        <v>3.4486032073782393E-3</v>
      </c>
      <c r="BB40" s="22">
        <f t="shared" si="20"/>
        <v>22</v>
      </c>
      <c r="BC40" s="22">
        <f t="shared" ca="1" si="16"/>
        <v>14.591666666666669</v>
      </c>
      <c r="BE40" s="225">
        <f t="shared" ca="1" si="17"/>
        <v>891.57610403801925</v>
      </c>
      <c r="BF40" s="21">
        <f t="shared" ca="1" si="18"/>
        <v>1.6303452413564862E-2</v>
      </c>
      <c r="BG40" s="22">
        <f t="shared" ca="1" si="21"/>
        <v>15</v>
      </c>
      <c r="BH40" s="22">
        <f t="shared" ca="1" si="19"/>
        <v>74.298008669834942</v>
      </c>
      <c r="BJ40" s="225">
        <f t="shared" ca="1" si="22"/>
        <v>716.47610403801946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-300.89999999999918</v>
      </c>
      <c r="AG41" s="165">
        <f>SUM('08'!D440:F440)</f>
        <v>0</v>
      </c>
      <c r="AH41" s="151">
        <f t="shared" si="9"/>
        <v>8164.840000000002</v>
      </c>
      <c r="AI41" s="148" t="s">
        <v>76</v>
      </c>
      <c r="AJ41" s="165">
        <f>'09'!B440</f>
        <v>0</v>
      </c>
      <c r="AK41" s="165">
        <f>SUM('09'!D440:F440)</f>
        <v>0</v>
      </c>
      <c r="AL41" s="151">
        <f t="shared" si="10"/>
        <v>8164.840000000002</v>
      </c>
      <c r="AM41" s="148" t="s">
        <v>77</v>
      </c>
      <c r="AN41" s="165">
        <f>'10'!B440</f>
        <v>-37.460000000000036</v>
      </c>
      <c r="AO41" s="165">
        <f>SUM('10'!D440:F440)</f>
        <v>0</v>
      </c>
      <c r="AP41" s="151">
        <f t="shared" si="11"/>
        <v>8127.3800000000019</v>
      </c>
      <c r="AQ41" s="148" t="s">
        <v>80</v>
      </c>
      <c r="AR41" s="165">
        <f>'11'!B440</f>
        <v>-420.44000000000017</v>
      </c>
      <c r="AS41" s="165">
        <f>SUM('11'!D440:F440)</f>
        <v>0</v>
      </c>
      <c r="AT41" s="151">
        <f t="shared" si="12"/>
        <v>7706.9400000000014</v>
      </c>
      <c r="AU41" s="148" t="s">
        <v>84</v>
      </c>
      <c r="AV41" s="165">
        <f>'12'!B440</f>
        <v>-3005.93</v>
      </c>
      <c r="AW41" s="165">
        <f>SUM('12'!D440:F440)</f>
        <v>0</v>
      </c>
      <c r="AX41" s="151">
        <f t="shared" si="13"/>
        <v>4701.010000000002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-3848.9899999999966</v>
      </c>
      <c r="BF41" s="21">
        <f t="shared" ca="1" si="18"/>
        <v>-7.0383027338977514E-2</v>
      </c>
      <c r="BG41" s="22">
        <f t="shared" ca="1" si="21"/>
        <v>26</v>
      </c>
      <c r="BH41" s="22">
        <f t="shared" ca="1" si="19"/>
        <v>-320.74916666666638</v>
      </c>
      <c r="BJ41" s="224">
        <f t="shared" ca="1" si="22"/>
        <v>-3848.9899999999961</v>
      </c>
    </row>
    <row r="42" spans="1:62" ht="15" customHeight="1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-4044.26</v>
      </c>
      <c r="AO42" s="166">
        <f>SUM('10'!D460:F460)</f>
        <v>0</v>
      </c>
      <c r="AP42" s="156">
        <f t="shared" si="11"/>
        <v>6894.1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6894.1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6894.1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1.9800000000000182</v>
      </c>
      <c r="BF42" s="21">
        <f t="shared" ca="1" si="18"/>
        <v>3.6206483812942324E-5</v>
      </c>
      <c r="BG42" s="22">
        <f t="shared" ca="1" si="21"/>
        <v>24</v>
      </c>
      <c r="BH42" s="22">
        <f t="shared" ca="1" si="19"/>
        <v>0.16500000000000151</v>
      </c>
      <c r="BJ42" s="225">
        <f t="shared" ca="1" si="22"/>
        <v>1.9800000000004729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1200.5091905564923</v>
      </c>
      <c r="AO43" s="149">
        <f>SUM('10'!D480:F480)</f>
        <v>0</v>
      </c>
      <c r="AP43" s="151">
        <f t="shared" si="11"/>
        <v>1424.1391905564924</v>
      </c>
      <c r="AQ43" s="148" t="s">
        <v>80</v>
      </c>
      <c r="AR43" s="149">
        <f>'11'!B480</f>
        <v>86.35</v>
      </c>
      <c r="AS43" s="149">
        <f>SUM('11'!D480:F480)</f>
        <v>0</v>
      </c>
      <c r="AT43" s="151">
        <f t="shared" si="12"/>
        <v>1510.4891905564923</v>
      </c>
      <c r="AU43" s="148" t="s">
        <v>84</v>
      </c>
      <c r="AV43" s="149">
        <f>'12'!B480</f>
        <v>144.38999999999999</v>
      </c>
      <c r="AW43" s="149">
        <f>SUM('12'!D480:F480)</f>
        <v>0</v>
      </c>
      <c r="AX43" s="151">
        <f t="shared" si="13"/>
        <v>1654.8791905564922</v>
      </c>
      <c r="AZ43" s="152">
        <f t="shared" si="23"/>
        <v>500</v>
      </c>
      <c r="BA43" s="21">
        <f t="shared" si="15"/>
        <v>9.8475248640155309E-3</v>
      </c>
      <c r="BB43" s="22">
        <f t="shared" si="20"/>
        <v>16</v>
      </c>
      <c r="BC43" s="22">
        <f t="shared" ca="1" si="16"/>
        <v>41.666666666666664</v>
      </c>
      <c r="BE43" s="224">
        <f t="shared" ca="1" si="17"/>
        <v>1191.8791905564922</v>
      </c>
      <c r="BF43" s="21">
        <f t="shared" ca="1" si="18"/>
        <v>2.1794825565588906E-2</v>
      </c>
      <c r="BG43" s="22">
        <f t="shared" ca="1" si="21"/>
        <v>13</v>
      </c>
      <c r="BH43" s="22">
        <f t="shared" ca="1" si="19"/>
        <v>99.323265879707677</v>
      </c>
      <c r="BJ43" s="224">
        <f t="shared" ca="1" si="22"/>
        <v>691.87919055649218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25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20</v>
      </c>
      <c r="AG45" s="175">
        <f>SUM('08'!D520:F520)</f>
        <v>23.43</v>
      </c>
      <c r="AH45" s="176">
        <f t="shared" si="9"/>
        <v>27.910000000000032</v>
      </c>
      <c r="AI45" s="173" t="s">
        <v>76</v>
      </c>
      <c r="AJ45" s="174">
        <f>'09'!B520</f>
        <v>0</v>
      </c>
      <c r="AK45" s="175">
        <f>SUM('09'!D520:F520)</f>
        <v>5</v>
      </c>
      <c r="AL45" s="176">
        <f t="shared" si="10"/>
        <v>22.910000000000032</v>
      </c>
      <c r="AM45" s="173" t="s">
        <v>77</v>
      </c>
      <c r="AN45" s="174">
        <f>'10'!B520</f>
        <v>0</v>
      </c>
      <c r="AO45" s="175">
        <f>SUM('10'!D520:F520)</f>
        <v>81.98</v>
      </c>
      <c r="AP45" s="176">
        <f t="shared" si="11"/>
        <v>-59.069999999999972</v>
      </c>
      <c r="AQ45" s="173" t="s">
        <v>80</v>
      </c>
      <c r="AR45" s="174">
        <f>'11'!B520</f>
        <v>0</v>
      </c>
      <c r="AS45" s="175">
        <f>SUM('11'!D520:F520)</f>
        <v>10</v>
      </c>
      <c r="AT45" s="176">
        <f t="shared" si="12"/>
        <v>-69.069999999999965</v>
      </c>
      <c r="AU45" s="173" t="s">
        <v>84</v>
      </c>
      <c r="AV45" s="174">
        <f>'12'!B520</f>
        <v>5</v>
      </c>
      <c r="AW45" s="175">
        <f>SUM('12'!D520:F520)</f>
        <v>0</v>
      </c>
      <c r="AX45" s="176">
        <f t="shared" si="13"/>
        <v>-64.069999999999965</v>
      </c>
      <c r="AZ45" s="177">
        <f t="shared" si="23"/>
        <v>184.99</v>
      </c>
      <c r="BA45" s="21">
        <f t="shared" si="15"/>
        <v>3.643387249188466E-3</v>
      </c>
      <c r="BB45" s="22">
        <f t="shared" si="20"/>
        <v>21</v>
      </c>
      <c r="BC45" s="22">
        <f t="shared" ca="1" si="16"/>
        <v>15.415833333333333</v>
      </c>
      <c r="BE45" s="226">
        <f t="shared" ca="1" si="17"/>
        <v>25</v>
      </c>
      <c r="BF45" s="21">
        <f t="shared" ca="1" si="18"/>
        <v>4.5715257339573221E-4</v>
      </c>
      <c r="BG45" s="22">
        <f t="shared" ca="1" si="21"/>
        <v>23</v>
      </c>
      <c r="BH45" s="22">
        <f t="shared" ca="1" si="19"/>
        <v>2.0833333333333335</v>
      </c>
      <c r="BJ45" s="226">
        <f t="shared" ca="1" si="22"/>
        <v>-159.99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29258.260000000002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30089.47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30103.377679999994</v>
      </c>
      <c r="AQ46" s="218"/>
      <c r="AR46" s="219">
        <f>SUM(AR20:AR45)</f>
        <v>4516.6899999999996</v>
      </c>
      <c r="AS46" s="219">
        <f>SUM(AS20:AS45)</f>
        <v>3934.1899999999996</v>
      </c>
      <c r="AT46" s="220">
        <f>SUM(AT20:AT45)</f>
        <v>30685.877680000001</v>
      </c>
      <c r="AU46" s="218"/>
      <c r="AV46" s="219">
        <f>SUM(AV20:AV45)</f>
        <v>1019.1499999999997</v>
      </c>
      <c r="AW46" s="219">
        <f>SUM(AW20:AW45)</f>
        <v>1409.33</v>
      </c>
      <c r="AX46" s="220">
        <f>SUM(AX20:AX45)</f>
        <v>30295.697679999997</v>
      </c>
      <c r="AZ46" s="227">
        <f>SUM(AZ20:AZ45)</f>
        <v>50774.179999999993</v>
      </c>
      <c r="BA46" s="1"/>
      <c r="BB46" s="1"/>
      <c r="BC46" s="124">
        <f ca="1">SUM(BC20:BC45)</f>
        <v>4231.1816666666664</v>
      </c>
      <c r="BE46" s="227">
        <f ca="1">SUM(BE20:BE45)</f>
        <v>54686.337680000011</v>
      </c>
      <c r="BF46" s="1"/>
      <c r="BG46" s="1"/>
      <c r="BH46" s="124">
        <f ca="1">SUM(BH20:BH45)</f>
        <v>4557.1948066666673</v>
      </c>
      <c r="BJ46" s="227">
        <f ca="1">SUM(BJ20:BJ45)</f>
        <v>3912.1576800000048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0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0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2.3200000105134677E-3</v>
      </c>
      <c r="AR47" s="125">
        <f>AQ17-AR46</f>
        <v>57.100000000000364</v>
      </c>
      <c r="AS47" s="125">
        <f>AQ17-AS46</f>
        <v>639.60000000000036</v>
      </c>
      <c r="AT47" s="140"/>
      <c r="AU47" s="125">
        <f>AU5-AT46</f>
        <v>2.3200000032375101E-3</v>
      </c>
      <c r="AV47" s="125">
        <f>AU17-AV46</f>
        <v>0</v>
      </c>
      <c r="AW47" s="125">
        <f>AU17-AW46</f>
        <v>-390.17999999999995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50774.179999999993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609</v>
      </c>
      <c r="W50" s="119"/>
      <c r="X50" s="119"/>
      <c r="Y50" s="119">
        <f>Y22+(N59/2)</f>
        <v>300.02000000000004</v>
      </c>
      <c r="Z50" s="119" t="s">
        <v>651</v>
      </c>
      <c r="AA50" s="119"/>
      <c r="AB50" s="119"/>
      <c r="AC50" s="119">
        <f>AC22</f>
        <v>108.36</v>
      </c>
      <c r="AD50" s="119" t="s">
        <v>724</v>
      </c>
      <c r="AE50" s="119"/>
      <c r="AF50" s="119"/>
      <c r="AG50" s="119">
        <f>AG22</f>
        <v>323.87000000000006</v>
      </c>
      <c r="AH50" s="119" t="s">
        <v>609</v>
      </c>
      <c r="AI50" s="119"/>
      <c r="AJ50" s="119"/>
      <c r="AK50" s="119">
        <f>AK22</f>
        <v>284.70000000000005</v>
      </c>
      <c r="AL50" s="119" t="s">
        <v>609</v>
      </c>
      <c r="AM50" s="119"/>
      <c r="AN50" s="119"/>
      <c r="AO50" s="119">
        <f>AO22</f>
        <v>327.21000000000004</v>
      </c>
      <c r="AP50" s="119" t="s">
        <v>834</v>
      </c>
      <c r="AQ50" s="119"/>
      <c r="AR50" s="119"/>
      <c r="AS50" s="119">
        <f>AS22</f>
        <v>499.71999999999997</v>
      </c>
      <c r="AT50" s="119" t="s">
        <v>913</v>
      </c>
      <c r="AU50" s="119"/>
      <c r="AV50" s="119"/>
      <c r="AW50" s="119">
        <f>AW22</f>
        <v>259.97999999999996</v>
      </c>
      <c r="AX50" s="119" t="s">
        <v>834</v>
      </c>
      <c r="AZ50" s="119"/>
    </row>
    <row r="51" spans="1:62" ht="15.75" thickBot="1"/>
    <row r="52" spans="1:62">
      <c r="C52" s="346" t="s">
        <v>149</v>
      </c>
      <c r="D52" s="347"/>
      <c r="E52" s="347"/>
      <c r="F52" s="348"/>
      <c r="G52" s="346" t="s">
        <v>149</v>
      </c>
      <c r="H52" s="347"/>
      <c r="I52" s="347"/>
      <c r="J52" s="348"/>
      <c r="K52" s="346" t="s">
        <v>149</v>
      </c>
      <c r="L52" s="347"/>
      <c r="M52" s="347"/>
      <c r="N52" s="348"/>
      <c r="O52" s="346" t="s">
        <v>149</v>
      </c>
      <c r="P52" s="347"/>
      <c r="Q52" s="347"/>
      <c r="R52" s="348"/>
      <c r="S52" s="346" t="s">
        <v>149</v>
      </c>
      <c r="T52" s="347"/>
      <c r="U52" s="347"/>
      <c r="V52" s="348"/>
      <c r="W52" s="346" t="s">
        <v>149</v>
      </c>
      <c r="X52" s="347"/>
      <c r="Y52" s="347"/>
      <c r="Z52" s="348"/>
      <c r="AA52" s="346" t="s">
        <v>149</v>
      </c>
      <c r="AB52" s="347"/>
      <c r="AC52" s="347"/>
      <c r="AD52" s="348"/>
      <c r="AE52" s="346" t="s">
        <v>149</v>
      </c>
      <c r="AF52" s="347"/>
      <c r="AG52" s="347"/>
      <c r="AH52" s="348"/>
      <c r="AI52" s="346" t="s">
        <v>149</v>
      </c>
      <c r="AJ52" s="347"/>
      <c r="AK52" s="347"/>
      <c r="AL52" s="348"/>
      <c r="AM52" s="346" t="s">
        <v>149</v>
      </c>
      <c r="AN52" s="347"/>
      <c r="AO52" s="347"/>
      <c r="AP52" s="348"/>
      <c r="AQ52" s="346" t="s">
        <v>149</v>
      </c>
      <c r="AR52" s="347"/>
      <c r="AS52" s="347"/>
      <c r="AT52" s="348"/>
      <c r="AU52" s="346" t="s">
        <v>149</v>
      </c>
      <c r="AV52" s="347"/>
      <c r="AW52" s="347"/>
      <c r="AX52" s="348"/>
    </row>
    <row r="53" spans="1:62" ht="15.75" thickBot="1">
      <c r="C53" s="93" t="s">
        <v>150</v>
      </c>
      <c r="D53" s="349" t="s">
        <v>31</v>
      </c>
      <c r="E53" s="350"/>
      <c r="F53" s="94" t="s">
        <v>88</v>
      </c>
      <c r="G53" s="93" t="s">
        <v>150</v>
      </c>
      <c r="H53" s="349" t="s">
        <v>31</v>
      </c>
      <c r="I53" s="350"/>
      <c r="J53" s="94" t="s">
        <v>88</v>
      </c>
      <c r="K53" s="93" t="s">
        <v>150</v>
      </c>
      <c r="L53" s="349" t="s">
        <v>31</v>
      </c>
      <c r="M53" s="350"/>
      <c r="N53" s="94" t="s">
        <v>88</v>
      </c>
      <c r="O53" s="93" t="s">
        <v>150</v>
      </c>
      <c r="P53" s="349" t="s">
        <v>31</v>
      </c>
      <c r="Q53" s="350"/>
      <c r="R53" s="94" t="s">
        <v>88</v>
      </c>
      <c r="S53" s="93" t="s">
        <v>150</v>
      </c>
      <c r="T53" s="349" t="s">
        <v>31</v>
      </c>
      <c r="U53" s="350"/>
      <c r="V53" s="94" t="s">
        <v>88</v>
      </c>
      <c r="W53" s="93" t="s">
        <v>150</v>
      </c>
      <c r="X53" s="349" t="s">
        <v>31</v>
      </c>
      <c r="Y53" s="350"/>
      <c r="Z53" s="94" t="s">
        <v>88</v>
      </c>
      <c r="AA53" s="93" t="s">
        <v>150</v>
      </c>
      <c r="AB53" s="349" t="s">
        <v>31</v>
      </c>
      <c r="AC53" s="350"/>
      <c r="AD53" s="94" t="s">
        <v>88</v>
      </c>
      <c r="AE53" s="93" t="s">
        <v>150</v>
      </c>
      <c r="AF53" s="349" t="s">
        <v>31</v>
      </c>
      <c r="AG53" s="350"/>
      <c r="AH53" s="94" t="s">
        <v>88</v>
      </c>
      <c r="AI53" s="93" t="s">
        <v>150</v>
      </c>
      <c r="AJ53" s="349" t="s">
        <v>31</v>
      </c>
      <c r="AK53" s="350"/>
      <c r="AL53" s="94" t="s">
        <v>88</v>
      </c>
      <c r="AM53" s="93" t="s">
        <v>150</v>
      </c>
      <c r="AN53" s="349" t="s">
        <v>31</v>
      </c>
      <c r="AO53" s="350"/>
      <c r="AP53" s="94" t="s">
        <v>88</v>
      </c>
      <c r="AQ53" s="93" t="s">
        <v>150</v>
      </c>
      <c r="AR53" s="349" t="s">
        <v>31</v>
      </c>
      <c r="AS53" s="350"/>
      <c r="AT53" s="94" t="s">
        <v>88</v>
      </c>
      <c r="AU53" s="93" t="s">
        <v>150</v>
      </c>
      <c r="AV53" s="349" t="s">
        <v>31</v>
      </c>
      <c r="AW53" s="350"/>
      <c r="AX53" s="94" t="s">
        <v>88</v>
      </c>
    </row>
    <row r="54" spans="1:62">
      <c r="C54" s="95">
        <v>43495</v>
      </c>
      <c r="D54" s="372" t="s">
        <v>234</v>
      </c>
      <c r="E54" s="373"/>
      <c r="F54" s="98"/>
      <c r="G54" s="95">
        <v>43497</v>
      </c>
      <c r="H54" s="372" t="s">
        <v>269</v>
      </c>
      <c r="I54" s="373"/>
      <c r="J54" s="100">
        <v>500</v>
      </c>
      <c r="K54" s="95">
        <v>43539</v>
      </c>
      <c r="L54" s="365" t="s">
        <v>256</v>
      </c>
      <c r="M54" s="366"/>
      <c r="N54" s="100">
        <v>70</v>
      </c>
      <c r="O54" s="95"/>
      <c r="P54" s="367"/>
      <c r="Q54" s="368"/>
      <c r="R54" s="102"/>
      <c r="S54" s="95">
        <v>43594</v>
      </c>
      <c r="T54" s="365" t="s">
        <v>242</v>
      </c>
      <c r="U54" s="366"/>
      <c r="V54" s="103"/>
      <c r="W54" s="95">
        <v>43624</v>
      </c>
      <c r="X54" s="365" t="s">
        <v>153</v>
      </c>
      <c r="Y54" s="366"/>
      <c r="Z54" s="104">
        <v>10</v>
      </c>
      <c r="AA54" s="95"/>
      <c r="AB54" s="351" t="s">
        <v>475</v>
      </c>
      <c r="AC54" s="352"/>
      <c r="AD54" s="239">
        <v>15</v>
      </c>
      <c r="AE54" s="95"/>
      <c r="AF54" s="351" t="s">
        <v>475</v>
      </c>
      <c r="AG54" s="352"/>
      <c r="AH54" s="239">
        <v>14</v>
      </c>
      <c r="AI54" s="95"/>
      <c r="AJ54" s="351" t="s">
        <v>475</v>
      </c>
      <c r="AK54" s="352"/>
      <c r="AL54" s="239">
        <v>15</v>
      </c>
      <c r="AM54" s="95"/>
      <c r="AN54" s="351" t="s">
        <v>475</v>
      </c>
      <c r="AO54" s="352"/>
      <c r="AP54" s="239">
        <v>11</v>
      </c>
      <c r="AQ54" s="95"/>
      <c r="AR54" s="351" t="s">
        <v>475</v>
      </c>
      <c r="AS54" s="352"/>
      <c r="AT54" s="239">
        <v>7</v>
      </c>
      <c r="AU54" s="95"/>
      <c r="AV54" s="351" t="s">
        <v>475</v>
      </c>
      <c r="AW54" s="352"/>
      <c r="AX54" s="239">
        <v>2</v>
      </c>
    </row>
    <row r="55" spans="1:62">
      <c r="C55" s="96"/>
      <c r="D55" s="342" t="s">
        <v>235</v>
      </c>
      <c r="E55" s="343"/>
      <c r="F55" s="98">
        <v>121.4</v>
      </c>
      <c r="G55" s="96">
        <v>43516</v>
      </c>
      <c r="H55" s="342" t="s">
        <v>310</v>
      </c>
      <c r="I55" s="343"/>
      <c r="J55" s="100"/>
      <c r="K55" s="96">
        <v>43553</v>
      </c>
      <c r="L55" s="342" t="s">
        <v>296</v>
      </c>
      <c r="M55" s="343"/>
      <c r="N55" s="100">
        <v>4421.9399999999996</v>
      </c>
      <c r="O55" s="96">
        <v>43565</v>
      </c>
      <c r="P55" s="342" t="s">
        <v>322</v>
      </c>
      <c r="Q55" s="343"/>
      <c r="R55" s="100">
        <v>10</v>
      </c>
      <c r="S55" s="96">
        <v>43607</v>
      </c>
      <c r="T55" s="342" t="s">
        <v>310</v>
      </c>
      <c r="U55" s="343"/>
      <c r="V55" s="100"/>
      <c r="W55" s="96">
        <v>43637</v>
      </c>
      <c r="X55" s="342" t="s">
        <v>151</v>
      </c>
      <c r="Y55" s="343"/>
      <c r="Z55" s="100">
        <v>10</v>
      </c>
      <c r="AA55" s="96">
        <v>43666</v>
      </c>
      <c r="AB55" s="342" t="s">
        <v>234</v>
      </c>
      <c r="AC55" s="343"/>
      <c r="AD55" s="100"/>
      <c r="AE55" s="96">
        <v>43682</v>
      </c>
      <c r="AF55" s="342" t="s">
        <v>322</v>
      </c>
      <c r="AG55" s="343"/>
      <c r="AH55" s="100">
        <v>10</v>
      </c>
      <c r="AI55" s="96">
        <v>43711</v>
      </c>
      <c r="AJ55" s="342" t="s">
        <v>322</v>
      </c>
      <c r="AK55" s="343"/>
      <c r="AL55" s="100" t="s">
        <v>779</v>
      </c>
      <c r="AM55" s="96">
        <v>43740</v>
      </c>
      <c r="AN55" s="357" t="s">
        <v>153</v>
      </c>
      <c r="AO55" s="358"/>
      <c r="AP55" s="100">
        <v>10</v>
      </c>
      <c r="AQ55" s="96">
        <v>43798</v>
      </c>
      <c r="AR55" s="342" t="s">
        <v>153</v>
      </c>
      <c r="AS55" s="343"/>
      <c r="AT55" s="100">
        <v>10</v>
      </c>
      <c r="AU55" s="96"/>
      <c r="AV55" s="342"/>
      <c r="AW55" s="343"/>
      <c r="AX55" s="100"/>
    </row>
    <row r="56" spans="1:62">
      <c r="B56" s="119"/>
      <c r="C56" s="96">
        <v>43472</v>
      </c>
      <c r="D56" s="342" t="s">
        <v>151</v>
      </c>
      <c r="E56" s="343"/>
      <c r="F56" s="98">
        <v>15</v>
      </c>
      <c r="G56" s="96">
        <v>43507</v>
      </c>
      <c r="H56" s="342" t="s">
        <v>322</v>
      </c>
      <c r="I56" s="343"/>
      <c r="J56" s="100">
        <v>10</v>
      </c>
      <c r="K56" s="96">
        <v>43529</v>
      </c>
      <c r="L56" s="342" t="s">
        <v>324</v>
      </c>
      <c r="M56" s="343"/>
      <c r="N56" s="100">
        <v>3362.6</v>
      </c>
      <c r="O56" s="96">
        <v>43576</v>
      </c>
      <c r="P56" s="351" t="s">
        <v>234</v>
      </c>
      <c r="Q56" s="352"/>
      <c r="R56" s="102"/>
      <c r="S56" s="96">
        <v>43615</v>
      </c>
      <c r="T56" s="342" t="s">
        <v>234</v>
      </c>
      <c r="U56" s="343"/>
      <c r="V56" s="100"/>
      <c r="W56" s="96"/>
      <c r="X56" s="342"/>
      <c r="Y56" s="343"/>
      <c r="Z56" s="100"/>
      <c r="AA56" s="96"/>
      <c r="AB56" s="342"/>
      <c r="AC56" s="343"/>
      <c r="AD56" s="100"/>
      <c r="AE56" s="96">
        <v>43703</v>
      </c>
      <c r="AF56" s="342" t="s">
        <v>151</v>
      </c>
      <c r="AG56" s="343"/>
      <c r="AH56" s="100">
        <v>10</v>
      </c>
      <c r="AI56" s="96">
        <v>43498</v>
      </c>
      <c r="AJ56" s="357" t="s">
        <v>234</v>
      </c>
      <c r="AK56" s="358"/>
      <c r="AL56" s="100"/>
      <c r="AM56" s="96">
        <v>43769</v>
      </c>
      <c r="AN56" s="357" t="s">
        <v>153</v>
      </c>
      <c r="AO56" s="358"/>
      <c r="AP56" s="100" t="s">
        <v>779</v>
      </c>
      <c r="AQ56" s="96">
        <v>43791</v>
      </c>
      <c r="AR56" s="342" t="s">
        <v>933</v>
      </c>
      <c r="AS56" s="343"/>
      <c r="AT56" s="100">
        <v>10</v>
      </c>
      <c r="AU56" s="96"/>
      <c r="AV56" s="342"/>
      <c r="AW56" s="343"/>
      <c r="AX56" s="100"/>
    </row>
    <row r="57" spans="1:62">
      <c r="C57" s="96">
        <v>43476</v>
      </c>
      <c r="D57" s="342" t="s">
        <v>153</v>
      </c>
      <c r="E57" s="343"/>
      <c r="F57" s="98">
        <v>10</v>
      </c>
      <c r="G57" s="96">
        <v>43516</v>
      </c>
      <c r="H57" s="342" t="s">
        <v>351</v>
      </c>
      <c r="I57" s="343"/>
      <c r="J57" s="100"/>
      <c r="K57" s="96">
        <v>43533</v>
      </c>
      <c r="L57" s="342" t="s">
        <v>234</v>
      </c>
      <c r="M57" s="343"/>
      <c r="N57" s="100"/>
      <c r="O57" s="96">
        <v>43578</v>
      </c>
      <c r="P57" s="369" t="s">
        <v>388</v>
      </c>
      <c r="Q57" s="370"/>
      <c r="R57" s="100">
        <v>10</v>
      </c>
      <c r="S57" s="96"/>
      <c r="T57" s="342"/>
      <c r="U57" s="343"/>
      <c r="V57" s="100"/>
      <c r="W57" s="96"/>
      <c r="X57" s="342"/>
      <c r="Y57" s="343"/>
      <c r="Z57" s="100"/>
      <c r="AA57" s="96"/>
      <c r="AB57" s="363"/>
      <c r="AC57" s="364"/>
      <c r="AD57" s="100"/>
      <c r="AE57" s="96"/>
      <c r="AF57" s="342"/>
      <c r="AG57" s="343"/>
      <c r="AH57" s="100"/>
      <c r="AI57" s="96">
        <v>43733</v>
      </c>
      <c r="AJ57" s="357" t="s">
        <v>151</v>
      </c>
      <c r="AK57" s="358"/>
      <c r="AL57" s="100">
        <v>10</v>
      </c>
      <c r="AM57" s="96">
        <v>43762</v>
      </c>
      <c r="AN57" s="357" t="s">
        <v>151</v>
      </c>
      <c r="AO57" s="358"/>
      <c r="AP57" s="100" t="s">
        <v>779</v>
      </c>
      <c r="AQ57" s="96"/>
      <c r="AR57" s="342"/>
      <c r="AS57" s="343"/>
      <c r="AT57" s="100"/>
      <c r="AU57" s="96"/>
      <c r="AV57" s="342"/>
      <c r="AW57" s="343"/>
      <c r="AX57" s="100"/>
    </row>
    <row r="58" spans="1:62">
      <c r="C58" s="96">
        <v>43478</v>
      </c>
      <c r="D58" s="342" t="s">
        <v>242</v>
      </c>
      <c r="E58" s="343"/>
      <c r="F58" s="98"/>
      <c r="G58" s="96"/>
      <c r="H58" s="342"/>
      <c r="I58" s="343"/>
      <c r="J58" s="100"/>
      <c r="K58" s="96">
        <v>43536</v>
      </c>
      <c r="L58" s="342" t="s">
        <v>242</v>
      </c>
      <c r="M58" s="343"/>
      <c r="N58" s="100"/>
      <c r="O58" s="96"/>
      <c r="P58" s="342"/>
      <c r="Q58" s="343"/>
      <c r="R58" s="100"/>
      <c r="S58" s="96"/>
      <c r="T58" s="342"/>
      <c r="U58" s="343"/>
      <c r="V58" s="100"/>
      <c r="W58" s="96"/>
      <c r="X58" s="342"/>
      <c r="Y58" s="343"/>
      <c r="Z58" s="100"/>
      <c r="AA58" s="96"/>
      <c r="AB58" s="363"/>
      <c r="AC58" s="364"/>
      <c r="AD58" s="100"/>
      <c r="AE58" s="96"/>
      <c r="AF58" s="342"/>
      <c r="AG58" s="343"/>
      <c r="AH58" s="100"/>
      <c r="AI58" s="96"/>
      <c r="AJ58" s="353"/>
      <c r="AK58" s="354"/>
      <c r="AL58" s="100"/>
      <c r="AM58" s="96">
        <v>43749</v>
      </c>
      <c r="AN58" s="357" t="s">
        <v>234</v>
      </c>
      <c r="AO58" s="358"/>
      <c r="AP58" s="100"/>
      <c r="AQ58" s="96"/>
      <c r="AR58" s="342"/>
      <c r="AS58" s="343"/>
      <c r="AT58" s="100"/>
      <c r="AU58" s="96"/>
      <c r="AV58" s="342"/>
      <c r="AW58" s="343"/>
      <c r="AX58" s="100"/>
    </row>
    <row r="59" spans="1:62">
      <c r="C59" s="96">
        <v>43481</v>
      </c>
      <c r="D59" s="342" t="s">
        <v>270</v>
      </c>
      <c r="E59" s="343"/>
      <c r="F59" s="98">
        <v>50</v>
      </c>
      <c r="G59" s="96"/>
      <c r="H59" s="342"/>
      <c r="I59" s="343"/>
      <c r="J59" s="100"/>
      <c r="K59" s="96"/>
      <c r="L59" s="342" t="s">
        <v>384</v>
      </c>
      <c r="M59" s="343"/>
      <c r="N59" s="100">
        <f>3.1+10.5</f>
        <v>13.6</v>
      </c>
      <c r="O59" s="96"/>
      <c r="P59" s="342"/>
      <c r="Q59" s="343"/>
      <c r="R59" s="100"/>
      <c r="S59" s="96"/>
      <c r="T59" s="357"/>
      <c r="U59" s="358"/>
      <c r="V59" s="100"/>
      <c r="W59" s="96"/>
      <c r="X59" s="357"/>
      <c r="Y59" s="358"/>
      <c r="Z59" s="100"/>
      <c r="AA59" s="96"/>
      <c r="AB59" s="357"/>
      <c r="AC59" s="358"/>
      <c r="AD59" s="100"/>
      <c r="AE59" s="96"/>
      <c r="AF59" s="342"/>
      <c r="AG59" s="343"/>
      <c r="AH59" s="100"/>
      <c r="AI59" s="96"/>
      <c r="AJ59" s="353"/>
      <c r="AK59" s="354"/>
      <c r="AL59" s="100"/>
      <c r="AM59" s="96"/>
      <c r="AN59" s="359" t="s">
        <v>875</v>
      </c>
      <c r="AO59" s="360"/>
      <c r="AP59" s="100">
        <v>3352.93</v>
      </c>
      <c r="AQ59" s="96"/>
      <c r="AR59" s="342"/>
      <c r="AS59" s="343"/>
      <c r="AT59" s="100"/>
      <c r="AU59" s="96"/>
      <c r="AV59" s="342"/>
      <c r="AW59" s="343"/>
      <c r="AX59" s="100"/>
    </row>
    <row r="60" spans="1:62">
      <c r="C60" s="96">
        <v>43488</v>
      </c>
      <c r="D60" s="342" t="s">
        <v>289</v>
      </c>
      <c r="E60" s="343"/>
      <c r="F60" s="98"/>
      <c r="G60" s="96"/>
      <c r="H60" s="342"/>
      <c r="I60" s="343"/>
      <c r="J60" s="100"/>
      <c r="K60" s="235">
        <v>43549</v>
      </c>
      <c r="L60" s="369" t="s">
        <v>388</v>
      </c>
      <c r="M60" s="370"/>
      <c r="N60" s="236">
        <v>15</v>
      </c>
      <c r="O60" s="96"/>
      <c r="P60" s="342"/>
      <c r="Q60" s="343"/>
      <c r="R60" s="100"/>
      <c r="S60" s="96"/>
      <c r="T60" s="357"/>
      <c r="U60" s="358"/>
      <c r="V60" s="100"/>
      <c r="W60" s="96"/>
      <c r="X60" s="353"/>
      <c r="Y60" s="354"/>
      <c r="Z60" s="100"/>
      <c r="AA60" s="96"/>
      <c r="AB60" s="353"/>
      <c r="AC60" s="354"/>
      <c r="AD60" s="100"/>
      <c r="AE60" s="96"/>
      <c r="AF60" s="357"/>
      <c r="AG60" s="358"/>
      <c r="AH60" s="100"/>
      <c r="AI60" s="96"/>
      <c r="AJ60" s="353"/>
      <c r="AK60" s="354"/>
      <c r="AL60" s="100"/>
      <c r="AM60" s="96"/>
      <c r="AN60" s="353"/>
      <c r="AO60" s="354"/>
      <c r="AP60" s="100"/>
      <c r="AQ60" s="96"/>
      <c r="AR60" s="342"/>
      <c r="AS60" s="343"/>
      <c r="AT60" s="100"/>
      <c r="AU60" s="96"/>
      <c r="AV60" s="342"/>
      <c r="AW60" s="343"/>
      <c r="AX60" s="100"/>
    </row>
    <row r="61" spans="1:62">
      <c r="C61" s="96">
        <v>43490</v>
      </c>
      <c r="D61" s="342" t="s">
        <v>291</v>
      </c>
      <c r="E61" s="343"/>
      <c r="F61" s="98">
        <v>40</v>
      </c>
      <c r="G61" s="96"/>
      <c r="H61" s="342"/>
      <c r="I61" s="343"/>
      <c r="J61" s="100"/>
      <c r="K61" s="96"/>
      <c r="L61" s="371"/>
      <c r="M61" s="343"/>
      <c r="N61" s="100"/>
      <c r="O61" s="96"/>
      <c r="P61" s="342"/>
      <c r="Q61" s="343"/>
      <c r="R61" s="100"/>
      <c r="S61" s="96"/>
      <c r="T61" s="357"/>
      <c r="U61" s="358"/>
      <c r="V61" s="100"/>
      <c r="W61" s="96"/>
      <c r="X61" s="353"/>
      <c r="Y61" s="354"/>
      <c r="Z61" s="100"/>
      <c r="AA61" s="96"/>
      <c r="AB61" s="353"/>
      <c r="AC61" s="354"/>
      <c r="AD61" s="100"/>
      <c r="AE61" s="96"/>
      <c r="AF61" s="353"/>
      <c r="AG61" s="354"/>
      <c r="AH61" s="100"/>
      <c r="AI61" s="96"/>
      <c r="AJ61" s="353"/>
      <c r="AK61" s="354"/>
      <c r="AL61" s="100"/>
      <c r="AM61" s="96"/>
      <c r="AN61" s="353"/>
      <c r="AO61" s="354"/>
      <c r="AP61" s="100"/>
      <c r="AQ61" s="96"/>
      <c r="AR61" s="342"/>
      <c r="AS61" s="343"/>
      <c r="AT61" s="100"/>
      <c r="AU61" s="96"/>
      <c r="AV61" s="342"/>
      <c r="AW61" s="343"/>
      <c r="AX61" s="100"/>
    </row>
    <row r="62" spans="1:62">
      <c r="C62" s="96"/>
      <c r="D62" s="342"/>
      <c r="E62" s="343"/>
      <c r="F62" s="98"/>
      <c r="G62" s="96"/>
      <c r="H62" s="342"/>
      <c r="I62" s="343"/>
      <c r="J62" s="100"/>
      <c r="K62" s="96"/>
      <c r="L62" s="342"/>
      <c r="M62" s="343"/>
      <c r="N62" s="100"/>
      <c r="O62" s="96"/>
      <c r="P62" s="342"/>
      <c r="Q62" s="343"/>
      <c r="R62" s="100"/>
      <c r="S62" s="96"/>
      <c r="T62" s="357"/>
      <c r="U62" s="358"/>
      <c r="V62" s="100"/>
      <c r="W62" s="96"/>
      <c r="X62" s="353"/>
      <c r="Y62" s="354"/>
      <c r="Z62" s="100"/>
      <c r="AA62" s="96"/>
      <c r="AB62" s="353"/>
      <c r="AC62" s="354"/>
      <c r="AD62" s="100"/>
      <c r="AE62" s="96"/>
      <c r="AF62" s="353"/>
      <c r="AG62" s="354"/>
      <c r="AH62" s="100"/>
      <c r="AI62" s="96"/>
      <c r="AJ62" s="353"/>
      <c r="AK62" s="354"/>
      <c r="AL62" s="100"/>
      <c r="AM62" s="96"/>
      <c r="AN62" s="353"/>
      <c r="AO62" s="354"/>
      <c r="AP62" s="100"/>
      <c r="AQ62" s="96"/>
      <c r="AR62" s="342"/>
      <c r="AS62" s="343"/>
      <c r="AT62" s="100"/>
      <c r="AU62" s="96"/>
      <c r="AV62" s="342"/>
      <c r="AW62" s="343"/>
      <c r="AX62" s="100"/>
    </row>
    <row r="63" spans="1:62">
      <c r="C63" s="96"/>
      <c r="D63" s="342"/>
      <c r="E63" s="343"/>
      <c r="F63" s="98"/>
      <c r="G63" s="96"/>
      <c r="H63" s="342"/>
      <c r="I63" s="343"/>
      <c r="J63" s="100"/>
      <c r="K63" s="96"/>
      <c r="L63" s="342"/>
      <c r="M63" s="343"/>
      <c r="N63" s="100"/>
      <c r="O63" s="96"/>
      <c r="P63" s="342"/>
      <c r="Q63" s="343"/>
      <c r="R63" s="100"/>
      <c r="S63" s="96"/>
      <c r="T63" s="357"/>
      <c r="U63" s="358"/>
      <c r="V63" s="100"/>
      <c r="W63" s="96"/>
      <c r="X63" s="353"/>
      <c r="Y63" s="354"/>
      <c r="Z63" s="100"/>
      <c r="AA63" s="96"/>
      <c r="AB63" s="353"/>
      <c r="AC63" s="354"/>
      <c r="AD63" s="100"/>
      <c r="AE63" s="96"/>
      <c r="AF63" s="353"/>
      <c r="AG63" s="354"/>
      <c r="AH63" s="100"/>
      <c r="AI63" s="96"/>
      <c r="AJ63" s="353"/>
      <c r="AK63" s="354"/>
      <c r="AL63" s="100"/>
      <c r="AM63" s="96"/>
      <c r="AN63" s="353"/>
      <c r="AO63" s="354"/>
      <c r="AP63" s="100"/>
      <c r="AQ63" s="96"/>
      <c r="AR63" s="342"/>
      <c r="AS63" s="343"/>
      <c r="AT63" s="100"/>
      <c r="AU63" s="96"/>
      <c r="AV63" s="342"/>
      <c r="AW63" s="343"/>
      <c r="AX63" s="100"/>
    </row>
    <row r="64" spans="1:62">
      <c r="C64" s="96"/>
      <c r="D64" s="342"/>
      <c r="E64" s="343"/>
      <c r="F64" s="98"/>
      <c r="G64" s="96"/>
      <c r="H64" s="342"/>
      <c r="I64" s="343"/>
      <c r="J64" s="100"/>
      <c r="K64" s="96"/>
      <c r="L64" s="342"/>
      <c r="M64" s="343"/>
      <c r="N64" s="100"/>
      <c r="O64" s="96"/>
      <c r="P64" s="342"/>
      <c r="Q64" s="343"/>
      <c r="R64" s="100"/>
      <c r="S64" s="96"/>
      <c r="T64" s="357"/>
      <c r="U64" s="358"/>
      <c r="V64" s="100"/>
      <c r="W64" s="96"/>
      <c r="X64" s="353"/>
      <c r="Y64" s="354"/>
      <c r="Z64" s="100"/>
      <c r="AA64" s="96"/>
      <c r="AB64" s="353"/>
      <c r="AC64" s="354"/>
      <c r="AD64" s="100"/>
      <c r="AE64" s="96"/>
      <c r="AF64" s="353"/>
      <c r="AG64" s="354"/>
      <c r="AH64" s="100"/>
      <c r="AI64" s="96"/>
      <c r="AJ64" s="353"/>
      <c r="AK64" s="354"/>
      <c r="AL64" s="100"/>
      <c r="AM64" s="96"/>
      <c r="AN64" s="353"/>
      <c r="AO64" s="354"/>
      <c r="AP64" s="100"/>
      <c r="AQ64" s="96"/>
      <c r="AR64" s="342"/>
      <c r="AS64" s="343"/>
      <c r="AT64" s="100"/>
      <c r="AU64" s="96"/>
      <c r="AV64" s="342"/>
      <c r="AW64" s="343"/>
      <c r="AX64" s="100"/>
    </row>
    <row r="65" spans="1:50">
      <c r="C65" s="96"/>
      <c r="D65" s="342"/>
      <c r="E65" s="343"/>
      <c r="F65" s="98"/>
      <c r="G65" s="96"/>
      <c r="H65" s="342"/>
      <c r="I65" s="343"/>
      <c r="J65" s="100"/>
      <c r="K65" s="96"/>
      <c r="L65" s="342"/>
      <c r="M65" s="343"/>
      <c r="N65" s="100"/>
      <c r="O65" s="96"/>
      <c r="P65" s="342"/>
      <c r="Q65" s="343"/>
      <c r="R65" s="100"/>
      <c r="S65" s="96"/>
      <c r="T65" s="357"/>
      <c r="U65" s="358"/>
      <c r="V65" s="100"/>
      <c r="W65" s="96"/>
      <c r="X65" s="353"/>
      <c r="Y65" s="354"/>
      <c r="Z65" s="100"/>
      <c r="AA65" s="96"/>
      <c r="AB65" s="353"/>
      <c r="AC65" s="354"/>
      <c r="AD65" s="100"/>
      <c r="AE65" s="96"/>
      <c r="AF65" s="353"/>
      <c r="AG65" s="354"/>
      <c r="AH65" s="100"/>
      <c r="AI65" s="96"/>
      <c r="AJ65" s="353"/>
      <c r="AK65" s="354"/>
      <c r="AL65" s="100"/>
      <c r="AM65" s="96"/>
      <c r="AN65" s="353"/>
      <c r="AO65" s="354"/>
      <c r="AP65" s="100"/>
      <c r="AQ65" s="96"/>
      <c r="AR65" s="342"/>
      <c r="AS65" s="343"/>
      <c r="AT65" s="100"/>
      <c r="AU65" s="96"/>
      <c r="AV65" s="342"/>
      <c r="AW65" s="343"/>
      <c r="AX65" s="100"/>
    </row>
    <row r="66" spans="1:50">
      <c r="C66" s="96"/>
      <c r="D66" s="342"/>
      <c r="E66" s="343"/>
      <c r="F66" s="98"/>
      <c r="G66" s="96"/>
      <c r="H66" s="342"/>
      <c r="I66" s="343"/>
      <c r="J66" s="100"/>
      <c r="K66" s="96"/>
      <c r="L66" s="342"/>
      <c r="M66" s="343"/>
      <c r="N66" s="100"/>
      <c r="O66" s="96"/>
      <c r="P66" s="342"/>
      <c r="Q66" s="343"/>
      <c r="R66" s="100"/>
      <c r="S66" s="96"/>
      <c r="T66" s="353"/>
      <c r="U66" s="354"/>
      <c r="V66" s="100"/>
      <c r="W66" s="96"/>
      <c r="X66" s="353"/>
      <c r="Y66" s="354"/>
      <c r="Z66" s="100"/>
      <c r="AA66" s="96"/>
      <c r="AB66" s="353"/>
      <c r="AC66" s="354"/>
      <c r="AD66" s="100"/>
      <c r="AE66" s="96"/>
      <c r="AF66" s="353"/>
      <c r="AG66" s="354"/>
      <c r="AH66" s="100"/>
      <c r="AI66" s="96"/>
      <c r="AJ66" s="353"/>
      <c r="AK66" s="354"/>
      <c r="AL66" s="100"/>
      <c r="AM66" s="96"/>
      <c r="AN66" s="353"/>
      <c r="AO66" s="354"/>
      <c r="AP66" s="100"/>
      <c r="AQ66" s="96"/>
      <c r="AR66" s="342"/>
      <c r="AS66" s="343"/>
      <c r="AT66" s="100"/>
      <c r="AU66" s="96"/>
      <c r="AV66" s="342"/>
      <c r="AW66" s="343"/>
      <c r="AX66" s="100"/>
    </row>
    <row r="67" spans="1:50">
      <c r="C67" s="96"/>
      <c r="D67" s="342"/>
      <c r="E67" s="343"/>
      <c r="F67" s="98"/>
      <c r="G67" s="96"/>
      <c r="H67" s="342"/>
      <c r="I67" s="343"/>
      <c r="J67" s="100"/>
      <c r="K67" s="96"/>
      <c r="L67" s="342"/>
      <c r="M67" s="343"/>
      <c r="N67" s="100"/>
      <c r="O67" s="96"/>
      <c r="P67" s="342"/>
      <c r="Q67" s="343"/>
      <c r="R67" s="100"/>
      <c r="S67" s="96"/>
      <c r="T67" s="353"/>
      <c r="U67" s="354"/>
      <c r="V67" s="100"/>
      <c r="W67" s="96"/>
      <c r="X67" s="353"/>
      <c r="Y67" s="354"/>
      <c r="Z67" s="100"/>
      <c r="AA67" s="96"/>
      <c r="AB67" s="353"/>
      <c r="AC67" s="354"/>
      <c r="AD67" s="100"/>
      <c r="AE67" s="96"/>
      <c r="AF67" s="353"/>
      <c r="AG67" s="354"/>
      <c r="AH67" s="100"/>
      <c r="AI67" s="96"/>
      <c r="AJ67" s="353"/>
      <c r="AK67" s="354"/>
      <c r="AL67" s="100"/>
      <c r="AM67" s="96"/>
      <c r="AN67" s="353"/>
      <c r="AO67" s="354"/>
      <c r="AP67" s="100"/>
      <c r="AQ67" s="96"/>
      <c r="AR67" s="342"/>
      <c r="AS67" s="343"/>
      <c r="AT67" s="100"/>
      <c r="AU67" s="96"/>
      <c r="AV67" s="342"/>
      <c r="AW67" s="343"/>
      <c r="AX67" s="100"/>
    </row>
    <row r="68" spans="1:50">
      <c r="C68" s="96"/>
      <c r="D68" s="342"/>
      <c r="E68" s="343"/>
      <c r="F68" s="98"/>
      <c r="G68" s="96"/>
      <c r="H68" s="342"/>
      <c r="I68" s="343"/>
      <c r="J68" s="100"/>
      <c r="K68" s="96"/>
      <c r="L68" s="342"/>
      <c r="M68" s="343"/>
      <c r="N68" s="100"/>
      <c r="O68" s="96"/>
      <c r="P68" s="342"/>
      <c r="Q68" s="343"/>
      <c r="R68" s="100"/>
      <c r="S68" s="96"/>
      <c r="T68" s="353"/>
      <c r="U68" s="354"/>
      <c r="V68" s="100"/>
      <c r="W68" s="96"/>
      <c r="X68" s="353"/>
      <c r="Y68" s="354"/>
      <c r="Z68" s="100"/>
      <c r="AA68" s="96"/>
      <c r="AB68" s="353"/>
      <c r="AC68" s="354"/>
      <c r="AD68" s="100"/>
      <c r="AE68" s="96"/>
      <c r="AF68" s="353"/>
      <c r="AG68" s="354"/>
      <c r="AH68" s="100"/>
      <c r="AI68" s="96"/>
      <c r="AJ68" s="353"/>
      <c r="AK68" s="354"/>
      <c r="AL68" s="100"/>
      <c r="AM68" s="96"/>
      <c r="AN68" s="353"/>
      <c r="AO68" s="354"/>
      <c r="AP68" s="100"/>
      <c r="AQ68" s="96"/>
      <c r="AR68" s="342"/>
      <c r="AS68" s="343"/>
      <c r="AT68" s="100"/>
      <c r="AU68" s="96"/>
      <c r="AV68" s="342"/>
      <c r="AW68" s="343"/>
      <c r="AX68" s="100"/>
    </row>
    <row r="69" spans="1:50">
      <c r="C69" s="96"/>
      <c r="D69" s="342"/>
      <c r="E69" s="343"/>
      <c r="F69" s="98"/>
      <c r="G69" s="96"/>
      <c r="H69" s="342"/>
      <c r="I69" s="343"/>
      <c r="J69" s="100"/>
      <c r="K69" s="96"/>
      <c r="L69" s="342"/>
      <c r="M69" s="343"/>
      <c r="N69" s="100"/>
      <c r="O69" s="96"/>
      <c r="P69" s="342"/>
      <c r="Q69" s="343"/>
      <c r="R69" s="100"/>
      <c r="S69" s="96"/>
      <c r="T69" s="353"/>
      <c r="U69" s="354"/>
      <c r="V69" s="100"/>
      <c r="W69" s="96"/>
      <c r="X69" s="353"/>
      <c r="Y69" s="354"/>
      <c r="Z69" s="100"/>
      <c r="AA69" s="96"/>
      <c r="AB69" s="353"/>
      <c r="AC69" s="354"/>
      <c r="AD69" s="100"/>
      <c r="AE69" s="96"/>
      <c r="AF69" s="353"/>
      <c r="AG69" s="354"/>
      <c r="AH69" s="100"/>
      <c r="AI69" s="96"/>
      <c r="AJ69" s="353"/>
      <c r="AK69" s="354"/>
      <c r="AL69" s="100"/>
      <c r="AM69" s="96"/>
      <c r="AN69" s="353"/>
      <c r="AO69" s="354"/>
      <c r="AP69" s="100"/>
      <c r="AQ69" s="96"/>
      <c r="AR69" s="342"/>
      <c r="AS69" s="343"/>
      <c r="AT69" s="100"/>
      <c r="AU69" s="96"/>
      <c r="AV69" s="342"/>
      <c r="AW69" s="343"/>
      <c r="AX69" s="100"/>
    </row>
    <row r="70" spans="1:50">
      <c r="C70" s="96"/>
      <c r="D70" s="342"/>
      <c r="E70" s="343"/>
      <c r="F70" s="98"/>
      <c r="G70" s="96"/>
      <c r="H70" s="342"/>
      <c r="I70" s="343"/>
      <c r="J70" s="100"/>
      <c r="K70" s="96"/>
      <c r="L70" s="342"/>
      <c r="M70" s="343"/>
      <c r="N70" s="100"/>
      <c r="O70" s="96"/>
      <c r="P70" s="342"/>
      <c r="Q70" s="343"/>
      <c r="R70" s="100"/>
      <c r="S70" s="96"/>
      <c r="T70" s="342" t="s">
        <v>564</v>
      </c>
      <c r="U70" s="343"/>
      <c r="V70" s="100">
        <v>3742.92</v>
      </c>
      <c r="W70" s="96"/>
      <c r="X70" s="342" t="s">
        <v>562</v>
      </c>
      <c r="Y70" s="343"/>
      <c r="Z70" s="100">
        <f>3289.11+270.87</f>
        <v>3559.98</v>
      </c>
      <c r="AA70" s="96"/>
      <c r="AB70" s="353"/>
      <c r="AC70" s="354"/>
      <c r="AD70" s="100"/>
      <c r="AE70" s="96"/>
      <c r="AF70" s="353"/>
      <c r="AG70" s="354"/>
      <c r="AH70" s="100"/>
      <c r="AI70" s="96"/>
      <c r="AJ70" s="353"/>
      <c r="AK70" s="354"/>
      <c r="AL70" s="100"/>
      <c r="AM70" s="96"/>
      <c r="AN70" s="353"/>
      <c r="AO70" s="354"/>
      <c r="AP70" s="100"/>
      <c r="AQ70" s="96"/>
      <c r="AR70" s="342"/>
      <c r="AS70" s="343"/>
      <c r="AT70" s="100"/>
      <c r="AU70" s="96"/>
      <c r="AV70" s="342"/>
      <c r="AW70" s="343"/>
      <c r="AX70" s="100"/>
    </row>
    <row r="71" spans="1:50" ht="15.75" thickBot="1">
      <c r="C71" s="97"/>
      <c r="D71" s="344"/>
      <c r="E71" s="345"/>
      <c r="F71" s="99"/>
      <c r="G71" s="97"/>
      <c r="H71" s="344"/>
      <c r="I71" s="345"/>
      <c r="J71" s="101"/>
      <c r="K71" s="97"/>
      <c r="L71" s="344"/>
      <c r="M71" s="345"/>
      <c r="N71" s="101"/>
      <c r="O71" s="97"/>
      <c r="P71" s="344"/>
      <c r="Q71" s="345"/>
      <c r="R71" s="101"/>
      <c r="S71" s="97"/>
      <c r="T71" s="361" t="s">
        <v>565</v>
      </c>
      <c r="U71" s="362"/>
      <c r="V71" s="101">
        <v>1872.17</v>
      </c>
      <c r="W71" s="97"/>
      <c r="X71" s="361" t="s">
        <v>563</v>
      </c>
      <c r="Y71" s="362"/>
      <c r="Z71" s="101">
        <f>Z70-1484.91-429.89</f>
        <v>1645.1799999999998</v>
      </c>
      <c r="AA71" s="97"/>
      <c r="AB71" s="355"/>
      <c r="AC71" s="356"/>
      <c r="AD71" s="101"/>
      <c r="AE71" s="97"/>
      <c r="AF71" s="355"/>
      <c r="AG71" s="356"/>
      <c r="AH71" s="101"/>
      <c r="AI71" s="97"/>
      <c r="AJ71" s="355"/>
      <c r="AK71" s="356"/>
      <c r="AL71" s="101"/>
      <c r="AM71" s="97"/>
      <c r="AN71" s="355"/>
      <c r="AO71" s="356"/>
      <c r="AP71" s="101"/>
      <c r="AQ71" s="97"/>
      <c r="AR71" s="344"/>
      <c r="AS71" s="345"/>
      <c r="AT71" s="101"/>
      <c r="AU71" s="97"/>
      <c r="AV71" s="344"/>
      <c r="AW71" s="345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35</v>
      </c>
      <c r="F73">
        <f>F72*20</f>
        <v>21.799999999999997</v>
      </c>
      <c r="L73" s="119"/>
    </row>
    <row r="74" spans="1:50">
      <c r="A74" t="s">
        <v>253</v>
      </c>
      <c r="C74">
        <v>31</v>
      </c>
      <c r="D74">
        <f>100/C74</f>
        <v>3.225806451612903</v>
      </c>
    </row>
    <row r="75" spans="1:50">
      <c r="A75" t="s">
        <v>254</v>
      </c>
      <c r="C75">
        <v>9</v>
      </c>
      <c r="D75">
        <f>C75*D74</f>
        <v>29.032258064516128</v>
      </c>
      <c r="Z75" s="111"/>
    </row>
    <row r="76" spans="1:50">
      <c r="D76">
        <f>D75-D73</f>
        <v>-5.9677419354838719</v>
      </c>
    </row>
    <row r="80" spans="1:50">
      <c r="G80" s="114"/>
    </row>
    <row r="81" spans="7:46">
      <c r="G81" s="114"/>
    </row>
    <row r="82" spans="7:46">
      <c r="G82" s="114"/>
    </row>
    <row r="83" spans="7:46">
      <c r="G83" s="114"/>
    </row>
    <row r="86" spans="7:46">
      <c r="G86" s="114"/>
    </row>
    <row r="87" spans="7:46">
      <c r="G87" s="114"/>
    </row>
    <row r="90" spans="7:46">
      <c r="G90" s="114"/>
    </row>
    <row r="91" spans="7:46">
      <c r="G91" s="114"/>
    </row>
    <row r="95" spans="7:46">
      <c r="AS95" t="s">
        <v>336</v>
      </c>
      <c r="AT95">
        <f>23+26+9+64</f>
        <v>122</v>
      </c>
    </row>
    <row r="96" spans="7:46">
      <c r="AS96" t="s">
        <v>960</v>
      </c>
      <c r="AT96">
        <f>56+65+10</f>
        <v>131</v>
      </c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16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3839.35</v>
      </c>
      <c r="L5" s="424"/>
      <c r="M5" s="1"/>
      <c r="N5" s="1"/>
      <c r="R5" s="3"/>
    </row>
    <row r="6" spans="1:22" ht="15.75">
      <c r="A6" s="112">
        <f>'08'!A6+(B6-SUM(D6:F6))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620.12</v>
      </c>
      <c r="L6" s="426"/>
      <c r="M6" s="1" t="s">
        <v>165</v>
      </c>
      <c r="N6" s="1"/>
      <c r="R6" s="3"/>
    </row>
    <row r="7" spans="1:22" ht="15.75">
      <c r="A7" s="112">
        <f>'08'!A7+(B7-SUM(D7:F7))</f>
        <v>304.39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7236.18</v>
      </c>
      <c r="L7" s="426"/>
      <c r="M7" s="1"/>
      <c r="N7" s="1"/>
      <c r="R7" s="3"/>
    </row>
    <row r="8" spans="1:22" ht="15.75">
      <c r="A8" s="112">
        <f>'08'!A8+(B8-SUM(D8:F8))</f>
        <v>0</v>
      </c>
      <c r="B8" s="134">
        <v>103.67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6305.62</v>
      </c>
      <c r="L8" s="426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37</v>
      </c>
      <c r="D9" s="137"/>
      <c r="E9" s="138">
        <v>22.59</v>
      </c>
      <c r="F9" s="138"/>
      <c r="G9" s="16" t="s">
        <v>37</v>
      </c>
      <c r="H9" s="112"/>
      <c r="I9" s="108" t="s">
        <v>63</v>
      </c>
      <c r="J9" s="107" t="s">
        <v>157</v>
      </c>
      <c r="K9" s="425">
        <v>163.63</v>
      </c>
      <c r="L9" s="426"/>
      <c r="M9" s="1"/>
      <c r="N9" s="1"/>
      <c r="R9" s="3"/>
    </row>
    <row r="10" spans="1:22" ht="15.75">
      <c r="A10" s="112">
        <f>'08'!A10+(B10-SUM(D10:F10))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'08'!A11+(B11-SUM(D11:F11))</f>
        <v>-9.9999999999980105E-3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f>105+50</f>
        <v>155</v>
      </c>
      <c r="L11" s="426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5092.08+4044.26</f>
        <v>9136.34</v>
      </c>
      <c r="L12" s="426"/>
      <c r="M12" s="92"/>
      <c r="N12" s="1"/>
      <c r="R12" s="3"/>
    </row>
    <row r="13" spans="1:22" ht="15.75">
      <c r="A13" s="112">
        <f>'08'!A13+(B13-SUM(D13:F13))</f>
        <v>44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29258.260000000002</v>
      </c>
      <c r="L19" s="441"/>
      <c r="M19" s="1"/>
      <c r="N19" s="1"/>
      <c r="R19" s="3"/>
    </row>
    <row r="20" spans="1:18" ht="16.5" thickBot="1">
      <c r="A20" s="112">
        <f>SUM(A6:A15)</f>
        <v>629.42000000000007</v>
      </c>
      <c r="B20" s="135">
        <f>SUM(B6:B19)</f>
        <v>670.26</v>
      </c>
      <c r="C20" s="17" t="s">
        <v>53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231">
        <v>2573.7399999999998</v>
      </c>
      <c r="M25" s="1"/>
      <c r="R25" s="3"/>
    </row>
    <row r="26" spans="1:18" ht="15.75">
      <c r="A26" s="112">
        <f>'08'!A26+(B26-SUM(D26:F26))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'08'!A27+(B27-SUM(D27:F27))</f>
        <v>42.059999999999945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'08'!A29+(B29-SUM(D29:F29))</f>
        <v>1.6300000000000061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327</v>
      </c>
      <c r="K30" s="406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/>
      <c r="K31" s="408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 t="s">
        <v>799</v>
      </c>
      <c r="K35" s="406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364.07999999999993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 t="s">
        <v>789</v>
      </c>
      <c r="K45" s="406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795</v>
      </c>
      <c r="H46" s="1"/>
      <c r="I46" s="403"/>
      <c r="J46" s="407" t="s">
        <v>831</v>
      </c>
      <c r="K46" s="408"/>
      <c r="L46" s="229">
        <v>100</v>
      </c>
      <c r="M46" s="1"/>
      <c r="R46" s="3"/>
    </row>
    <row r="47" spans="1:18" ht="15.75">
      <c r="A47" s="1"/>
      <c r="B47" s="134"/>
      <c r="C47" s="16" t="s">
        <v>78</v>
      </c>
      <c r="D47" s="137">
        <v>8.68</v>
      </c>
      <c r="E47" s="138"/>
      <c r="F47" s="138"/>
      <c r="G47" s="16" t="s">
        <v>800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 t="s">
        <v>786</v>
      </c>
      <c r="D48" s="137">
        <v>67.47</v>
      </c>
      <c r="E48" s="138"/>
      <c r="F48" s="138"/>
      <c r="G48" s="16" t="s">
        <v>804</v>
      </c>
      <c r="H48" s="1">
        <f>21*8</f>
        <v>168</v>
      </c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805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806</v>
      </c>
      <c r="H50" s="1"/>
      <c r="I50" s="402" t="str">
        <f>AÑO!A13</f>
        <v>Gubernamental</v>
      </c>
      <c r="J50" s="405" t="s">
        <v>797</v>
      </c>
      <c r="K50" s="406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814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815</v>
      </c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823</v>
      </c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05"/>
      <c r="K55" s="40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798</v>
      </c>
      <c r="K60" s="406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'08'!A66+(B66-SUM(D66:F78))</f>
        <v>27.880000000000059</v>
      </c>
      <c r="B66" s="133">
        <v>175</v>
      </c>
      <c r="C66" s="19" t="s">
        <v>33</v>
      </c>
      <c r="D66" s="137"/>
      <c r="E66" s="138"/>
      <c r="F66" s="138">
        <f>4+4+5</f>
        <v>13</v>
      </c>
      <c r="G66" s="19" t="s">
        <v>783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784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793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807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810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822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82.05</v>
      </c>
      <c r="B79" s="233">
        <f>5+100</f>
        <v>105</v>
      </c>
      <c r="C79" s="17" t="s">
        <v>830</v>
      </c>
      <c r="D79" s="135">
        <v>122.95</v>
      </c>
      <c r="E79" s="139"/>
      <c r="F79" s="139"/>
      <c r="G79" s="17" t="s">
        <v>824</v>
      </c>
      <c r="H79" s="1"/>
      <c r="M79" s="1"/>
      <c r="R79" s="3"/>
    </row>
    <row r="80" spans="1:18" ht="16.5" thickBot="1">
      <c r="A80" s="112">
        <f>SUM(A66:A79)</f>
        <v>109.93000000000006</v>
      </c>
      <c r="B80" s="233">
        <f>SUM(B66:B79)</f>
        <v>280</v>
      </c>
      <c r="C80" s="17" t="s">
        <v>53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51.07</v>
      </c>
      <c r="E86" s="138"/>
      <c r="F86" s="138"/>
      <c r="G86" s="16" t="s">
        <v>794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801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820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2.2000000000000455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585.29999999999995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D127+D128+'08'!I127</f>
        <v>140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>
        <v>44</v>
      </c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f>55.89+95.49</f>
        <v>151.38</v>
      </c>
      <c r="F186" s="138"/>
      <c r="G186" s="16" t="s">
        <v>785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214</v>
      </c>
      <c r="D187" s="137">
        <v>20.98</v>
      </c>
      <c r="E187" s="138"/>
      <c r="F187" s="138"/>
      <c r="G187" s="16" t="s">
        <v>790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812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821</v>
      </c>
      <c r="H189" s="89">
        <f>9.99+8.99+6.99+3.99+7.99</f>
        <v>37.950000000000003</v>
      </c>
      <c r="I189" s="1" t="s">
        <v>819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825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826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829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53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691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9" ht="15.75" thickBot="1">
      <c r="B241" s="5"/>
      <c r="C241" s="3"/>
      <c r="D241" s="5"/>
      <c r="E241" s="5"/>
    </row>
    <row r="242" spans="1:9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9" ht="15" customHeight="1" thickBot="1">
      <c r="B243" s="418"/>
      <c r="C243" s="419"/>
      <c r="D243" s="419"/>
      <c r="E243" s="419"/>
      <c r="F243" s="419"/>
      <c r="G243" s="420"/>
    </row>
    <row r="244" spans="1:9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9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401</v>
      </c>
      <c r="D246" s="137">
        <v>105.14</v>
      </c>
      <c r="E246" s="138"/>
      <c r="F246" s="138"/>
      <c r="G246" s="16" t="s">
        <v>787</v>
      </c>
    </row>
    <row r="247" spans="1:9" ht="15" customHeight="1">
      <c r="A247" s="112"/>
      <c r="B247" s="134">
        <v>343.08</v>
      </c>
      <c r="C247" s="16" t="s">
        <v>214</v>
      </c>
      <c r="D247" s="137">
        <v>203.92</v>
      </c>
      <c r="E247" s="138"/>
      <c r="F247" s="138"/>
      <c r="G247" s="16" t="s">
        <v>811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827</v>
      </c>
      <c r="H248" s="89">
        <f>33.98+1.99</f>
        <v>35.97</v>
      </c>
      <c r="I248" s="89" t="s">
        <v>819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829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735</v>
      </c>
      <c r="D257" s="137"/>
      <c r="E257" s="138">
        <f>100.67+100.67</f>
        <v>201.34</v>
      </c>
      <c r="F257" s="138"/>
      <c r="G257" s="16" t="s">
        <v>404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53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782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1:8" ht="15" customHeight="1" thickBot="1">
      <c r="B283" s="418"/>
      <c r="C283" s="419"/>
      <c r="D283" s="419"/>
      <c r="E283" s="419"/>
      <c r="F283" s="419"/>
      <c r="G283" s="420"/>
    </row>
    <row r="284" spans="1:8">
      <c r="B284" s="428" t="s">
        <v>8</v>
      </c>
      <c r="C284" s="429"/>
      <c r="D284" s="428" t="s">
        <v>9</v>
      </c>
      <c r="E284" s="430"/>
      <c r="F284" s="430"/>
      <c r="G284" s="429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'08'!A286+(SUM(B286:B298)-SUM(D286:F298))</f>
        <v>24.359999999999808</v>
      </c>
      <c r="B286" s="133">
        <v>50</v>
      </c>
      <c r="C286" s="19" t="s">
        <v>33</v>
      </c>
      <c r="D286" s="137"/>
      <c r="E286" s="138">
        <v>44</v>
      </c>
      <c r="F286" s="138"/>
      <c r="G286" s="16" t="s">
        <v>690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809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828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84.359999999999815</v>
      </c>
      <c r="B300" s="135">
        <f>SUM(B286:B299)</f>
        <v>90</v>
      </c>
      <c r="C300" s="17" t="s">
        <v>53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1:8" ht="15" customHeight="1" thickBot="1">
      <c r="B303" s="418"/>
      <c r="C303" s="419"/>
      <c r="D303" s="419"/>
      <c r="E303" s="419"/>
      <c r="F303" s="419"/>
      <c r="G303" s="420"/>
    </row>
    <row r="304" spans="1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>
        <v>60</v>
      </c>
      <c r="G306" s="16" t="s">
        <v>802</v>
      </c>
    </row>
    <row r="307" spans="2:7">
      <c r="B307" s="134"/>
      <c r="C307" s="27"/>
      <c r="D307" s="137">
        <v>35.96</v>
      </c>
      <c r="E307" s="138"/>
      <c r="F307" s="138"/>
      <c r="G307" s="16" t="s">
        <v>803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808</v>
      </c>
    </row>
    <row r="309" spans="2:7">
      <c r="B309" s="134"/>
      <c r="C309" s="16"/>
      <c r="D309" s="137"/>
      <c r="E309" s="138"/>
      <c r="F309" s="138">
        <v>60</v>
      </c>
      <c r="G309" s="16" t="s">
        <v>832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53</v>
      </c>
    </row>
    <row r="321" spans="2:9" ht="15.75" thickBot="1"/>
    <row r="322" spans="2:9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9" ht="15" customHeight="1" thickBot="1">
      <c r="B323" s="435"/>
      <c r="C323" s="436"/>
      <c r="D323" s="436"/>
      <c r="E323" s="436"/>
      <c r="F323" s="436"/>
      <c r="G323" s="437"/>
    </row>
    <row r="324" spans="2:9">
      <c r="B324" s="428" t="s">
        <v>8</v>
      </c>
      <c r="C324" s="429"/>
      <c r="D324" s="428" t="s">
        <v>9</v>
      </c>
      <c r="E324" s="430"/>
      <c r="F324" s="430"/>
      <c r="G324" s="429"/>
    </row>
    <row r="325" spans="2:9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788</v>
      </c>
    </row>
    <row r="327" spans="2:9">
      <c r="B327" s="134">
        <v>100</v>
      </c>
      <c r="C327" s="16" t="s">
        <v>789</v>
      </c>
      <c r="D327" s="137">
        <v>15</v>
      </c>
      <c r="E327" s="138"/>
      <c r="F327" s="138"/>
      <c r="G327" s="16" t="s">
        <v>816</v>
      </c>
    </row>
    <row r="328" spans="2:9">
      <c r="B328" s="134">
        <v>155.97</v>
      </c>
      <c r="C328" s="16" t="s">
        <v>214</v>
      </c>
      <c r="D328" s="137"/>
      <c r="E328" s="138">
        <v>46.98</v>
      </c>
      <c r="F328" s="138"/>
      <c r="G328" s="16" t="s">
        <v>829</v>
      </c>
      <c r="H328" s="89">
        <f>9.99+34.99+2</f>
        <v>46.980000000000004</v>
      </c>
      <c r="I328" s="89" t="s">
        <v>819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53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'08'!A346+(B346-SUM(D346:F357))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3+3.5+4.5+4.5+4.5+3.5+4+4.7+2.8+4.5+3.5</f>
        <v>43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791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AÑO!AI17</f>
        <v>4981.9699999999993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0</v>
      </c>
      <c r="C426" s="19" t="s">
        <v>233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'08'!A467+(B467-SUM(D467:F467))</f>
        <v>25.230000000000018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5</v>
      </c>
      <c r="G506" s="16" t="s">
        <v>813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8" workbookViewId="0">
      <selection activeCell="L55" sqref="L5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>
        <v>3984.38</v>
      </c>
      <c r="L5" s="426"/>
      <c r="M5" s="1"/>
      <c r="N5" s="1"/>
      <c r="R5" s="3"/>
    </row>
    <row r="6" spans="1:22" ht="15.75">
      <c r="A6" s="112">
        <f>'09'!A6+(B6-SUM(D6:F6))</f>
        <v>6</v>
      </c>
      <c r="B6" s="133">
        <v>389.26</v>
      </c>
      <c r="C6" s="19" t="s">
        <v>833</v>
      </c>
      <c r="D6" s="137"/>
      <c r="E6" s="138">
        <v>389.26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620.12</v>
      </c>
      <c r="L6" s="426"/>
      <c r="M6" s="1" t="s">
        <v>165</v>
      </c>
      <c r="N6" s="1"/>
      <c r="R6" s="3"/>
    </row>
    <row r="7" spans="1:22" ht="15.75">
      <c r="A7" s="112">
        <f>'09'!A7+(B7-SUM(D7:F7))</f>
        <v>371.57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8003.5599999999995</v>
      </c>
      <c r="L7" s="426"/>
      <c r="M7" s="1"/>
      <c r="N7" s="1"/>
      <c r="R7" s="3"/>
    </row>
    <row r="8" spans="1:22" ht="15.75">
      <c r="A8" s="112">
        <f>'09'!A8+(B8-SUM(D8:F8))</f>
        <v>-97.88</v>
      </c>
      <c r="B8" s="134">
        <v>0</v>
      </c>
      <c r="C8" s="16" t="s">
        <v>35</v>
      </c>
      <c r="D8" s="137"/>
      <c r="E8" s="113">
        <v>97.88</v>
      </c>
      <c r="F8" s="138"/>
      <c r="G8" s="16" t="s">
        <v>35</v>
      </c>
      <c r="H8" s="1"/>
      <c r="I8" s="108" t="s">
        <v>63</v>
      </c>
      <c r="J8" s="107" t="s">
        <v>65</v>
      </c>
      <c r="K8" s="425">
        <v>6305.62</v>
      </c>
      <c r="L8" s="426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v>157.43</v>
      </c>
      <c r="L9" s="426"/>
      <c r="M9" s="1"/>
      <c r="N9" s="1"/>
      <c r="R9" s="3"/>
    </row>
    <row r="10" spans="1:22" ht="15.75">
      <c r="A10" s="112">
        <f>'09'!A10+(B10-SUM(D10:F10))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'09'!A11+(B11-SUM(D11:F11))</f>
        <v>-9.9999999999980105E-3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f>60+20</f>
        <v>80</v>
      </c>
      <c r="L11" s="426"/>
      <c r="M11" s="1"/>
      <c r="N11" s="1"/>
      <c r="R11" s="3"/>
    </row>
    <row r="12" spans="1:22" ht="15.75">
      <c r="A12" s="112">
        <f>'09'!A12+(B12-SUM(D12:F12))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5092.08+4044.26</f>
        <v>9136.34</v>
      </c>
      <c r="L12" s="426"/>
      <c r="M12" s="92"/>
      <c r="N12" s="1"/>
      <c r="R12" s="3"/>
    </row>
    <row r="13" spans="1:22" ht="15.75">
      <c r="A13" s="112">
        <f>'09'!A13+(B13-SUM(D13:F13))</f>
        <v>50.5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30089.47</v>
      </c>
      <c r="L19" s="441"/>
      <c r="M19" s="1"/>
      <c r="N19" s="1"/>
      <c r="R19" s="3"/>
    </row>
    <row r="20" spans="1:18" ht="16.5" thickBot="1">
      <c r="A20" s="112">
        <f>SUM(A6:A15)</f>
        <v>605.22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/>
      <c r="K25" s="406"/>
      <c r="L25" s="231">
        <v>2617.69</v>
      </c>
      <c r="M25" s="1"/>
      <c r="R25" s="3"/>
    </row>
    <row r="26" spans="1:18" ht="15.75">
      <c r="A26" s="112">
        <f>'09'!A26+(B26-SUM(D26:F26))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'09'!A27+(B27-SUM(D27:F27))</f>
        <v>46.069999999999936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'09'!A28+(B28-SUM(D28:F28))</f>
        <v>69.920000000000016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'09'!A29+(B29-SUM(D29:F29))</f>
        <v>1.6800000000000068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429</v>
      </c>
      <c r="K30" s="406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625</v>
      </c>
      <c r="K31" s="408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860</v>
      </c>
      <c r="K32" s="408"/>
      <c r="L32" s="229">
        <f>10.59</f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 t="s">
        <v>327</v>
      </c>
      <c r="K33" s="408"/>
      <c r="L33" s="229">
        <v>183.6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/>
      <c r="K35" s="40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303.94999999999993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 t="s">
        <v>423</v>
      </c>
      <c r="K40" s="406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 t="s">
        <v>60</v>
      </c>
      <c r="K41" s="408"/>
      <c r="L41" s="229">
        <v>0.02</v>
      </c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 t="s">
        <v>863</v>
      </c>
      <c r="K42" s="408"/>
      <c r="L42" s="229">
        <v>52.06</v>
      </c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838</v>
      </c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841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842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849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856</v>
      </c>
      <c r="H50" s="1"/>
      <c r="I50" s="402" t="str">
        <f>AÑO!A13</f>
        <v>Gubernamental</v>
      </c>
      <c r="J50" s="405" t="s">
        <v>797</v>
      </c>
      <c r="K50" s="406"/>
      <c r="L50" s="231">
        <v>95.8</v>
      </c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857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858</v>
      </c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859</v>
      </c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861</v>
      </c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869</v>
      </c>
      <c r="H55" s="1"/>
      <c r="I55" s="402" t="str">
        <f>AÑO!A14</f>
        <v>Mutualite/DKV</v>
      </c>
      <c r="J55" s="405" t="s">
        <v>465</v>
      </c>
      <c r="K55" s="406"/>
      <c r="L55" s="231">
        <f>14.27+14.27+14.27+14.27</f>
        <v>57.08</v>
      </c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870</v>
      </c>
      <c r="H56" s="1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39</v>
      </c>
      <c r="K60" s="406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'09'!A66+(B66-SUM(D66:F78))+B67</f>
        <v>82.730000000000047</v>
      </c>
      <c r="B66" s="133">
        <v>175</v>
      </c>
      <c r="C66" s="19" t="s">
        <v>33</v>
      </c>
      <c r="D66" s="137">
        <v>13.5</v>
      </c>
      <c r="E66" s="138"/>
      <c r="F66" s="138"/>
      <c r="G66" s="16" t="s">
        <v>840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850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855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888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43.819999999999993</v>
      </c>
      <c r="B79" s="233">
        <v>10</v>
      </c>
      <c r="C79" s="17" t="s">
        <v>236</v>
      </c>
      <c r="D79" s="135">
        <f>22.3+25.93</f>
        <v>48.230000000000004</v>
      </c>
      <c r="E79" s="139"/>
      <c r="F79" s="139"/>
      <c r="G79" s="17" t="s">
        <v>883</v>
      </c>
      <c r="H79" s="1"/>
      <c r="M79" s="1"/>
      <c r="R79" s="3"/>
    </row>
    <row r="80" spans="1:18" ht="16.5" thickBot="1">
      <c r="A80" s="112">
        <f>SUM(A66:A79)</f>
        <v>126.55000000000004</v>
      </c>
      <c r="B80" s="233">
        <f>SUM(B66:B79)</f>
        <v>185</v>
      </c>
      <c r="C80" s="17" t="s">
        <v>53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1</v>
      </c>
      <c r="E86" s="138"/>
      <c r="F86" s="138"/>
      <c r="G86" s="16" t="s">
        <v>837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846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848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867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868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871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892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894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2.2900000000000489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3674.0415974244993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411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863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635.39</v>
      </c>
      <c r="B120" s="135">
        <f>SUM(B106:B119)</f>
        <v>761.33159742449789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'09'!A126+(B126-SUM(D126:F126))</f>
        <v>15</v>
      </c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D127+D128+'09'!I127</f>
        <v>150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I128" s="113"/>
      <c r="M128" s="1"/>
      <c r="R128" s="3"/>
    </row>
    <row r="129" spans="1:18" ht="15.75">
      <c r="A129" s="112">
        <f>'09'!A129+(B129-SUM(D129:F129))</f>
        <v>6.9999999999998508E-2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886</v>
      </c>
      <c r="D130" s="137">
        <v>65</v>
      </c>
      <c r="E130" s="138"/>
      <c r="F130" s="138"/>
      <c r="G130" s="16" t="s">
        <v>887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32.5</v>
      </c>
      <c r="B140" s="135">
        <f>SUM(B126:B139)</f>
        <v>53</v>
      </c>
      <c r="C140" s="17" t="s">
        <v>53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29.38+32.98-7.35-8.25</f>
        <v>46.76</v>
      </c>
      <c r="E146" s="138"/>
      <c r="F146" s="138"/>
      <c r="G146" s="16" t="s">
        <v>838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38</f>
        <v>38</v>
      </c>
      <c r="E186" s="138"/>
      <c r="F186" s="138"/>
      <c r="G186" s="16" t="s">
        <v>843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851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854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879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880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884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401</v>
      </c>
      <c r="D246" s="137">
        <f>2.99+15.99-2.4</f>
        <v>16.580000000000002</v>
      </c>
      <c r="E246" s="138"/>
      <c r="F246" s="138"/>
      <c r="G246" s="16" t="s">
        <v>838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859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866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881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9" ht="15.75">
      <c r="A257" s="112">
        <f>'09'!A257+(B257-SUM(D257:F257))</f>
        <v>384.11000000000007</v>
      </c>
      <c r="B257" s="134">
        <v>40</v>
      </c>
      <c r="C257" s="16" t="s">
        <v>796</v>
      </c>
      <c r="D257" s="137"/>
      <c r="E257" s="138">
        <v>100.67</v>
      </c>
      <c r="F257" s="138"/>
      <c r="G257" s="16" t="s">
        <v>404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407.58000000000004</v>
      </c>
      <c r="B260" s="135">
        <f>SUM(B246:B259)</f>
        <v>95</v>
      </c>
      <c r="C260" s="17" t="s">
        <v>53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9" ht="15.75" thickBot="1">
      <c r="B261" s="5"/>
      <c r="C261" s="3"/>
      <c r="D261" s="5"/>
      <c r="E261" s="5"/>
    </row>
    <row r="262" spans="1:9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9" ht="15" customHeight="1" thickBot="1">
      <c r="B263" s="418"/>
      <c r="C263" s="419"/>
      <c r="D263" s="419"/>
      <c r="E263" s="419"/>
      <c r="F263" s="419"/>
      <c r="G263" s="420"/>
    </row>
    <row r="264" spans="1:9">
      <c r="B264" s="428" t="s">
        <v>8</v>
      </c>
      <c r="C264" s="429"/>
      <c r="D264" s="428" t="s">
        <v>9</v>
      </c>
      <c r="E264" s="430"/>
      <c r="F264" s="430"/>
      <c r="G264" s="429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836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1:8" ht="15" customHeight="1" thickBot="1">
      <c r="B283" s="418"/>
      <c r="C283" s="419"/>
      <c r="D283" s="419"/>
      <c r="E283" s="419"/>
      <c r="F283" s="419"/>
      <c r="G283" s="420"/>
    </row>
    <row r="284" spans="1:8">
      <c r="B284" s="428" t="s">
        <v>8</v>
      </c>
      <c r="C284" s="429"/>
      <c r="D284" s="428" t="s">
        <v>9</v>
      </c>
      <c r="E284" s="430"/>
      <c r="F284" s="430"/>
      <c r="G284" s="429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'09'!A286+(SUM(B286:B298)-SUM(D286:F298))</f>
        <v>28.459999999999809</v>
      </c>
      <c r="B286" s="133">
        <v>50</v>
      </c>
      <c r="C286" s="19" t="s">
        <v>33</v>
      </c>
      <c r="D286" s="137">
        <v>8.5</v>
      </c>
      <c r="E286" s="138"/>
      <c r="F286" s="138"/>
      <c r="G286" s="16" t="s">
        <v>844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845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882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885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128.45999999999981</v>
      </c>
      <c r="B300" s="135">
        <f>SUM(B286:B299)</f>
        <v>90</v>
      </c>
      <c r="C300" s="17" t="s">
        <v>53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1:8" ht="15" customHeight="1" thickBot="1">
      <c r="B303" s="418"/>
      <c r="C303" s="419"/>
      <c r="D303" s="419"/>
      <c r="E303" s="419"/>
      <c r="F303" s="419"/>
      <c r="G303" s="420"/>
    </row>
    <row r="304" spans="1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>
        <f>37.5+37.5</f>
        <v>75</v>
      </c>
      <c r="E306" s="138"/>
      <c r="F306" s="138"/>
      <c r="G306" s="16" t="s">
        <v>847</v>
      </c>
    </row>
    <row r="307" spans="2:7">
      <c r="B307" s="134">
        <f>28.54*2</f>
        <v>57.08</v>
      </c>
      <c r="C307" s="27" t="s">
        <v>465</v>
      </c>
      <c r="D307" s="137"/>
      <c r="E307" s="138"/>
      <c r="F307" s="138">
        <v>50</v>
      </c>
      <c r="G307" s="16" t="s">
        <v>852</v>
      </c>
    </row>
    <row r="308" spans="2:7">
      <c r="B308" s="134"/>
      <c r="C308" s="27"/>
      <c r="D308" s="137">
        <v>35.96</v>
      </c>
      <c r="E308" s="138"/>
      <c r="F308" s="138"/>
      <c r="G308" s="16" t="s">
        <v>853</v>
      </c>
    </row>
    <row r="309" spans="2:7">
      <c r="B309" s="134"/>
      <c r="C309" s="16"/>
      <c r="D309" s="137">
        <v>16.21</v>
      </c>
      <c r="E309" s="138"/>
      <c r="F309" s="138"/>
      <c r="G309" s="16" t="s">
        <v>873</v>
      </c>
    </row>
    <row r="310" spans="2:7">
      <c r="B310" s="134"/>
      <c r="C310" s="16"/>
      <c r="D310" s="137"/>
      <c r="E310" s="138"/>
      <c r="F310" s="138">
        <v>50</v>
      </c>
      <c r="G310" s="16" t="s">
        <v>872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874</v>
      </c>
    </row>
    <row r="312" spans="2:7">
      <c r="B312" s="134"/>
      <c r="C312" s="16"/>
      <c r="D312" s="137"/>
      <c r="E312" s="138"/>
      <c r="F312" s="138">
        <v>60</v>
      </c>
      <c r="G312" s="16" t="s">
        <v>876</v>
      </c>
    </row>
    <row r="313" spans="2:7">
      <c r="B313" s="134"/>
      <c r="C313" s="16"/>
      <c r="D313" s="137">
        <v>5.3</v>
      </c>
      <c r="E313" s="138"/>
      <c r="F313" s="138"/>
      <c r="G313" s="16" t="s">
        <v>878</v>
      </c>
    </row>
    <row r="314" spans="2:7">
      <c r="B314" s="134"/>
      <c r="C314" s="16"/>
      <c r="D314" s="137">
        <v>12.95</v>
      </c>
      <c r="E314" s="138"/>
      <c r="F314" s="138"/>
      <c r="G314" s="16" t="s">
        <v>891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889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890</v>
      </c>
    </row>
    <row r="317" spans="2:7">
      <c r="B317" s="134"/>
      <c r="C317" s="16"/>
      <c r="D317" s="137"/>
      <c r="E317" s="138"/>
      <c r="F317" s="138">
        <v>4.5</v>
      </c>
      <c r="G317" s="16" t="s">
        <v>895</v>
      </c>
    </row>
    <row r="318" spans="2:7">
      <c r="B318" s="134"/>
      <c r="C318" s="16"/>
      <c r="D318" s="137"/>
      <c r="E318" s="138"/>
      <c r="F318" s="138">
        <v>84.93</v>
      </c>
      <c r="G318" s="16" t="s">
        <v>896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53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53</v>
      </c>
    </row>
    <row r="321" spans="2:7" ht="15.75" thickBot="1"/>
    <row r="322" spans="2:7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839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'09'!A346+(B346-SUM(D346:F357))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>
        <f>4.5</f>
        <v>4.5</v>
      </c>
      <c r="E366" s="138"/>
      <c r="F366" s="138">
        <f>4+4.5+4.5</f>
        <v>13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411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863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835</v>
      </c>
    </row>
    <row r="407" spans="2:7">
      <c r="B407" s="134">
        <v>0.89</v>
      </c>
      <c r="C407" s="16" t="s">
        <v>423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1244.26</v>
      </c>
      <c r="C409" s="16" t="s">
        <v>411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863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53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AÑO!AM17</f>
        <v>3972.5899999999997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-37.460000000000036</v>
      </c>
      <c r="C426" s="19" t="s">
        <v>233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-37.460000000000036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-4044.26</v>
      </c>
      <c r="C446" s="19" t="s">
        <v>411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'09'!A466+(B466-SUM(D466:F466))+(B469-550)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660.7391905564923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'09'!A468+(B468-SUM(D468:F468))</f>
        <v>213.4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1100</v>
      </c>
      <c r="C469" s="16" t="s">
        <v>411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863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1424.1391905564924</v>
      </c>
      <c r="B480" s="135">
        <f>SUM(B466:B479)</f>
        <v>1200.5091905564923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>
        <v>81.98</v>
      </c>
      <c r="F506" s="138"/>
      <c r="G506" s="16" t="s">
        <v>893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4" workbookViewId="0">
      <selection activeCell="E9" sqref="E9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4501.8900000000003</v>
      </c>
      <c r="L5" s="424"/>
      <c r="M5" s="1"/>
      <c r="N5" s="1"/>
      <c r="R5" s="3"/>
    </row>
    <row r="6" spans="1:22" ht="15.75">
      <c r="A6" s="112">
        <f>'10'!A6+(B6-SUM(D6:F6))</f>
        <v>6</v>
      </c>
      <c r="B6" s="133">
        <v>389.26</v>
      </c>
      <c r="C6" s="19" t="s">
        <v>833</v>
      </c>
      <c r="D6" s="137"/>
      <c r="E6" s="138">
        <v>389.26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620.14</v>
      </c>
      <c r="L6" s="426"/>
      <c r="M6" s="1" t="s">
        <v>165</v>
      </c>
      <c r="N6" s="1"/>
      <c r="R6" s="3"/>
    </row>
    <row r="7" spans="1:22" ht="15.75">
      <c r="A7" s="112">
        <f>'10'!A7+(B7-SUM(D7:F7))</f>
        <v>438.75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f>7374.65</f>
        <v>7374.65</v>
      </c>
      <c r="L7" s="426"/>
      <c r="M7" s="1"/>
      <c r="N7" s="1"/>
      <c r="R7" s="3"/>
    </row>
    <row r="8" spans="1:22" ht="15.75">
      <c r="A8" s="112">
        <f>'10'!A8+(B8-SUM(D8:F8))</f>
        <v>0</v>
      </c>
      <c r="B8" s="134">
        <v>97.88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6307.51</v>
      </c>
      <c r="L8" s="426"/>
      <c r="M8" s="1"/>
      <c r="N8" s="1"/>
      <c r="R8" s="3"/>
    </row>
    <row r="9" spans="1:22" ht="15.75">
      <c r="A9" s="112">
        <f>'10'!A9+(B9-SUM(D9:F9))</f>
        <v>-24.17</v>
      </c>
      <c r="B9" s="134">
        <v>0</v>
      </c>
      <c r="C9" s="16" t="s">
        <v>37</v>
      </c>
      <c r="D9" s="137"/>
      <c r="E9" s="138">
        <v>24.17</v>
      </c>
      <c r="F9" s="138"/>
      <c r="G9" s="16" t="s">
        <v>37</v>
      </c>
      <c r="H9" s="112"/>
      <c r="I9" s="108" t="s">
        <v>63</v>
      </c>
      <c r="J9" s="107" t="s">
        <v>157</v>
      </c>
      <c r="K9" s="425">
        <f>4292.78+2.31</f>
        <v>4295.09</v>
      </c>
      <c r="L9" s="426"/>
      <c r="M9" s="1"/>
      <c r="N9" s="1"/>
      <c r="R9" s="3"/>
    </row>
    <row r="10" spans="1:22" ht="15.75">
      <c r="A10" s="112">
        <f>'10'!A10+(B10-SUM(D10:F10))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'10'!A11+(B11-SUM(D11:F11))</f>
        <v>0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f>40+70</f>
        <v>110</v>
      </c>
      <c r="L11" s="426"/>
      <c r="M11" s="1"/>
      <c r="N11" s="1"/>
      <c r="R11" s="3"/>
    </row>
    <row r="12" spans="1:22" ht="15.75">
      <c r="A12" s="112">
        <f>'10'!A12+(B12-SUM(D12:F12))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</f>
        <v>5092.08</v>
      </c>
      <c r="L12" s="426"/>
      <c r="M12" s="92"/>
      <c r="N12" s="1"/>
      <c r="R12" s="3"/>
    </row>
    <row r="13" spans="1:22" ht="15.75">
      <c r="A13" s="112">
        <f>'10'!A13+(B13-SUM(D13:F13))</f>
        <v>57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30103.380000000005</v>
      </c>
      <c r="L19" s="441"/>
      <c r="M19" s="1"/>
      <c r="N19" s="1"/>
      <c r="R19" s="3"/>
    </row>
    <row r="20" spans="1:18" ht="16.5" thickBot="1">
      <c r="A20" s="112">
        <f>SUM(A6:A15)</f>
        <v>752.62</v>
      </c>
      <c r="B20" s="135">
        <f>SUM(B6:B19)</f>
        <v>603.05999999999995</v>
      </c>
      <c r="C20" s="17" t="s">
        <v>53</v>
      </c>
      <c r="D20" s="135">
        <f>SUM(D6:D19)</f>
        <v>0</v>
      </c>
      <c r="E20" s="135">
        <f>SUM(E6:E19)</f>
        <v>455.66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231">
        <v>2588.0700000000002</v>
      </c>
      <c r="M25" s="1"/>
      <c r="R25" s="3"/>
    </row>
    <row r="26" spans="1:18" ht="15.75">
      <c r="A26" s="112">
        <f>'10'!A26+(B26-SUM(D26:F26))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'10'!A27+(B27-SUM(D27:F27))</f>
        <v>50.079999999999927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'10'!A28+(B28-SUM(D28:F28))</f>
        <v>109.92000000000002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'10'!A29+(B29-SUM(D29:F29))</f>
        <v>1.0600000000000058</v>
      </c>
      <c r="B29" s="134">
        <v>18</v>
      </c>
      <c r="C29" s="27" t="s">
        <v>38</v>
      </c>
      <c r="D29" s="137">
        <v>18.62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429</v>
      </c>
      <c r="K30" s="406"/>
      <c r="L30" s="231">
        <v>151.59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687</v>
      </c>
      <c r="K31" s="408"/>
      <c r="L31" s="229">
        <v>151.19999999999999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/>
      <c r="K35" s="40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347.33999999999992</v>
      </c>
      <c r="B40" s="135">
        <f>SUM(B26:B39)</f>
        <v>1148</v>
      </c>
      <c r="C40" s="17" t="s">
        <v>53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 t="s">
        <v>899</v>
      </c>
      <c r="K40" s="406"/>
      <c r="L40" s="231">
        <f>21.42+21.42</f>
        <v>42.84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 t="s">
        <v>905</v>
      </c>
      <c r="K45" s="406"/>
      <c r="L45" s="231">
        <v>30</v>
      </c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904</v>
      </c>
      <c r="H46" s="1"/>
      <c r="I46" s="403"/>
      <c r="J46" s="407" t="s">
        <v>920</v>
      </c>
      <c r="K46" s="408"/>
      <c r="L46" s="229">
        <v>250</v>
      </c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916</v>
      </c>
      <c r="H47" s="1"/>
      <c r="I47" s="403"/>
      <c r="J47" s="407" t="s">
        <v>921</v>
      </c>
      <c r="K47" s="408"/>
      <c r="L47" s="229">
        <v>150</v>
      </c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918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924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929</v>
      </c>
      <c r="H50" s="1"/>
      <c r="I50" s="402" t="str">
        <f>AÑO!A13</f>
        <v>Gubernamental</v>
      </c>
      <c r="J50" s="405" t="s">
        <v>910</v>
      </c>
      <c r="K50" s="406"/>
      <c r="L50" s="231">
        <v>95.8</v>
      </c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934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936</v>
      </c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938</v>
      </c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>
        <v>54.45</v>
      </c>
      <c r="E54" s="138"/>
      <c r="F54" s="138"/>
      <c r="G54" s="16" t="s">
        <v>944</v>
      </c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>
        <v>21.88</v>
      </c>
      <c r="E55" s="138"/>
      <c r="F55" s="138"/>
      <c r="G55" s="16" t="s">
        <v>945</v>
      </c>
      <c r="H55" s="1"/>
      <c r="I55" s="402" t="str">
        <f>AÑO!A14</f>
        <v>Mutualite/DKV</v>
      </c>
      <c r="J55" s="405" t="s">
        <v>909</v>
      </c>
      <c r="K55" s="406"/>
      <c r="L55" s="231">
        <v>300</v>
      </c>
      <c r="M55" s="1"/>
      <c r="R55" s="3"/>
    </row>
    <row r="56" spans="1:18" ht="15.75">
      <c r="A56" s="1"/>
      <c r="B56" s="134"/>
      <c r="C56" s="16"/>
      <c r="D56" s="137">
        <v>8.98</v>
      </c>
      <c r="E56" s="138"/>
      <c r="F56" s="138"/>
      <c r="G56" s="16" t="s">
        <v>946</v>
      </c>
      <c r="H56" s="1"/>
      <c r="I56" s="403"/>
      <c r="J56" s="407" t="s">
        <v>688</v>
      </c>
      <c r="K56" s="408"/>
      <c r="L56" s="229">
        <f>20.27+14.27+21.94+14.27+22.27+38.17+35.22</f>
        <v>166.41</v>
      </c>
      <c r="M56" s="1"/>
      <c r="R56" s="3"/>
    </row>
    <row r="57" spans="1:18" ht="15.75">
      <c r="A57" s="1"/>
      <c r="B57" s="134"/>
      <c r="C57" s="16"/>
      <c r="D57" s="137">
        <v>18.21</v>
      </c>
      <c r="E57" s="138"/>
      <c r="F57" s="138"/>
      <c r="G57" s="16" t="s">
        <v>947</v>
      </c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499.71999999999997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902</v>
      </c>
      <c r="K60" s="406"/>
      <c r="L60" s="231">
        <v>647.88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'10'!A66+(B66-SUM(D66:F78))+B67</f>
        <v>104.53000000000006</v>
      </c>
      <c r="B66" s="133">
        <v>175</v>
      </c>
      <c r="C66" s="19" t="s">
        <v>33</v>
      </c>
      <c r="D66" s="137">
        <v>17.45</v>
      </c>
      <c r="E66" s="138"/>
      <c r="F66" s="138"/>
      <c r="G66" s="19" t="s">
        <v>903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919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923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931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930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939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53.819999999999993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158.35000000000005</v>
      </c>
      <c r="B80" s="233">
        <f>SUM(B66:B79)</f>
        <v>185</v>
      </c>
      <c r="C80" s="17" t="s">
        <v>53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43.28</v>
      </c>
      <c r="E86" s="138"/>
      <c r="F86" s="138"/>
      <c r="G86" s="16" t="s">
        <v>940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2.3800000000000523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288.52999999999992</v>
      </c>
      <c r="B108" s="134">
        <v>50</v>
      </c>
      <c r="C108" s="18" t="s">
        <v>187</v>
      </c>
      <c r="D108" s="137">
        <v>394.57</v>
      </c>
      <c r="E108" s="138"/>
      <c r="F108" s="138"/>
      <c r="G108" s="34" t="s">
        <v>943</v>
      </c>
      <c r="H108" s="1"/>
      <c r="M108" s="1"/>
      <c r="R108" s="3"/>
    </row>
    <row r="109" spans="1:18" ht="15.75">
      <c r="A109" s="112">
        <f>'10'!A109+(B109-SUM(D109:F109))</f>
        <v>3754.0415974244993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290.90999999999997</v>
      </c>
      <c r="B120" s="135">
        <f>SUM(B106:B119)</f>
        <v>457.47</v>
      </c>
      <c r="C120" s="17" t="s">
        <v>53</v>
      </c>
      <c r="D120" s="135">
        <f>SUM(D106:D119)</f>
        <v>721.95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'10'!A126+(B126-SUM(D126:F126))</f>
        <v>15</v>
      </c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'10'!A127+(B127-SUM(D127:F128))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D127+D128+'10'!I127</f>
        <v>170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'10'!A129+(B129-SUM(D129:F129))</f>
        <v>7.9999999999998295E-2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886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926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64.16</v>
      </c>
      <c r="E186" s="138"/>
      <c r="F186" s="138"/>
      <c r="G186" s="16" t="s">
        <v>932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9" ht="15.75">
      <c r="A257" s="112">
        <f>'10'!A257+(B257-SUM(D257:F257))</f>
        <v>323.44000000000005</v>
      </c>
      <c r="B257" s="134">
        <v>40</v>
      </c>
      <c r="C257" s="16" t="s">
        <v>865</v>
      </c>
      <c r="D257" s="137"/>
      <c r="E257" s="138">
        <v>100.67</v>
      </c>
      <c r="F257" s="138"/>
      <c r="G257" s="16" t="s">
        <v>404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401.91000000000008</v>
      </c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9" ht="15.75" thickBot="1">
      <c r="B261" s="5"/>
      <c r="C261" s="3"/>
      <c r="D261" s="5"/>
      <c r="E261" s="5"/>
    </row>
    <row r="262" spans="1:9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9" ht="15" customHeight="1" thickBot="1">
      <c r="B263" s="418"/>
      <c r="C263" s="419"/>
      <c r="D263" s="419"/>
      <c r="E263" s="419"/>
      <c r="F263" s="419"/>
      <c r="G263" s="420"/>
    </row>
    <row r="264" spans="1:9">
      <c r="B264" s="428" t="s">
        <v>8</v>
      </c>
      <c r="C264" s="429"/>
      <c r="D264" s="428" t="s">
        <v>9</v>
      </c>
      <c r="E264" s="430"/>
      <c r="F264" s="430"/>
      <c r="G264" s="429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1:8" ht="15" customHeight="1" thickBot="1">
      <c r="B283" s="418"/>
      <c r="C283" s="419"/>
      <c r="D283" s="419"/>
      <c r="E283" s="419"/>
      <c r="F283" s="419"/>
      <c r="G283" s="420"/>
    </row>
    <row r="284" spans="1:8">
      <c r="B284" s="428" t="s">
        <v>8</v>
      </c>
      <c r="C284" s="429"/>
      <c r="D284" s="428" t="s">
        <v>9</v>
      </c>
      <c r="E284" s="430"/>
      <c r="F284" s="430"/>
      <c r="G284" s="429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'10'!A286+(SUM(B286:B298)-SUM(D286:F298))</f>
        <v>78.459999999999809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218.45999999999981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1:8" ht="15" customHeight="1" thickBot="1">
      <c r="B303" s="418"/>
      <c r="C303" s="419"/>
      <c r="D303" s="419"/>
      <c r="E303" s="419"/>
      <c r="F303" s="419"/>
      <c r="G303" s="420"/>
    </row>
    <row r="304" spans="1:8">
      <c r="B304" s="428" t="s">
        <v>8</v>
      </c>
      <c r="C304" s="429"/>
      <c r="D304" s="428" t="s">
        <v>9</v>
      </c>
      <c r="E304" s="430"/>
      <c r="F304" s="430"/>
      <c r="G304" s="429"/>
    </row>
    <row r="305" spans="2:8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8">
      <c r="B306" s="133">
        <v>130</v>
      </c>
      <c r="C306" s="19" t="s">
        <v>721</v>
      </c>
      <c r="D306" s="137"/>
      <c r="E306" s="138"/>
      <c r="F306" s="138">
        <v>80</v>
      </c>
      <c r="G306" s="16" t="s">
        <v>908</v>
      </c>
    </row>
    <row r="307" spans="2:8">
      <c r="B307" s="134">
        <v>300</v>
      </c>
      <c r="C307" s="27" t="s">
        <v>912</v>
      </c>
      <c r="D307" s="137">
        <v>82.87</v>
      </c>
      <c r="E307" s="138"/>
      <c r="F307" s="138"/>
      <c r="G307" s="16" t="s">
        <v>911</v>
      </c>
    </row>
    <row r="308" spans="2:8">
      <c r="B308" s="134">
        <f>L56</f>
        <v>166.41</v>
      </c>
      <c r="C308" s="27" t="s">
        <v>465</v>
      </c>
      <c r="D308" s="137">
        <v>33</v>
      </c>
      <c r="E308" s="138"/>
      <c r="F308" s="138"/>
      <c r="G308" s="16" t="s">
        <v>915</v>
      </c>
    </row>
    <row r="309" spans="2:8">
      <c r="B309" s="134"/>
      <c r="C309" s="16"/>
      <c r="D309" s="137">
        <v>40.18</v>
      </c>
      <c r="E309" s="138"/>
      <c r="F309" s="138"/>
      <c r="G309" s="16" t="s">
        <v>917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922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925</v>
      </c>
    </row>
    <row r="312" spans="2:8">
      <c r="B312" s="134"/>
      <c r="C312" s="16"/>
      <c r="D312" s="137">
        <v>50</v>
      </c>
      <c r="E312" s="138"/>
      <c r="F312" s="138"/>
      <c r="G312" s="16" t="s">
        <v>928</v>
      </c>
    </row>
    <row r="313" spans="2:8">
      <c r="B313" s="134"/>
      <c r="C313" s="16"/>
      <c r="D313" s="137"/>
      <c r="E313" s="138"/>
      <c r="F313" s="138">
        <v>50</v>
      </c>
      <c r="G313" s="16" t="s">
        <v>948</v>
      </c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596.41</v>
      </c>
      <c r="C320" s="17" t="s">
        <v>53</v>
      </c>
      <c r="D320" s="135">
        <f>SUM(D306:D319)</f>
        <v>239.05</v>
      </c>
      <c r="E320" s="135">
        <f>SUM(E306:E319)</f>
        <v>0</v>
      </c>
      <c r="F320" s="135">
        <f>SUM(F306:F319)</f>
        <v>280</v>
      </c>
      <c r="G320" s="17" t="s">
        <v>53</v>
      </c>
    </row>
    <row r="321" spans="2:7" ht="15.75" thickBot="1"/>
    <row r="322" spans="2:7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907</v>
      </c>
    </row>
    <row r="327" spans="2:7">
      <c r="B327" s="134">
        <v>30</v>
      </c>
      <c r="C327" s="16" t="s">
        <v>906</v>
      </c>
      <c r="D327" s="137"/>
      <c r="E327" s="138"/>
      <c r="F327" s="138"/>
      <c r="G327" s="16"/>
    </row>
    <row r="328" spans="2:7">
      <c r="B328" s="134">
        <v>250</v>
      </c>
      <c r="C328" s="16" t="s">
        <v>920</v>
      </c>
      <c r="D328" s="137"/>
      <c r="E328" s="138"/>
      <c r="F328" s="138"/>
      <c r="G328" s="16"/>
    </row>
    <row r="329" spans="2:7">
      <c r="B329" s="134">
        <v>150</v>
      </c>
      <c r="C329" s="16" t="s">
        <v>921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'10'!A346+(B346-SUM(D346:F357))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864</v>
      </c>
      <c r="D359" s="135">
        <v>65</v>
      </c>
      <c r="E359" s="139"/>
      <c r="F359" s="139"/>
      <c r="G359" s="17" t="s">
        <v>898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53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4.5+3.5</f>
        <v>8</v>
      </c>
      <c r="G366" s="31" t="s">
        <v>67</v>
      </c>
    </row>
    <row r="367" spans="1:7">
      <c r="B367" s="134"/>
      <c r="C367" s="16"/>
      <c r="D367" s="137">
        <v>44.53</v>
      </c>
      <c r="E367" s="138"/>
      <c r="F367" s="138"/>
      <c r="G367" s="31" t="s">
        <v>927</v>
      </c>
    </row>
    <row r="368" spans="1:7">
      <c r="B368" s="134"/>
      <c r="C368" s="16"/>
      <c r="D368" s="137">
        <v>34</v>
      </c>
      <c r="E368" s="138"/>
      <c r="F368" s="138"/>
      <c r="G368" s="16" t="s">
        <v>935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78.53</v>
      </c>
      <c r="E380" s="135">
        <f>SUM(E366:E379)</f>
        <v>0</v>
      </c>
      <c r="F380" s="135">
        <f>SUM(F366:F379)</f>
        <v>8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897</v>
      </c>
    </row>
    <row r="407" spans="2:7">
      <c r="B407" s="134">
        <v>42.84</v>
      </c>
      <c r="C407" s="16" t="s">
        <v>899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53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AÑO!AQ17</f>
        <v>4573.79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-363.34000000000015</v>
      </c>
      <c r="C426" s="19" t="s">
        <v>233</v>
      </c>
      <c r="D426" s="137"/>
      <c r="E426" s="138"/>
      <c r="F426" s="138"/>
      <c r="G426" s="16"/>
    </row>
    <row r="427" spans="1:7">
      <c r="A427" s="113">
        <v>42.84</v>
      </c>
      <c r="B427" s="134">
        <v>-57.1</v>
      </c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166.41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-420.44000000000017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'10'!A467+(B467-SUM(D467:F467))</f>
        <v>732.08919055649233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'10'!A468+(B468-SUM(D468:F468))</f>
        <v>228.4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1510.4891905564923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10</v>
      </c>
      <c r="G506" s="16" t="s">
        <v>937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97" workbookViewId="0">
      <selection activeCell="B102" sqref="B102:G10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5609</v>
      </c>
      <c r="L5" s="424"/>
      <c r="M5" s="1"/>
      <c r="N5" s="1"/>
      <c r="R5" s="3"/>
    </row>
    <row r="6" spans="1:22" ht="15.75">
      <c r="A6" s="112">
        <f>'11'!A6+(B6-SUM(D6:F6))</f>
        <v>395.26</v>
      </c>
      <c r="B6" s="133">
        <v>389.26</v>
      </c>
      <c r="C6" s="19" t="s">
        <v>833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5">
        <v>620.14</v>
      </c>
      <c r="L6" s="426"/>
      <c r="M6" s="1" t="s">
        <v>165</v>
      </c>
      <c r="N6" s="1"/>
      <c r="R6" s="3"/>
    </row>
    <row r="7" spans="1:22" ht="15.75">
      <c r="A7" s="112">
        <f>'11'!A7+(B7-SUM(D7:F7))</f>
        <v>505.93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6749.51</v>
      </c>
      <c r="L7" s="426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6307.51</v>
      </c>
      <c r="L8" s="426"/>
      <c r="M8" s="1"/>
      <c r="N8" s="1"/>
      <c r="R8" s="3"/>
    </row>
    <row r="9" spans="1:22" ht="15.75">
      <c r="A9" s="112">
        <f>'11'!A9+(B9-SUM(D9:F9))</f>
        <v>0</v>
      </c>
      <c r="B9" s="134">
        <v>24.17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v>4335.62</v>
      </c>
      <c r="L9" s="426"/>
      <c r="M9" s="1"/>
      <c r="N9" s="1"/>
      <c r="R9" s="3"/>
    </row>
    <row r="10" spans="1:22" ht="15.75">
      <c r="A10" s="112">
        <f>'11'!A10+(B10-SUM(D10:F10))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'11'!A11+(B11-SUM(D11:F11))</f>
        <v>30.24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5">
        <v>170</v>
      </c>
      <c r="L11" s="426"/>
      <c r="M11" s="1"/>
      <c r="N11" s="1"/>
      <c r="R11" s="3"/>
    </row>
    <row r="12" spans="1:22" ht="15.75">
      <c r="A12" s="112">
        <f>'11'!A12+(B12-SUM(D12:F12))</f>
        <v>0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</f>
        <v>5092.08</v>
      </c>
      <c r="L12" s="426"/>
      <c r="M12" s="92"/>
      <c r="N12" s="1"/>
      <c r="R12" s="3"/>
    </row>
    <row r="13" spans="1:22" ht="15.75">
      <c r="A13" s="112">
        <f>'11'!A13+(B13-SUM(D13:F13))</f>
        <v>63.5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30685.880000000005</v>
      </c>
      <c r="L19" s="441"/>
      <c r="M19" s="1"/>
      <c r="N19" s="1"/>
      <c r="R19" s="3"/>
    </row>
    <row r="20" spans="1:18" ht="16.5" thickBot="1">
      <c r="A20" s="112">
        <f>SUM(A6:A15)</f>
        <v>1006.9300000000001</v>
      </c>
      <c r="B20" s="135">
        <f>SUM(B6:B19)</f>
        <v>266.31</v>
      </c>
      <c r="C20" s="17" t="s">
        <v>53</v>
      </c>
      <c r="D20" s="135">
        <f>SUM(D6:D19)</f>
        <v>0</v>
      </c>
      <c r="E20" s="135">
        <f>SUM(E6:E19)</f>
        <v>12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23791.780000000006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231"/>
      <c r="M25" s="1"/>
      <c r="R25" s="3"/>
    </row>
    <row r="26" spans="1:18" ht="15.75">
      <c r="A26" s="112">
        <f>'11'!A26+(B26-SUM(D26:F26))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'11'!A27+(B27-SUM(D27:F27))</f>
        <v>240.07999999999993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'11'!A28+(B28-SUM(D28:F28))</f>
        <v>149.92000000000002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'11'!A29+(B29-SUM(D29:F29))</f>
        <v>19.060000000000006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'11'!A30+(B30-SUM(D30:F30))</f>
        <v>191.27999999999997</v>
      </c>
      <c r="B30" s="134">
        <v>5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429</v>
      </c>
      <c r="K30" s="406"/>
      <c r="L30" s="231">
        <v>71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/>
      <c r="K31" s="408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/>
      <c r="K35" s="40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1500.34</v>
      </c>
      <c r="B40" s="135">
        <f>SUM(B26:B39)</f>
        <v>1153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75">
      <c r="A46" s="1"/>
      <c r="B46" s="133">
        <v>315</v>
      </c>
      <c r="C46" s="19"/>
      <c r="D46" s="137">
        <v>83.6</v>
      </c>
      <c r="E46" s="138"/>
      <c r="F46" s="138"/>
      <c r="G46" s="30" t="s">
        <v>949</v>
      </c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/>
      <c r="C47" s="16"/>
      <c r="D47" s="137">
        <v>25</v>
      </c>
      <c r="E47" s="138"/>
      <c r="F47" s="138"/>
      <c r="G47" s="16" t="s">
        <v>951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/>
      <c r="D48" s="137">
        <v>25.88</v>
      </c>
      <c r="E48" s="138"/>
      <c r="F48" s="138"/>
      <c r="G48" s="16" t="s">
        <v>959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>
        <v>1.85</v>
      </c>
      <c r="E49" s="138"/>
      <c r="F49" s="138"/>
      <c r="G49" s="16" t="s">
        <v>962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35.19</v>
      </c>
      <c r="E50" s="138"/>
      <c r="F50" s="138"/>
      <c r="G50" s="16" t="s">
        <v>963</v>
      </c>
      <c r="H50" s="1"/>
      <c r="I50" s="402" t="str">
        <f>AÑO!A13</f>
        <v>Gubernamental</v>
      </c>
      <c r="J50" s="405" t="s">
        <v>910</v>
      </c>
      <c r="K50" s="406"/>
      <c r="L50" s="231">
        <v>273.07</v>
      </c>
      <c r="M50" s="1"/>
      <c r="R50" s="3"/>
    </row>
    <row r="51" spans="1:18" ht="15.75">
      <c r="A51" s="1"/>
      <c r="B51" s="134"/>
      <c r="C51" s="16"/>
      <c r="D51" s="137">
        <v>28.54</v>
      </c>
      <c r="E51" s="138"/>
      <c r="F51" s="138"/>
      <c r="G51" s="16" t="s">
        <v>965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>
        <v>59.92</v>
      </c>
      <c r="E52" s="138"/>
      <c r="F52" s="138"/>
      <c r="G52" s="16" t="s">
        <v>967</v>
      </c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05" t="s">
        <v>688</v>
      </c>
      <c r="K55" s="406"/>
      <c r="L55" s="231">
        <f>18.04+82.87</f>
        <v>100.91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53</v>
      </c>
      <c r="D60" s="135">
        <f>SUM(D46:D59)</f>
        <v>259.97999999999996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954</v>
      </c>
      <c r="K60" s="406"/>
      <c r="L60" s="231">
        <v>574.16999999999996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'11'!A66+(B66-SUM(D66:F78))+B67</f>
        <v>279.53000000000009</v>
      </c>
      <c r="B66" s="133">
        <v>175</v>
      </c>
      <c r="C66" s="19" t="s">
        <v>33</v>
      </c>
      <c r="D66" s="137"/>
      <c r="E66" s="138"/>
      <c r="F66" s="138"/>
      <c r="G66" s="19"/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63.819999999999993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343.35000000000008</v>
      </c>
      <c r="B80" s="233">
        <f>SUM(B66:B79)</f>
        <v>185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36.89</v>
      </c>
      <c r="E86" s="138"/>
      <c r="F86" s="138"/>
      <c r="G86" s="16" t="s">
        <v>957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36.89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1.0200000000000529</v>
      </c>
      <c r="B107" s="134">
        <v>69</v>
      </c>
      <c r="C107" s="18" t="s">
        <v>45</v>
      </c>
      <c r="D107" s="137">
        <v>70.36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288.52999999999992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950</v>
      </c>
      <c r="H108" s="1"/>
      <c r="M108" s="1"/>
      <c r="R108" s="3"/>
    </row>
    <row r="109" spans="1:18" ht="15.75">
      <c r="A109" s="112">
        <f>'11'!A109+(B109-SUM(D109:F109))</f>
        <v>3834.0415974244993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289.54999999999995</v>
      </c>
      <c r="B120" s="135">
        <f>SUM(B106:B119)</f>
        <v>457.47</v>
      </c>
      <c r="C120" s="17" t="s">
        <v>53</v>
      </c>
      <c r="D120" s="135">
        <f>SUM(D106:D119)</f>
        <v>378.83000000000004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'11'!A126+(B126-SUM(D126:F126))</f>
        <v>42.5</v>
      </c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'11'!A127+(B127-SUM(D127:F128))</f>
        <v>27.5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D127+D128+'11'!I127</f>
        <v>170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'11'!A129+(B129-SUM(D129:F129))</f>
        <v>8.9999999999998082E-2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886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70</v>
      </c>
      <c r="B140" s="135">
        <f>SUM(B126:B139)</f>
        <v>68</v>
      </c>
      <c r="C140" s="17" t="s">
        <v>53</v>
      </c>
      <c r="D140" s="135">
        <f>SUM(D126:D139)</f>
        <v>0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942</v>
      </c>
      <c r="D186" s="137">
        <v>35.97</v>
      </c>
      <c r="E186" s="138"/>
      <c r="F186" s="138"/>
      <c r="G186" s="16" t="s">
        <v>964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>
        <v>10.5</v>
      </c>
      <c r="E187" s="138"/>
      <c r="F187" s="138"/>
      <c r="G187" s="16" t="s">
        <v>966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22.98</v>
      </c>
      <c r="F188" s="138"/>
      <c r="G188" s="16" t="s">
        <v>968</v>
      </c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53</v>
      </c>
      <c r="D200" s="135">
        <f>SUM(D186:D199)</f>
        <v>46.47</v>
      </c>
      <c r="E200" s="135">
        <f>SUM(E186:E199)</f>
        <v>22.98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103.17</v>
      </c>
      <c r="F206" s="138"/>
      <c r="G206" s="16" t="s">
        <v>955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103.17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'11'!A246+(B246-SUM(D246:F255))</f>
        <v>78.47</v>
      </c>
      <c r="B246" s="134">
        <v>50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70</v>
      </c>
      <c r="B256" s="134">
        <f>5+15</f>
        <v>20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'11'!A257+(B257-SUM(D257:F257))</f>
        <v>503.44000000000005</v>
      </c>
      <c r="B257" s="134">
        <f>40+140</f>
        <v>180</v>
      </c>
      <c r="C257" s="16" t="s">
        <v>914</v>
      </c>
      <c r="D257" s="137"/>
      <c r="E257" s="138"/>
      <c r="F257" s="138"/>
      <c r="G257" s="16" t="s">
        <v>404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651.91000000000008</v>
      </c>
      <c r="B260" s="135">
        <f>SUM(B246:B259)</f>
        <v>250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40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1:8" ht="15" customHeight="1" thickBot="1">
      <c r="B283" s="418"/>
      <c r="C283" s="419"/>
      <c r="D283" s="419"/>
      <c r="E283" s="419"/>
      <c r="F283" s="419"/>
      <c r="G283" s="420"/>
    </row>
    <row r="284" spans="1:8">
      <c r="B284" s="428" t="s">
        <v>8</v>
      </c>
      <c r="C284" s="429"/>
      <c r="D284" s="428" t="s">
        <v>9</v>
      </c>
      <c r="E284" s="430"/>
      <c r="F284" s="430"/>
      <c r="G284" s="429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'11'!A286+(SUM(B286:B298)-SUM(D286:F298))</f>
        <v>128.45999999999981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-131</v>
      </c>
      <c r="B299" s="135">
        <f>40+5</f>
        <v>45</v>
      </c>
      <c r="C299" s="17" t="s">
        <v>765</v>
      </c>
      <c r="D299" s="135"/>
      <c r="E299" s="139">
        <v>316</v>
      </c>
      <c r="F299" s="139"/>
      <c r="G299" s="17" t="s">
        <v>956</v>
      </c>
    </row>
    <row r="300" spans="1:8" ht="16.5" thickBot="1">
      <c r="A300" s="112">
        <f>SUM(A286:A299)</f>
        <v>-2.540000000000191</v>
      </c>
      <c r="B300" s="135">
        <f>SUM(B286:B299)</f>
        <v>95</v>
      </c>
      <c r="C300" s="17" t="s">
        <v>53</v>
      </c>
      <c r="D300" s="135">
        <f>SUM(D286:D299)</f>
        <v>0</v>
      </c>
      <c r="E300" s="135">
        <f>SUM(E286:E299)</f>
        <v>316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1:8" ht="15" customHeight="1" thickBot="1">
      <c r="B303" s="418"/>
      <c r="C303" s="419"/>
      <c r="D303" s="419"/>
      <c r="E303" s="419"/>
      <c r="F303" s="419"/>
      <c r="G303" s="420"/>
    </row>
    <row r="304" spans="1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>
        <v>50</v>
      </c>
      <c r="G306" s="16" t="s">
        <v>953</v>
      </c>
    </row>
    <row r="307" spans="2:7">
      <c r="B307" s="134">
        <f>L55</f>
        <v>100.91</v>
      </c>
      <c r="C307" s="27" t="s">
        <v>688</v>
      </c>
      <c r="D307" s="137">
        <v>6</v>
      </c>
      <c r="E307" s="138"/>
      <c r="F307" s="138"/>
      <c r="G307" s="16" t="s">
        <v>958</v>
      </c>
    </row>
    <row r="308" spans="2:7">
      <c r="B308" s="134"/>
      <c r="C308" s="27"/>
      <c r="D308" s="137"/>
      <c r="E308" s="138"/>
      <c r="F308" s="138">
        <v>150</v>
      </c>
      <c r="G308" s="16" t="s">
        <v>961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230.91</v>
      </c>
      <c r="C320" s="17" t="s">
        <v>53</v>
      </c>
      <c r="D320" s="135">
        <f>SUM(D306:D319)</f>
        <v>6</v>
      </c>
      <c r="E320" s="135">
        <f>SUM(E306:E319)</f>
        <v>0</v>
      </c>
      <c r="F320" s="135">
        <f>SUM(F306:F319)</f>
        <v>200</v>
      </c>
      <c r="G320" s="17" t="s">
        <v>53</v>
      </c>
    </row>
    <row r="321" spans="2:7" ht="15.75" thickBot="1"/>
    <row r="322" spans="2:7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'11'!A346+(B346-SUM(D346:F357))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864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60</v>
      </c>
      <c r="C366" s="19" t="s">
        <v>33</v>
      </c>
      <c r="D366" s="137"/>
      <c r="E366" s="138"/>
      <c r="F366" s="138">
        <f>4.5+4+3.5+4.7</f>
        <v>16.7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16.7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2.3199999999999998</v>
      </c>
      <c r="E406" s="138"/>
      <c r="F406" s="138"/>
      <c r="G406" s="16" t="s">
        <v>952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2.3199999999999998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AÑO!AU17</f>
        <v>1019.15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-3005.93</v>
      </c>
      <c r="C426" s="19" t="s">
        <v>233</v>
      </c>
      <c r="D426" s="137"/>
      <c r="E426" s="138"/>
      <c r="F426" s="138"/>
      <c r="G426" s="16"/>
    </row>
    <row r="427" spans="1:7">
      <c r="A427" s="113">
        <f>L55</f>
        <v>100.91</v>
      </c>
      <c r="B427" s="134"/>
      <c r="C427" s="16"/>
      <c r="D427" s="137"/>
      <c r="E427" s="138"/>
      <c r="F427" s="138"/>
      <c r="G427" s="16"/>
    </row>
    <row r="428" spans="1:7">
      <c r="A428" s="113">
        <v>24.17</v>
      </c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-3005.93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'11'!A467+(B467-SUM(D467:F467))</f>
        <v>866.47919055649231</v>
      </c>
      <c r="B467" s="134">
        <f>71.35+63.04</f>
        <v>134.38999999999999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'11'!A468+(B468-SUM(D468:F468))</f>
        <v>238.4</v>
      </c>
      <c r="B468" s="134">
        <v>10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1654.8791905564924</v>
      </c>
      <c r="B480" s="135">
        <f>SUM(B466:B479)</f>
        <v>144.38999999999999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5</v>
      </c>
      <c r="C506" s="19" t="s">
        <v>941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3"/>
  <sheetViews>
    <sheetView topLeftCell="A13" workbookViewId="0">
      <selection activeCell="E27" sqref="E27"/>
    </sheetView>
  </sheetViews>
  <sheetFormatPr defaultColWidth="11" defaultRowHeight="15"/>
  <cols>
    <col min="3" max="3" width="14.140625" customWidth="1"/>
    <col min="4" max="4" width="18" customWidth="1"/>
    <col min="8" max="8" width="17.7109375" bestFit="1" customWidth="1"/>
    <col min="11" max="11" width="12" bestFit="1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148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148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148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E27" t="s">
        <v>148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workbookViewId="0">
      <selection activeCell="H20" sqref="H20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89</v>
      </c>
      <c r="B2" s="42"/>
      <c r="C2" s="114"/>
      <c r="E2" s="42"/>
    </row>
    <row r="3" spans="1:14" ht="12.75" customHeight="1">
      <c r="A3" t="s">
        <v>180</v>
      </c>
      <c r="B3" s="114">
        <f>Historico!I25</f>
        <v>43739</v>
      </c>
      <c r="D3" s="44"/>
      <c r="E3" s="45"/>
    </row>
    <row r="4" spans="1:14" ht="12.75" customHeight="1">
      <c r="A4" t="s">
        <v>179</v>
      </c>
      <c r="B4" s="119">
        <v>127806.25</v>
      </c>
      <c r="C4" s="114"/>
      <c r="E4" s="41"/>
    </row>
    <row r="5" spans="1:14" ht="12.75" customHeight="1">
      <c r="A5" t="s">
        <v>90</v>
      </c>
      <c r="B5" s="46">
        <f>Historico!H83</f>
        <v>335</v>
      </c>
      <c r="E5" s="42"/>
      <c r="J5" s="47" t="s">
        <v>91</v>
      </c>
      <c r="L5" s="44" t="s">
        <v>92</v>
      </c>
      <c r="M5" t="s">
        <v>93</v>
      </c>
      <c r="N5" t="s">
        <v>763</v>
      </c>
    </row>
    <row r="6" spans="1:14" ht="12.75" customHeight="1">
      <c r="A6" t="s">
        <v>94</v>
      </c>
      <c r="B6" s="48">
        <f>E19</f>
        <v>-0.35599999999999998</v>
      </c>
      <c r="C6" s="44" t="s">
        <v>95</v>
      </c>
      <c r="D6" s="43" t="s">
        <v>96</v>
      </c>
      <c r="E6" s="42"/>
      <c r="J6" t="s">
        <v>97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98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183</v>
      </c>
      <c r="E8" s="50">
        <f>(B6+0.5)/12</f>
        <v>1.2000000000000002E-2</v>
      </c>
      <c r="J8" t="s">
        <v>99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309</v>
      </c>
      <c r="B9" s="114">
        <v>54117</v>
      </c>
      <c r="D9" t="s">
        <v>100</v>
      </c>
      <c r="E9" s="50">
        <f>1+(E8/100)</f>
        <v>1.0001199999999999</v>
      </c>
      <c r="J9" t="s">
        <v>101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102</v>
      </c>
      <c r="E10" s="50">
        <f>E9^-B5</f>
        <v>0.96059961725716858</v>
      </c>
      <c r="J10" t="s">
        <v>103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104</v>
      </c>
      <c r="B11" s="42"/>
      <c r="D11" t="s">
        <v>105</v>
      </c>
      <c r="E11" s="50">
        <f>100*(1-E10)</f>
        <v>3.9400382742831419</v>
      </c>
      <c r="J11" t="s">
        <v>106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107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108</v>
      </c>
      <c r="B14" s="55">
        <f>B4*(E8/100)</f>
        <v>15.336750000000002</v>
      </c>
      <c r="E14" s="42"/>
    </row>
    <row r="15" spans="1:14" ht="12.75" customHeight="1">
      <c r="A15" t="s">
        <v>109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-0.35599999999999998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115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19" workbookViewId="0">
      <selection activeCell="I82" sqref="I82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125</v>
      </c>
      <c r="G85" s="68">
        <f>SUM(G2:G82)</f>
        <v>70882.595055588739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8"/>
  <sheetViews>
    <sheetView topLeftCell="I13" workbookViewId="0">
      <selection activeCell="P33" sqref="P33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500</v>
      </c>
      <c r="B1" s="240"/>
      <c r="C1" s="241"/>
      <c r="D1" s="320"/>
      <c r="E1" s="242"/>
      <c r="F1" s="243" t="s">
        <v>501</v>
      </c>
      <c r="G1" s="244"/>
      <c r="H1" s="244"/>
      <c r="I1" s="244"/>
      <c r="J1" s="244"/>
      <c r="K1" s="245" t="s">
        <v>502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503</v>
      </c>
      <c r="B2" s="252" t="s">
        <v>504</v>
      </c>
      <c r="C2" s="252" t="s">
        <v>505</v>
      </c>
      <c r="D2" s="321" t="s">
        <v>560</v>
      </c>
      <c r="E2" s="252" t="s">
        <v>506</v>
      </c>
      <c r="F2" s="253" t="s">
        <v>507</v>
      </c>
      <c r="G2" s="254" t="s">
        <v>508</v>
      </c>
      <c r="H2" s="254" t="s">
        <v>509</v>
      </c>
      <c r="I2" s="254" t="s">
        <v>510</v>
      </c>
      <c r="J2" s="254" t="s">
        <v>7</v>
      </c>
      <c r="K2" s="255" t="s">
        <v>507</v>
      </c>
      <c r="L2" s="256" t="s">
        <v>508</v>
      </c>
      <c r="M2" s="256" t="s">
        <v>510</v>
      </c>
      <c r="N2" s="257" t="s">
        <v>7</v>
      </c>
      <c r="O2" s="258" t="s">
        <v>7</v>
      </c>
      <c r="P2" s="259" t="s">
        <v>511</v>
      </c>
      <c r="Q2" s="259" t="s">
        <v>862</v>
      </c>
      <c r="R2" s="259" t="s">
        <v>95</v>
      </c>
      <c r="S2" s="260" t="s">
        <v>512</v>
      </c>
      <c r="T2" s="261"/>
    </row>
    <row r="3" spans="1:27">
      <c r="A3" s="262" t="s">
        <v>513</v>
      </c>
      <c r="B3" s="262" t="s">
        <v>514</v>
      </c>
      <c r="C3" s="263">
        <v>5600</v>
      </c>
      <c r="D3" s="322">
        <f ca="1">_xlfn.DAYS(K3,F3)</f>
        <v>1600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43809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534</v>
      </c>
    </row>
    <row r="4" spans="1:27">
      <c r="A4" s="262" t="s">
        <v>515</v>
      </c>
      <c r="B4" s="262" t="s">
        <v>411</v>
      </c>
      <c r="C4" s="263">
        <v>4090</v>
      </c>
      <c r="D4" s="322">
        <f ca="1">_xlfn.DAYS(K4,F4)</f>
        <v>204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43809</v>
      </c>
      <c r="L4" s="302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534</v>
      </c>
      <c r="T4" s="340"/>
    </row>
    <row r="5" spans="1:27">
      <c r="A5" s="262" t="s">
        <v>515</v>
      </c>
      <c r="B5" s="262" t="s">
        <v>516</v>
      </c>
      <c r="C5" s="263">
        <v>5100</v>
      </c>
      <c r="D5" s="322">
        <f ca="1">_xlfn.DAYS(K5,F5)</f>
        <v>655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43809</v>
      </c>
      <c r="L5" s="302">
        <v>29.8</v>
      </c>
      <c r="M5" s="264">
        <f>(H5*L5)</f>
        <v>5840.8</v>
      </c>
      <c r="N5" s="264">
        <f>-(IF((M5*0.0075)&lt;30,30,(M5*0.0075)) + (M5*0.0035))</f>
        <v>-64.248800000000003</v>
      </c>
      <c r="O5" s="272">
        <f>J5+N5</f>
        <v>-120.26168</v>
      </c>
      <c r="P5" s="273">
        <f>M5-E5+N5</f>
        <v>628.45832000000007</v>
      </c>
      <c r="Q5" s="273">
        <f t="shared" ref="Q5:Q9" si="0">M5+N5</f>
        <v>5776.5511999999999</v>
      </c>
      <c r="R5" s="274">
        <f>P5/E5</f>
        <v>0.12207594824901451</v>
      </c>
      <c r="S5" s="275" t="s">
        <v>534</v>
      </c>
      <c r="T5" s="340">
        <v>43770</v>
      </c>
    </row>
    <row r="6" spans="1:27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4"/>
      <c r="B10" s="445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  <c r="S10" s="445"/>
    </row>
    <row r="11" spans="1:27">
      <c r="A11" s="446" t="s">
        <v>517</v>
      </c>
      <c r="B11" s="447"/>
      <c r="C11" s="447"/>
      <c r="D11" s="447"/>
      <c r="E11" s="447"/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  <c r="S11" s="447"/>
    </row>
    <row r="12" spans="1:27">
      <c r="A12" s="290" t="s">
        <v>503</v>
      </c>
      <c r="B12" s="290" t="s">
        <v>504</v>
      </c>
      <c r="C12" s="290" t="s">
        <v>505</v>
      </c>
      <c r="D12" s="324" t="s">
        <v>560</v>
      </c>
      <c r="E12" s="290" t="s">
        <v>506</v>
      </c>
      <c r="F12" s="291" t="s">
        <v>507</v>
      </c>
      <c r="G12" s="292" t="s">
        <v>508</v>
      </c>
      <c r="H12" s="292" t="s">
        <v>509</v>
      </c>
      <c r="I12" s="292" t="s">
        <v>510</v>
      </c>
      <c r="J12" s="292" t="s">
        <v>7</v>
      </c>
      <c r="K12" s="293" t="s">
        <v>507</v>
      </c>
      <c r="L12" s="294" t="s">
        <v>508</v>
      </c>
      <c r="M12" s="294" t="s">
        <v>510</v>
      </c>
      <c r="N12" s="295" t="s">
        <v>7</v>
      </c>
      <c r="O12" s="296" t="s">
        <v>7</v>
      </c>
      <c r="P12" s="297" t="s">
        <v>511</v>
      </c>
      <c r="Q12" s="297" t="s">
        <v>862</v>
      </c>
      <c r="R12" s="297" t="s">
        <v>95</v>
      </c>
      <c r="S12" s="298" t="s">
        <v>512</v>
      </c>
      <c r="T12" s="339" t="s">
        <v>603</v>
      </c>
      <c r="U12" s="339" t="s">
        <v>780</v>
      </c>
      <c r="X12" s="330" t="s">
        <v>530</v>
      </c>
      <c r="Y12" s="330" t="s">
        <v>531</v>
      </c>
      <c r="Z12" s="330" t="s">
        <v>532</v>
      </c>
      <c r="AA12" s="330" t="s">
        <v>533</v>
      </c>
    </row>
    <row r="13" spans="1:27">
      <c r="A13" s="262" t="s">
        <v>513</v>
      </c>
      <c r="B13" s="262" t="s">
        <v>518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518</v>
      </c>
      <c r="T13" s="59">
        <f>R13+R14</f>
        <v>-4.7120556421087471E-2</v>
      </c>
      <c r="X13" s="39">
        <f t="shared" ref="X13:X41" ca="1" si="1">D13/D$43</f>
        <v>3.5734870317002884E-2</v>
      </c>
      <c r="Y13" s="119">
        <f ca="1">X13*E13</f>
        <v>143.62805469740636</v>
      </c>
      <c r="Z13" s="38"/>
    </row>
    <row r="14" spans="1:27">
      <c r="A14" s="262" t="s">
        <v>513</v>
      </c>
      <c r="B14" s="262" t="s">
        <v>518</v>
      </c>
      <c r="C14" s="263"/>
      <c r="D14" s="322">
        <f t="shared" ref="D14:D35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519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513</v>
      </c>
      <c r="B15" s="262" t="s">
        <v>520</v>
      </c>
      <c r="C15" s="263"/>
      <c r="D15" s="322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520</v>
      </c>
      <c r="X15" s="39">
        <f t="shared" ca="1" si="1"/>
        <v>3.1700288184438041E-2</v>
      </c>
      <c r="Y15" s="119">
        <f t="shared" ca="1" si="3"/>
        <v>0</v>
      </c>
    </row>
    <row r="16" spans="1:27">
      <c r="A16" s="262" t="s">
        <v>513</v>
      </c>
      <c r="B16" s="262" t="s">
        <v>521</v>
      </c>
      <c r="C16" s="263"/>
      <c r="D16" s="322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521</v>
      </c>
      <c r="X16" s="39">
        <f t="shared" ca="1" si="1"/>
        <v>8.0691642651296823E-3</v>
      </c>
      <c r="Y16" s="119">
        <f t="shared" ca="1" si="3"/>
        <v>0</v>
      </c>
    </row>
    <row r="17" spans="1:25">
      <c r="A17" s="262"/>
      <c r="B17" s="262"/>
      <c r="C17" s="263"/>
      <c r="D17" s="322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522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2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523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513</v>
      </c>
      <c r="B19" s="262" t="s">
        <v>521</v>
      </c>
      <c r="C19" s="263">
        <v>4400</v>
      </c>
      <c r="D19" s="322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521</v>
      </c>
      <c r="T19" s="59">
        <f>R19+R21+R24</f>
        <v>0.24013324659263452</v>
      </c>
      <c r="X19" s="39">
        <f t="shared" ca="1" si="1"/>
        <v>0.50086455331412105</v>
      </c>
      <c r="Y19" s="119">
        <f t="shared" ca="1" si="3"/>
        <v>2215.5242250605193</v>
      </c>
    </row>
    <row r="20" spans="1:25">
      <c r="A20" s="262" t="s">
        <v>513</v>
      </c>
      <c r="B20" s="262" t="s">
        <v>521</v>
      </c>
      <c r="C20" s="263">
        <v>605</v>
      </c>
      <c r="D20" s="322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5" si="4">M20+N20</f>
        <v>2575.34</v>
      </c>
      <c r="R20" s="274">
        <f>P20/E20</f>
        <v>3.2879453879453884</v>
      </c>
      <c r="S20" s="275" t="s">
        <v>561</v>
      </c>
      <c r="X20" s="39">
        <f t="shared" ca="1" si="1"/>
        <v>0.36426512968299712</v>
      </c>
      <c r="Y20" s="119">
        <f t="shared" ca="1" si="3"/>
        <v>218.77763688760808</v>
      </c>
    </row>
    <row r="21" spans="1:25">
      <c r="A21" s="262" t="s">
        <v>513</v>
      </c>
      <c r="B21" s="262" t="s">
        <v>521</v>
      </c>
      <c r="C21" s="263"/>
      <c r="D21" s="322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524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2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522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2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525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513</v>
      </c>
      <c r="B24" s="262" t="s">
        <v>521</v>
      </c>
      <c r="C24" s="263"/>
      <c r="D24" s="322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526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513</v>
      </c>
      <c r="B25" s="262" t="s">
        <v>521</v>
      </c>
      <c r="C25" s="263">
        <v>600</v>
      </c>
      <c r="D25" s="322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521</v>
      </c>
      <c r="X25" s="39">
        <f t="shared" ca="1" si="1"/>
        <v>0.16599423631123919</v>
      </c>
      <c r="Y25" s="119">
        <f t="shared" ca="1" si="3"/>
        <v>100.91839140518731</v>
      </c>
    </row>
    <row r="26" spans="1:25">
      <c r="A26" s="262"/>
      <c r="B26" s="262"/>
      <c r="C26" s="263"/>
      <c r="D26" s="322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527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2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527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515</v>
      </c>
      <c r="B28" s="262" t="s">
        <v>516</v>
      </c>
      <c r="C28" s="263">
        <v>5100</v>
      </c>
      <c r="D28" s="322">
        <f t="shared" ca="1" si="2"/>
        <v>655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43809</v>
      </c>
      <c r="L28" s="302">
        <v>29</v>
      </c>
      <c r="M28" s="264">
        <f>(H28*L28)</f>
        <v>5684</v>
      </c>
      <c r="N28" s="264">
        <f>-(IF((M28*0.0075)&lt;30,30,(M28*0.0075)) + (M28*0.0035))</f>
        <v>-62.524000000000001</v>
      </c>
      <c r="O28" s="272">
        <f>J28+N28</f>
        <v>-118.53688</v>
      </c>
      <c r="P28" s="273">
        <f ca="1">IF(K28=0,0,M28-E28+N28)</f>
        <v>473.38311999999985</v>
      </c>
      <c r="Q28" s="273">
        <f t="shared" si="4"/>
        <v>5621.4759999999997</v>
      </c>
      <c r="R28" s="274">
        <f ca="1">P28/E28</f>
        <v>9.195310400071878E-2</v>
      </c>
      <c r="S28" s="275" t="s">
        <v>516</v>
      </c>
      <c r="T28" s="59">
        <f ca="1">R28+R29+R30+R34</f>
        <v>0.11635825808954711</v>
      </c>
      <c r="U28" s="59">
        <f>(L28/L5)-1</f>
        <v>-2.684563758389269E-2</v>
      </c>
      <c r="X28" s="39">
        <f t="shared" ca="1" si="1"/>
        <v>0.37752161383285304</v>
      </c>
      <c r="Y28" s="119">
        <f t="shared" ca="1" si="3"/>
        <v>1943.5163322190203</v>
      </c>
    </row>
    <row r="29" spans="1:25">
      <c r="A29" s="262" t="s">
        <v>515</v>
      </c>
      <c r="B29" s="262" t="s">
        <v>516</v>
      </c>
      <c r="C29" s="263"/>
      <c r="D29" s="322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471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515</v>
      </c>
      <c r="B30" s="262" t="s">
        <v>516</v>
      </c>
      <c r="C30" s="263"/>
      <c r="D30" s="322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471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515</v>
      </c>
      <c r="B31" s="262"/>
      <c r="C31" s="263"/>
      <c r="D31" s="322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528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515</v>
      </c>
      <c r="B32" s="262"/>
      <c r="C32" s="263"/>
      <c r="D32" s="322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-2.18-2.26-3.09-2.27-2.98-3.06-3.11-3.09-3.15-2.32</f>
        <v>-27.509999999999998</v>
      </c>
      <c r="Q32" s="273"/>
      <c r="R32" s="274"/>
      <c r="S32" s="275" t="s">
        <v>529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515</v>
      </c>
      <c r="B33" s="262" t="s">
        <v>411</v>
      </c>
      <c r="C33" s="263">
        <v>4090</v>
      </c>
      <c r="D33" s="322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411</v>
      </c>
      <c r="X33" s="39">
        <f t="shared" ca="1" si="1"/>
        <v>1.2680115273775217E-2</v>
      </c>
      <c r="Y33" s="119">
        <f t="shared" ca="1" si="3"/>
        <v>52.357796195965413</v>
      </c>
    </row>
    <row r="34" spans="1:27">
      <c r="A34" s="262" t="s">
        <v>515</v>
      </c>
      <c r="B34" s="262" t="s">
        <v>516</v>
      </c>
      <c r="C34" s="263"/>
      <c r="D34" s="322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471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515</v>
      </c>
      <c r="B35" s="262" t="s">
        <v>411</v>
      </c>
      <c r="C35" s="263">
        <v>4090</v>
      </c>
      <c r="D35" s="322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411</v>
      </c>
      <c r="U35" s="59"/>
      <c r="X35" s="39">
        <f t="shared" ca="1" si="1"/>
        <v>8.5878962536023049E-2</v>
      </c>
      <c r="Y35" s="119">
        <f t="shared" ca="1" si="3"/>
        <v>351.13733840922191</v>
      </c>
    </row>
    <row r="36" spans="1:27">
      <c r="A36" s="262" t="s">
        <v>515</v>
      </c>
      <c r="B36" s="262" t="s">
        <v>516</v>
      </c>
      <c r="C36" s="263"/>
      <c r="D36" s="322">
        <f t="shared" ref="D36" si="5">IF(OR(F36=0,K36=0),0,_xlfn.DAYS(K36,F36))</f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ref="Q36" si="6">M36+N36</f>
        <v>-43.400000000000006</v>
      </c>
      <c r="R36" s="274">
        <f>P36/E36</f>
        <v>8.3215281850159608E-3</v>
      </c>
      <c r="S36" s="275" t="s">
        <v>471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3"/>
      <c r="R37" s="274"/>
      <c r="S37" s="275"/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3"/>
      <c r="B42" s="314"/>
      <c r="C42" s="315"/>
      <c r="D42" s="325">
        <f ca="1">SUM(D13:D41)</f>
        <v>2746</v>
      </c>
      <c r="E42" s="315">
        <f>SUM(E13:E41)</f>
        <v>56475.638345999992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-422.56071900000006</v>
      </c>
      <c r="O42" s="315">
        <f>SUM(O13:O41)</f>
        <v>-565.35885699999994</v>
      </c>
      <c r="P42" s="315">
        <f ca="1">SUM(P13:P41)</f>
        <v>4211.4295229999998</v>
      </c>
      <c r="Q42" s="315"/>
      <c r="R42" s="326">
        <f ca="1">SUM(R13:R41)</f>
        <v>4.0363722784209823</v>
      </c>
      <c r="S42" s="317"/>
      <c r="X42" s="327">
        <f ca="1">SUM(X13:X41)</f>
        <v>1.5827089337175793</v>
      </c>
      <c r="Y42" s="328">
        <f ca="1">SUM(Y13:Y41)</f>
        <v>5025.8597748749289</v>
      </c>
      <c r="Z42" s="329">
        <f ca="1">P42/Y42</f>
        <v>0.83795205430394315</v>
      </c>
      <c r="AA42" s="329">
        <f ca="1">Z42/(D$43/365)</f>
        <v>0.1762838615682647</v>
      </c>
    </row>
    <row r="43" spans="1:27">
      <c r="C43" s="119" t="s">
        <v>567</v>
      </c>
      <c r="D43" s="46">
        <f ca="1">_xlfn.DAYS(TODAY(),F13)</f>
        <v>1735</v>
      </c>
      <c r="E43" s="119"/>
      <c r="F43" s="300"/>
      <c r="G43" s="119"/>
      <c r="H43" s="303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3"/>
      <c r="I44" s="119"/>
      <c r="J44" s="119"/>
    </row>
    <row r="45" spans="1:27">
      <c r="C45" s="119"/>
      <c r="E45" s="119"/>
      <c r="F45" s="300"/>
      <c r="G45" s="119"/>
      <c r="H45" s="303"/>
      <c r="I45" s="119"/>
      <c r="J45" s="119"/>
      <c r="R45" s="119"/>
    </row>
    <row r="46" spans="1:27">
      <c r="C46" s="119"/>
      <c r="E46" s="119"/>
      <c r="F46" s="300"/>
      <c r="G46" s="119"/>
      <c r="H46" s="303"/>
      <c r="I46" s="119"/>
      <c r="J46" s="119"/>
      <c r="L46" s="119"/>
    </row>
    <row r="47" spans="1:27">
      <c r="C47" s="119"/>
      <c r="E47" s="119"/>
      <c r="F47" s="300"/>
      <c r="G47" s="119"/>
      <c r="H47" s="303"/>
      <c r="I47" s="119"/>
      <c r="J47" s="119"/>
    </row>
    <row r="48" spans="1:27">
      <c r="C48" s="119"/>
      <c r="E48" s="119"/>
      <c r="F48" s="300"/>
      <c r="G48" s="119"/>
      <c r="H48" s="303"/>
      <c r="I48" s="119"/>
      <c r="J48" s="119"/>
    </row>
    <row r="49" spans="3:29">
      <c r="C49" s="119"/>
      <c r="E49" s="119"/>
      <c r="F49" s="300"/>
      <c r="G49" s="119"/>
      <c r="H49" s="303"/>
      <c r="I49" s="119"/>
      <c r="J49" s="119"/>
    </row>
    <row r="50" spans="3:29">
      <c r="C50" s="119"/>
      <c r="E50" s="119"/>
      <c r="F50" s="300"/>
      <c r="G50" s="119"/>
      <c r="H50" s="303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535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536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537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R58" s="119"/>
    </row>
    <row r="59" spans="3:29">
      <c r="D59" s="46" t="s">
        <v>538</v>
      </c>
      <c r="F59">
        <v>20</v>
      </c>
      <c r="G59">
        <v>14</v>
      </c>
      <c r="H59" s="58">
        <f>1-(G59/F59)</f>
        <v>0.30000000000000004</v>
      </c>
      <c r="R59" s="119"/>
      <c r="T59" s="306"/>
    </row>
    <row r="60" spans="3:29">
      <c r="G60" s="38"/>
      <c r="T60" s="304"/>
      <c r="U60">
        <f>(0.00242*12)</f>
        <v>2.9039999999999996E-2</v>
      </c>
    </row>
    <row r="61" spans="3:29">
      <c r="P61" s="304"/>
      <c r="Q61" s="304"/>
      <c r="T61" s="307"/>
      <c r="U61">
        <f>4700*U60</f>
        <v>136.48799999999997</v>
      </c>
    </row>
    <row r="62" spans="3:29">
      <c r="R62" s="59"/>
      <c r="T62" s="308" t="s">
        <v>539</v>
      </c>
      <c r="U62" s="41" t="s">
        <v>540</v>
      </c>
      <c r="V62" s="38"/>
    </row>
    <row r="63" spans="3:29" ht="15.75">
      <c r="G63" s="38"/>
      <c r="S63" t="s">
        <v>541</v>
      </c>
      <c r="T63" s="309" t="s">
        <v>542</v>
      </c>
      <c r="U63" s="310"/>
      <c r="V63" s="38"/>
    </row>
    <row r="64" spans="3:29">
      <c r="F64" s="38"/>
      <c r="G64" s="38"/>
      <c r="S64" t="s">
        <v>543</v>
      </c>
      <c r="T64" s="309" t="s">
        <v>544</v>
      </c>
      <c r="U64" t="s">
        <v>545</v>
      </c>
    </row>
    <row r="65" spans="6:22">
      <c r="F65" s="38"/>
      <c r="G65" s="38"/>
      <c r="H65" s="38"/>
      <c r="K65" t="s">
        <v>546</v>
      </c>
      <c r="T65" s="38"/>
      <c r="U65" t="s">
        <v>547</v>
      </c>
      <c r="V65" s="38"/>
    </row>
    <row r="66" spans="6:22">
      <c r="K66" s="311">
        <v>43587</v>
      </c>
      <c r="T66" s="306"/>
    </row>
    <row r="67" spans="6:22">
      <c r="K67" t="s">
        <v>548</v>
      </c>
      <c r="T67" s="312"/>
    </row>
    <row r="68" spans="6:22">
      <c r="K68" t="s">
        <v>549</v>
      </c>
      <c r="M68" t="s">
        <v>148</v>
      </c>
      <c r="T68" s="309"/>
      <c r="U68">
        <f>5000/12</f>
        <v>416.66666666666669</v>
      </c>
    </row>
    <row r="69" spans="6:22">
      <c r="K69" t="s">
        <v>550</v>
      </c>
      <c r="U69">
        <f>2.2/U68</f>
        <v>5.28E-3</v>
      </c>
    </row>
    <row r="70" spans="6:22">
      <c r="K70" t="s">
        <v>551</v>
      </c>
      <c r="U70">
        <f>100*U69</f>
        <v>0.52800000000000002</v>
      </c>
    </row>
    <row r="71" spans="6:22">
      <c r="K71" t="s">
        <v>552</v>
      </c>
      <c r="U71">
        <f>2.2*12</f>
        <v>26.400000000000002</v>
      </c>
    </row>
    <row r="72" spans="6:22">
      <c r="K72" t="s">
        <v>553</v>
      </c>
    </row>
    <row r="73" spans="6:22">
      <c r="K73" t="s">
        <v>554</v>
      </c>
    </row>
    <row r="74" spans="6:22">
      <c r="K74" t="s">
        <v>555</v>
      </c>
    </row>
    <row r="75" spans="6:22">
      <c r="K75" t="s">
        <v>556</v>
      </c>
    </row>
    <row r="76" spans="6:22">
      <c r="K76" t="s">
        <v>557</v>
      </c>
    </row>
    <row r="77" spans="6:22">
      <c r="K77" t="s">
        <v>558</v>
      </c>
    </row>
    <row r="78" spans="6:22">
      <c r="K78" t="s">
        <v>559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0"/>
  <sheetViews>
    <sheetView topLeftCell="A31" workbookViewId="0">
      <selection activeCell="F43" sqref="F43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  <col min="6" max="6" width="12" bestFit="1" customWidth="1"/>
  </cols>
  <sheetData>
    <row r="1" spans="1:5">
      <c r="A1" s="448" t="s">
        <v>573</v>
      </c>
      <c r="B1" s="448"/>
      <c r="C1" s="448"/>
      <c r="D1" s="448"/>
      <c r="E1" s="448"/>
    </row>
    <row r="2" spans="1:5">
      <c r="A2" s="332" t="s">
        <v>569</v>
      </c>
      <c r="B2" s="333" t="s">
        <v>88</v>
      </c>
      <c r="C2" s="333" t="s">
        <v>570</v>
      </c>
      <c r="D2" s="333" t="s">
        <v>571</v>
      </c>
      <c r="E2" s="270"/>
    </row>
    <row r="3" spans="1:5">
      <c r="A3" s="334" t="s">
        <v>52</v>
      </c>
      <c r="B3" s="335">
        <f>1520</f>
        <v>1520</v>
      </c>
      <c r="C3" s="305">
        <f>B3/B$7</f>
        <v>0.42768711311198648</v>
      </c>
      <c r="D3" s="335">
        <f>D$7*C3</f>
        <v>0</v>
      </c>
      <c r="E3" s="275"/>
    </row>
    <row r="4" spans="1:5">
      <c r="A4" s="334" t="s">
        <v>26</v>
      </c>
      <c r="B4" s="335">
        <v>1484</v>
      </c>
      <c r="C4" s="305">
        <f t="shared" ref="C4:C6" si="0">B4/B$7</f>
        <v>0.41755768148564998</v>
      </c>
      <c r="D4" s="335">
        <f t="shared" ref="D4:D6" si="1">D$7*C4</f>
        <v>0</v>
      </c>
      <c r="E4" s="275"/>
    </row>
    <row r="5" spans="1:5">
      <c r="A5" s="334" t="s">
        <v>171</v>
      </c>
      <c r="B5" s="335">
        <v>550</v>
      </c>
      <c r="C5" s="305">
        <f t="shared" si="0"/>
        <v>0.15475520540236354</v>
      </c>
      <c r="D5" s="335">
        <f t="shared" si="1"/>
        <v>0</v>
      </c>
      <c r="E5" s="275"/>
    </row>
    <row r="6" spans="1:5">
      <c r="A6" s="334" t="s">
        <v>50</v>
      </c>
      <c r="B6" s="335">
        <v>0</v>
      </c>
      <c r="C6" s="305">
        <f t="shared" si="0"/>
        <v>0</v>
      </c>
      <c r="D6" s="335">
        <f t="shared" si="1"/>
        <v>0</v>
      </c>
      <c r="E6" s="275"/>
    </row>
    <row r="7" spans="1:5">
      <c r="A7" s="334" t="s">
        <v>5</v>
      </c>
      <c r="B7" s="335">
        <f>SUM(B3:B6)</f>
        <v>3554</v>
      </c>
      <c r="C7" s="305">
        <f>SUM(C3:C6)</f>
        <v>1</v>
      </c>
      <c r="D7" s="276">
        <f>0</f>
        <v>0</v>
      </c>
      <c r="E7" s="275" t="s">
        <v>572</v>
      </c>
    </row>
    <row r="8" spans="1:5">
      <c r="A8" s="334"/>
      <c r="B8" s="335"/>
      <c r="C8" s="336"/>
      <c r="D8" s="336"/>
      <c r="E8" s="275"/>
    </row>
    <row r="9" spans="1:5">
      <c r="A9" s="334"/>
      <c r="B9" s="335"/>
      <c r="C9" s="336"/>
      <c r="D9" s="336"/>
      <c r="E9" s="275"/>
    </row>
    <row r="10" spans="1:5">
      <c r="A10" s="334"/>
      <c r="B10" s="336"/>
      <c r="C10" s="336"/>
      <c r="D10" s="336"/>
      <c r="E10" s="275"/>
    </row>
    <row r="11" spans="1:5">
      <c r="A11" s="334" t="s">
        <v>155</v>
      </c>
      <c r="B11" s="335">
        <v>5092.08</v>
      </c>
      <c r="C11" s="336"/>
      <c r="D11" s="336"/>
      <c r="E11" s="275"/>
    </row>
    <row r="12" spans="1:5">
      <c r="A12" s="337" t="s">
        <v>5</v>
      </c>
      <c r="B12" s="338">
        <f>B11</f>
        <v>5092.08</v>
      </c>
      <c r="C12" s="330"/>
      <c r="D12" s="330"/>
      <c r="E12" s="289"/>
    </row>
    <row r="15" spans="1:5">
      <c r="A15" s="446" t="s">
        <v>602</v>
      </c>
      <c r="B15" s="446"/>
      <c r="C15" s="446"/>
      <c r="D15" s="446"/>
      <c r="E15" s="446"/>
    </row>
    <row r="17" spans="1:4">
      <c r="A17" s="331" t="s">
        <v>574</v>
      </c>
    </row>
    <row r="19" spans="1:4">
      <c r="A19" t="s">
        <v>575</v>
      </c>
    </row>
    <row r="20" spans="1:4">
      <c r="A20" t="s">
        <v>576</v>
      </c>
    </row>
    <row r="21" spans="1:4">
      <c r="A21" t="s">
        <v>577</v>
      </c>
    </row>
    <row r="22" spans="1:4">
      <c r="A22" t="s">
        <v>578</v>
      </c>
    </row>
    <row r="23" spans="1:4">
      <c r="A23" t="s">
        <v>579</v>
      </c>
    </row>
    <row r="24" spans="1:4">
      <c r="A24" t="s">
        <v>580</v>
      </c>
    </row>
    <row r="25" spans="1:4">
      <c r="A25" t="s">
        <v>581</v>
      </c>
    </row>
    <row r="30" spans="1:4">
      <c r="A30" s="331" t="s">
        <v>582</v>
      </c>
      <c r="B30" s="331" t="s">
        <v>583</v>
      </c>
      <c r="C30" s="331" t="s">
        <v>584</v>
      </c>
      <c r="D30" s="331" t="s">
        <v>585</v>
      </c>
    </row>
    <row r="32" spans="1:4">
      <c r="A32" t="s">
        <v>586</v>
      </c>
      <c r="B32" t="s">
        <v>587</v>
      </c>
      <c r="C32" t="s">
        <v>588</v>
      </c>
      <c r="D32" t="s">
        <v>589</v>
      </c>
    </row>
    <row r="33" spans="1:4">
      <c r="A33" t="s">
        <v>590</v>
      </c>
      <c r="B33" t="s">
        <v>591</v>
      </c>
      <c r="C33" t="s">
        <v>592</v>
      </c>
      <c r="D33" t="s">
        <v>587</v>
      </c>
    </row>
    <row r="34" spans="1:4">
      <c r="A34" t="s">
        <v>593</v>
      </c>
      <c r="B34" t="s">
        <v>594</v>
      </c>
      <c r="C34" t="s">
        <v>595</v>
      </c>
      <c r="D34" t="s">
        <v>589</v>
      </c>
    </row>
    <row r="35" spans="1:4">
      <c r="A35" t="s">
        <v>596</v>
      </c>
      <c r="B35" t="s">
        <v>587</v>
      </c>
      <c r="C35" t="s">
        <v>592</v>
      </c>
      <c r="D35" t="s">
        <v>597</v>
      </c>
    </row>
    <row r="36" spans="1:4">
      <c r="A36" t="s">
        <v>423</v>
      </c>
      <c r="B36" t="s">
        <v>587</v>
      </c>
      <c r="C36" t="s">
        <v>588</v>
      </c>
      <c r="D36" t="s">
        <v>597</v>
      </c>
    </row>
    <row r="37" spans="1:4">
      <c r="A37" t="s">
        <v>598</v>
      </c>
      <c r="B37" t="s">
        <v>589</v>
      </c>
      <c r="C37" t="s">
        <v>595</v>
      </c>
      <c r="D37" t="s">
        <v>594</v>
      </c>
    </row>
    <row r="38" spans="1:4">
      <c r="A38" t="s">
        <v>599</v>
      </c>
      <c r="B38" t="s">
        <v>587</v>
      </c>
      <c r="C38" t="s">
        <v>595</v>
      </c>
      <c r="D38" t="s">
        <v>587</v>
      </c>
    </row>
    <row r="39" spans="1:4">
      <c r="A39" t="s">
        <v>600</v>
      </c>
      <c r="B39" t="s">
        <v>589</v>
      </c>
      <c r="C39" t="s">
        <v>588</v>
      </c>
      <c r="D39" t="s">
        <v>587</v>
      </c>
    </row>
    <row r="40" spans="1:4">
      <c r="A40" t="s">
        <v>601</v>
      </c>
      <c r="B40" t="s">
        <v>589</v>
      </c>
      <c r="C40" t="s">
        <v>588</v>
      </c>
      <c r="D40" t="s">
        <v>594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8"/>
  <sheetViews>
    <sheetView workbookViewId="0">
      <selection activeCell="I54" sqref="I54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336</v>
      </c>
      <c r="I7" t="s">
        <v>337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353</v>
      </c>
      <c r="I10" t="s">
        <v>354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203</v>
      </c>
      <c r="B52" t="s">
        <v>202</v>
      </c>
    </row>
    <row r="53" spans="1:2">
      <c r="A53" t="s">
        <v>206</v>
      </c>
      <c r="B53" t="s">
        <v>207</v>
      </c>
    </row>
    <row r="54" spans="1:2">
      <c r="A54" t="s">
        <v>35</v>
      </c>
      <c r="B54" t="s">
        <v>169</v>
      </c>
    </row>
    <row r="55" spans="1:2">
      <c r="A55" t="s">
        <v>817</v>
      </c>
      <c r="B55" t="s">
        <v>818</v>
      </c>
    </row>
    <row r="58" spans="1:2">
      <c r="A58" t="s">
        <v>900</v>
      </c>
      <c r="B58" t="s">
        <v>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22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30" t="s">
        <v>9</v>
      </c>
      <c r="E4" s="430"/>
      <c r="F4" s="430"/>
      <c r="G4" s="429"/>
      <c r="H4" s="222">
        <v>2018</v>
      </c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23">
        <v>2901.68</v>
      </c>
      <c r="L5" s="424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25">
        <v>620.05999999999995</v>
      </c>
      <c r="L6" s="426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199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25">
        <v>8035.29</v>
      </c>
      <c r="L7" s="426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25">
        <v>7000</v>
      </c>
      <c r="L8" s="426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25">
        <v>659.39</v>
      </c>
      <c r="L9" s="426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25">
        <v>1800.04</v>
      </c>
      <c r="L10" s="426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25">
        <f>240+35</f>
        <v>275</v>
      </c>
      <c r="L11" s="426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205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25">
        <v>5092.08</v>
      </c>
      <c r="L12" s="426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200</v>
      </c>
      <c r="D13" s="137"/>
      <c r="E13" s="138"/>
      <c r="F13" s="138"/>
      <c r="G13" s="16"/>
      <c r="H13" s="112">
        <v>63</v>
      </c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31">
        <f>SUM(K5:K18)</f>
        <v>26383.54</v>
      </c>
      <c r="L19" s="432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12"/>
      <c r="I22" s="415" t="s">
        <v>6</v>
      </c>
      <c r="J22" s="416"/>
      <c r="K22" s="416"/>
      <c r="L22" s="417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12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30" t="s">
        <v>9</v>
      </c>
      <c r="E24" s="430"/>
      <c r="F24" s="430"/>
      <c r="G24" s="429"/>
      <c r="H24" s="112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02" t="str">
        <f>AÑO!A8</f>
        <v>Manolo Salario</v>
      </c>
      <c r="J25" s="405" t="s">
        <v>290</v>
      </c>
      <c r="K25" s="406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03"/>
      <c r="J26" s="407"/>
      <c r="K26" s="408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03"/>
      <c r="J27" s="407"/>
      <c r="K27" s="408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03"/>
      <c r="J28" s="407"/>
      <c r="K28" s="408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11"/>
      <c r="J29" s="412"/>
      <c r="K29" s="413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295</v>
      </c>
      <c r="H30" s="112">
        <v>593.55999999999995</v>
      </c>
      <c r="I30" s="402" t="str">
        <f>AÑO!A9</f>
        <v>Rocío Salario</v>
      </c>
      <c r="J30" s="405" t="s">
        <v>237</v>
      </c>
      <c r="K30" s="406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03"/>
      <c r="J31" s="407" t="s">
        <v>255</v>
      </c>
      <c r="K31" s="408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03"/>
      <c r="J32" s="414" t="s">
        <v>266</v>
      </c>
      <c r="K32" s="408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02" t="s">
        <v>217</v>
      </c>
      <c r="J35" s="405" t="s">
        <v>305</v>
      </c>
      <c r="K35" s="406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02" t="str">
        <f>AÑO!A11</f>
        <v>Finanazas</v>
      </c>
      <c r="J40" s="405" t="s">
        <v>238</v>
      </c>
      <c r="K40" s="406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03"/>
      <c r="J41" s="407" t="s">
        <v>239</v>
      </c>
      <c r="K41" s="408"/>
      <c r="L41" s="229">
        <v>1.87</v>
      </c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12"/>
      <c r="I42" s="403"/>
      <c r="J42" s="407" t="s">
        <v>268</v>
      </c>
      <c r="K42" s="408"/>
      <c r="L42" s="229">
        <v>0.02</v>
      </c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12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30" t="s">
        <v>9</v>
      </c>
      <c r="E44" s="430"/>
      <c r="F44" s="430"/>
      <c r="G44" s="429"/>
      <c r="H44" s="112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02" t="str">
        <f>AÑO!A12</f>
        <v>Regalos</v>
      </c>
      <c r="J45" s="405" t="s">
        <v>298</v>
      </c>
      <c r="K45" s="406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243</v>
      </c>
      <c r="H46" s="112"/>
      <c r="I46" s="403"/>
      <c r="J46" s="407"/>
      <c r="K46" s="408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246</v>
      </c>
      <c r="H47" s="112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251</v>
      </c>
      <c r="H48" s="112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248</v>
      </c>
      <c r="H49" s="112"/>
      <c r="I49" s="411"/>
      <c r="J49" s="412"/>
      <c r="K49" s="413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252</v>
      </c>
      <c r="H50" s="112"/>
      <c r="I50" s="402" t="str">
        <f>AÑO!A13</f>
        <v>Gubernamental</v>
      </c>
      <c r="J50" s="405" t="s">
        <v>258</v>
      </c>
      <c r="K50" s="406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260</v>
      </c>
      <c r="H51" s="112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261</v>
      </c>
      <c r="H52" s="112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264</v>
      </c>
      <c r="H53" s="112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273</v>
      </c>
      <c r="H54" s="112"/>
      <c r="I54" s="411"/>
      <c r="J54" s="412"/>
      <c r="K54" s="413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274</v>
      </c>
      <c r="H55" s="112"/>
      <c r="I55" s="402" t="str">
        <f>AÑO!A14</f>
        <v>Mutualite/DKV</v>
      </c>
      <c r="J55" s="405"/>
      <c r="K55" s="406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276</v>
      </c>
      <c r="H56" s="112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287</v>
      </c>
      <c r="H57" s="112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278</v>
      </c>
      <c r="H58" s="112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1"/>
      <c r="J59" s="412"/>
      <c r="K59" s="413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02" t="str">
        <f>AÑO!A15</f>
        <v>Alquiler Cartama</v>
      </c>
      <c r="J60" s="405"/>
      <c r="K60" s="406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12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12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30" t="s">
        <v>9</v>
      </c>
      <c r="E64" s="430"/>
      <c r="F64" s="430"/>
      <c r="G64" s="429"/>
      <c r="H64" s="112"/>
      <c r="I64" s="411"/>
      <c r="J64" s="412"/>
      <c r="K64" s="413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02" t="str">
        <f>AÑO!A16</f>
        <v>Otros</v>
      </c>
      <c r="J65" s="405" t="s">
        <v>295</v>
      </c>
      <c r="K65" s="406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244</v>
      </c>
      <c r="H66" s="112">
        <v>42.13</v>
      </c>
      <c r="I66" s="403"/>
      <c r="J66" s="407"/>
      <c r="K66" s="408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03"/>
      <c r="J67" s="407"/>
      <c r="K67" s="408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263</v>
      </c>
      <c r="H68" s="112"/>
      <c r="I68" s="403"/>
      <c r="J68" s="407"/>
      <c r="K68" s="408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267</v>
      </c>
      <c r="H69" s="112"/>
      <c r="I69" s="404"/>
      <c r="J69" s="409"/>
      <c r="K69" s="410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265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293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294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301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236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12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12"/>
      <c r="M83" s="1"/>
      <c r="R83" s="3"/>
    </row>
    <row r="84" spans="1:18" ht="15.75">
      <c r="A84" s="1"/>
      <c r="B84" s="428" t="s">
        <v>8</v>
      </c>
      <c r="C84" s="429"/>
      <c r="D84" s="430" t="s">
        <v>9</v>
      </c>
      <c r="E84" s="430"/>
      <c r="F84" s="430"/>
      <c r="G84" s="429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201</v>
      </c>
      <c r="D86" s="137"/>
      <c r="E86" s="138">
        <v>2</v>
      </c>
      <c r="F86" s="138"/>
      <c r="G86" s="16" t="s">
        <v>259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262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283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297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300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12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12"/>
      <c r="M103" s="1"/>
      <c r="R103" s="3"/>
    </row>
    <row r="104" spans="1:18" ht="15.75">
      <c r="A104" s="1"/>
      <c r="B104" s="428" t="s">
        <v>8</v>
      </c>
      <c r="C104" s="429"/>
      <c r="D104" s="430" t="s">
        <v>9</v>
      </c>
      <c r="E104" s="430"/>
      <c r="F104" s="430"/>
      <c r="G104" s="429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204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12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12"/>
      <c r="M123" s="1"/>
      <c r="R123" s="3"/>
    </row>
    <row r="124" spans="1:18" ht="15.75">
      <c r="A124" s="1"/>
      <c r="B124" s="428" t="s">
        <v>8</v>
      </c>
      <c r="C124" s="429"/>
      <c r="D124" s="430" t="s">
        <v>9</v>
      </c>
      <c r="E124" s="430"/>
      <c r="F124" s="430"/>
      <c r="G124" s="429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877</v>
      </c>
      <c r="I127" s="113">
        <f>D127+D128</f>
        <v>25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12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12"/>
      <c r="M143" s="1"/>
      <c r="R143" s="3"/>
    </row>
    <row r="144" spans="1:18" ht="15.75">
      <c r="A144" s="1"/>
      <c r="B144" s="428" t="s">
        <v>8</v>
      </c>
      <c r="C144" s="429"/>
      <c r="D144" s="430" t="s">
        <v>9</v>
      </c>
      <c r="E144" s="430"/>
      <c r="F144" s="430"/>
      <c r="G144" s="429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277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30" t="s">
        <v>9</v>
      </c>
      <c r="E164" s="430"/>
      <c r="F164" s="430"/>
      <c r="G164" s="429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241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304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30" t="s">
        <v>9</v>
      </c>
      <c r="E184" s="430"/>
      <c r="F184" s="430"/>
      <c r="G184" s="429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275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  <c r="H202" s="112"/>
    </row>
    <row r="203" spans="2:12" ht="15" customHeight="1" thickBot="1">
      <c r="B203" s="418"/>
      <c r="C203" s="419"/>
      <c r="D203" s="419"/>
      <c r="E203" s="419"/>
      <c r="F203" s="419"/>
      <c r="G203" s="420"/>
      <c r="H203" s="112"/>
    </row>
    <row r="204" spans="2:12" ht="15.75">
      <c r="B204" s="428" t="s">
        <v>8</v>
      </c>
      <c r="C204" s="429"/>
      <c r="D204" s="430" t="s">
        <v>9</v>
      </c>
      <c r="E204" s="430"/>
      <c r="F204" s="430"/>
      <c r="G204" s="429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285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27" t="str">
        <f>AÑO!A31</f>
        <v>Deportes</v>
      </c>
      <c r="C222" s="416"/>
      <c r="D222" s="416"/>
      <c r="E222" s="416"/>
      <c r="F222" s="416"/>
      <c r="G222" s="417"/>
      <c r="H222" s="112"/>
    </row>
    <row r="223" spans="2:8" ht="15" customHeight="1" thickBot="1">
      <c r="B223" s="418"/>
      <c r="C223" s="419"/>
      <c r="D223" s="419"/>
      <c r="E223" s="419"/>
      <c r="F223" s="419"/>
      <c r="G223" s="420"/>
      <c r="H223" s="112"/>
    </row>
    <row r="224" spans="2:8" ht="15.75">
      <c r="B224" s="428" t="s">
        <v>8</v>
      </c>
      <c r="C224" s="429"/>
      <c r="D224" s="430" t="s">
        <v>9</v>
      </c>
      <c r="E224" s="430"/>
      <c r="F224" s="430"/>
      <c r="G224" s="429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264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27" t="str">
        <f>AÑO!A32</f>
        <v>Hogar</v>
      </c>
      <c r="C242" s="416"/>
      <c r="D242" s="416"/>
      <c r="E242" s="416"/>
      <c r="F242" s="416"/>
      <c r="G242" s="417"/>
      <c r="H242" s="112"/>
    </row>
    <row r="243" spans="2:8" ht="15" customHeight="1" thickBot="1">
      <c r="B243" s="418"/>
      <c r="C243" s="419"/>
      <c r="D243" s="419"/>
      <c r="E243" s="419"/>
      <c r="F243" s="419"/>
      <c r="G243" s="420"/>
      <c r="H243" s="112"/>
    </row>
    <row r="244" spans="2:8" ht="15" customHeight="1">
      <c r="B244" s="428" t="s">
        <v>8</v>
      </c>
      <c r="C244" s="429"/>
      <c r="D244" s="430" t="s">
        <v>9</v>
      </c>
      <c r="E244" s="430"/>
      <c r="F244" s="430"/>
      <c r="G244" s="429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302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27" t="str">
        <f>AÑO!A33</f>
        <v>Formación</v>
      </c>
      <c r="C262" s="416"/>
      <c r="D262" s="416"/>
      <c r="E262" s="416"/>
      <c r="F262" s="416"/>
      <c r="G262" s="417"/>
      <c r="H262" s="112"/>
    </row>
    <row r="263" spans="2:8" ht="15" customHeight="1" thickBot="1">
      <c r="B263" s="418"/>
      <c r="C263" s="419"/>
      <c r="D263" s="419"/>
      <c r="E263" s="419"/>
      <c r="F263" s="419"/>
      <c r="G263" s="420"/>
      <c r="H263" s="112"/>
    </row>
    <row r="264" spans="2:8" ht="15.75">
      <c r="B264" s="428" t="s">
        <v>8</v>
      </c>
      <c r="C264" s="429"/>
      <c r="D264" s="430" t="s">
        <v>9</v>
      </c>
      <c r="E264" s="430"/>
      <c r="F264" s="430"/>
      <c r="G264" s="429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292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303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27" t="str">
        <f>AÑO!A34</f>
        <v>Regalos</v>
      </c>
      <c r="C282" s="416"/>
      <c r="D282" s="416"/>
      <c r="E282" s="416"/>
      <c r="F282" s="416"/>
      <c r="G282" s="417"/>
      <c r="H282" s="112"/>
    </row>
    <row r="283" spans="2:8" ht="15" customHeight="1" thickBot="1">
      <c r="B283" s="418"/>
      <c r="C283" s="419"/>
      <c r="D283" s="419"/>
      <c r="E283" s="419"/>
      <c r="F283" s="419"/>
      <c r="G283" s="420"/>
      <c r="H283" s="112"/>
    </row>
    <row r="284" spans="2:8" ht="15.75">
      <c r="B284" s="428" t="s">
        <v>8</v>
      </c>
      <c r="C284" s="429"/>
      <c r="D284" s="430" t="s">
        <v>9</v>
      </c>
      <c r="E284" s="430"/>
      <c r="F284" s="430"/>
      <c r="G284" s="429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247</v>
      </c>
      <c r="H286" s="112"/>
    </row>
    <row r="287" spans="2:8" ht="15.75">
      <c r="B287" s="134">
        <v>137</v>
      </c>
      <c r="C287" s="16" t="s">
        <v>299</v>
      </c>
      <c r="D287" s="137">
        <v>11.43</v>
      </c>
      <c r="E287" s="138"/>
      <c r="F287" s="138"/>
      <c r="G287" s="16" t="s">
        <v>249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250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271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280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281</v>
      </c>
      <c r="H291" s="112" t="s">
        <v>279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282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27" t="str">
        <f>AÑO!A35</f>
        <v>Salud</v>
      </c>
      <c r="C302" s="416"/>
      <c r="D302" s="416"/>
      <c r="E302" s="416"/>
      <c r="F302" s="416"/>
      <c r="G302" s="417"/>
      <c r="H302" s="112"/>
    </row>
    <row r="303" spans="2:8" ht="15" customHeight="1" thickBot="1">
      <c r="B303" s="418"/>
      <c r="C303" s="419"/>
      <c r="D303" s="419"/>
      <c r="E303" s="419"/>
      <c r="F303" s="419"/>
      <c r="G303" s="420"/>
      <c r="H303" s="112"/>
    </row>
    <row r="304" spans="2:8" ht="15.75">
      <c r="B304" s="428" t="s">
        <v>8</v>
      </c>
      <c r="C304" s="429"/>
      <c r="D304" s="430" t="s">
        <v>9</v>
      </c>
      <c r="E304" s="430"/>
      <c r="F304" s="430"/>
      <c r="G304" s="429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232</v>
      </c>
      <c r="D306" s="137">
        <f>37.5+37.5</f>
        <v>75</v>
      </c>
      <c r="E306" s="138"/>
      <c r="F306" s="138"/>
      <c r="G306" s="16" t="s">
        <v>257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27" t="str">
        <f>AÑO!A36</f>
        <v>Nenas</v>
      </c>
      <c r="C322" s="416"/>
      <c r="D322" s="416"/>
      <c r="E322" s="416"/>
      <c r="F322" s="416"/>
      <c r="G322" s="417"/>
      <c r="H322" s="112"/>
    </row>
    <row r="323" spans="2:8" ht="15" customHeight="1" thickBot="1">
      <c r="B323" s="418"/>
      <c r="C323" s="419"/>
      <c r="D323" s="419"/>
      <c r="E323" s="419"/>
      <c r="F323" s="419"/>
      <c r="G323" s="420"/>
      <c r="H323" s="112"/>
    </row>
    <row r="324" spans="2:8" ht="15.75">
      <c r="B324" s="428" t="s">
        <v>8</v>
      </c>
      <c r="C324" s="429"/>
      <c r="D324" s="430" t="s">
        <v>9</v>
      </c>
      <c r="E324" s="430"/>
      <c r="F324" s="430"/>
      <c r="G324" s="429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286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27" t="str">
        <f>AÑO!A37</f>
        <v>Impuestos</v>
      </c>
      <c r="C342" s="416"/>
      <c r="D342" s="416"/>
      <c r="E342" s="416"/>
      <c r="F342" s="416"/>
      <c r="G342" s="417"/>
      <c r="H342" s="112"/>
    </row>
    <row r="343" spans="2:8" ht="15" customHeight="1" thickBot="1">
      <c r="B343" s="418"/>
      <c r="C343" s="419"/>
      <c r="D343" s="419"/>
      <c r="E343" s="419"/>
      <c r="F343" s="419"/>
      <c r="G343" s="420"/>
      <c r="H343" s="112"/>
    </row>
    <row r="344" spans="2:8" ht="15.75">
      <c r="B344" s="428" t="s">
        <v>8</v>
      </c>
      <c r="C344" s="429"/>
      <c r="D344" s="430" t="s">
        <v>9</v>
      </c>
      <c r="E344" s="430"/>
      <c r="F344" s="430"/>
      <c r="G344" s="429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198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27" t="str">
        <f>AÑO!A38</f>
        <v>Gastos Curros</v>
      </c>
      <c r="C362" s="416"/>
      <c r="D362" s="416"/>
      <c r="E362" s="416"/>
      <c r="F362" s="416"/>
      <c r="G362" s="417"/>
      <c r="H362" s="112"/>
    </row>
    <row r="363" spans="2:8" ht="15" customHeight="1" thickBot="1">
      <c r="B363" s="418"/>
      <c r="C363" s="419"/>
      <c r="D363" s="419"/>
      <c r="E363" s="419"/>
      <c r="F363" s="419"/>
      <c r="G363" s="420"/>
      <c r="H363" s="112"/>
    </row>
    <row r="364" spans="2:8" ht="15.75">
      <c r="B364" s="428" t="s">
        <v>8</v>
      </c>
      <c r="C364" s="429"/>
      <c r="D364" s="430" t="s">
        <v>9</v>
      </c>
      <c r="E364" s="430"/>
      <c r="F364" s="430"/>
      <c r="G364" s="429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264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288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27" t="str">
        <f>AÑO!A39</f>
        <v>Dreamed Holidays</v>
      </c>
      <c r="C382" s="416"/>
      <c r="D382" s="416"/>
      <c r="E382" s="416"/>
      <c r="F382" s="416"/>
      <c r="G382" s="417"/>
      <c r="H382" s="112"/>
    </row>
    <row r="383" spans="2:8" ht="15" customHeight="1" thickBot="1">
      <c r="B383" s="418"/>
      <c r="C383" s="419"/>
      <c r="D383" s="419"/>
      <c r="E383" s="419"/>
      <c r="F383" s="419"/>
      <c r="G383" s="420"/>
      <c r="H383" s="112"/>
    </row>
    <row r="384" spans="2:8" ht="15.75">
      <c r="B384" s="428" t="s">
        <v>8</v>
      </c>
      <c r="C384" s="429"/>
      <c r="D384" s="430" t="s">
        <v>9</v>
      </c>
      <c r="E384" s="430"/>
      <c r="F384" s="430"/>
      <c r="G384" s="429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27" t="str">
        <f>AÑO!A40</f>
        <v>Financieros</v>
      </c>
      <c r="C402" s="416"/>
      <c r="D402" s="416"/>
      <c r="E402" s="416"/>
      <c r="F402" s="416"/>
      <c r="G402" s="417"/>
      <c r="H402" s="112"/>
    </row>
    <row r="403" spans="2:8" ht="15" customHeight="1" thickBot="1">
      <c r="B403" s="418"/>
      <c r="C403" s="419"/>
      <c r="D403" s="419"/>
      <c r="E403" s="419"/>
      <c r="F403" s="419"/>
      <c r="G403" s="420"/>
      <c r="H403" s="112"/>
    </row>
    <row r="404" spans="2:8" ht="15.75">
      <c r="B404" s="428" t="s">
        <v>8</v>
      </c>
      <c r="C404" s="429"/>
      <c r="D404" s="430" t="s">
        <v>9</v>
      </c>
      <c r="E404" s="430"/>
      <c r="F404" s="430"/>
      <c r="G404" s="429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245</v>
      </c>
      <c r="H406" s="112"/>
    </row>
    <row r="407" spans="2:8" ht="15.75">
      <c r="B407" s="134">
        <v>1.87</v>
      </c>
      <c r="C407" s="16" t="s">
        <v>239</v>
      </c>
      <c r="D407" s="137">
        <v>25.87</v>
      </c>
      <c r="E407" s="138"/>
      <c r="F407" s="138"/>
      <c r="G407" s="16" t="s">
        <v>272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27" t="str">
        <f>AÑO!A41</f>
        <v>Ahorros Colchón</v>
      </c>
      <c r="C422" s="433"/>
      <c r="D422" s="433"/>
      <c r="E422" s="433"/>
      <c r="F422" s="433"/>
      <c r="G422" s="434"/>
      <c r="H422" s="112"/>
    </row>
    <row r="423" spans="1:8" ht="15" customHeight="1" thickBot="1">
      <c r="B423" s="435"/>
      <c r="C423" s="436"/>
      <c r="D423" s="436"/>
      <c r="E423" s="436"/>
      <c r="F423" s="436"/>
      <c r="G423" s="437"/>
      <c r="H423" s="112"/>
    </row>
    <row r="424" spans="1:8" ht="15.75">
      <c r="B424" s="428" t="s">
        <v>8</v>
      </c>
      <c r="C424" s="429"/>
      <c r="D424" s="430" t="s">
        <v>9</v>
      </c>
      <c r="E424" s="430"/>
      <c r="F424" s="430"/>
      <c r="G424" s="429"/>
      <c r="H424" s="112"/>
    </row>
    <row r="425" spans="1:8" ht="15.75">
      <c r="A425" s="89" t="s">
        <v>219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208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233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27" t="str">
        <f>AÑO!A42</f>
        <v>Dinero Bloqueado</v>
      </c>
      <c r="C442" s="433"/>
      <c r="D442" s="433"/>
      <c r="E442" s="433"/>
      <c r="F442" s="433"/>
      <c r="G442" s="434"/>
      <c r="H442" s="112"/>
    </row>
    <row r="443" spans="2:8" ht="15" customHeight="1" thickBot="1">
      <c r="B443" s="435"/>
      <c r="C443" s="436"/>
      <c r="D443" s="436"/>
      <c r="E443" s="436"/>
      <c r="F443" s="436"/>
      <c r="G443" s="437"/>
      <c r="H443" s="112"/>
    </row>
    <row r="444" spans="2:8" ht="15.75">
      <c r="B444" s="428" t="s">
        <v>8</v>
      </c>
      <c r="C444" s="429"/>
      <c r="D444" s="430" t="s">
        <v>9</v>
      </c>
      <c r="E444" s="430"/>
      <c r="F444" s="430"/>
      <c r="G444" s="429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240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27" t="str">
        <f>AÑO!A43</f>
        <v>Cartama Finanazas</v>
      </c>
      <c r="C462" s="433"/>
      <c r="D462" s="433"/>
      <c r="E462" s="433"/>
      <c r="F462" s="433"/>
      <c r="G462" s="434"/>
      <c r="H462" s="112"/>
    </row>
    <row r="463" spans="2:8" ht="15" customHeight="1" thickBot="1">
      <c r="B463" s="435"/>
      <c r="C463" s="436"/>
      <c r="D463" s="436"/>
      <c r="E463" s="436"/>
      <c r="F463" s="436"/>
      <c r="G463" s="437"/>
      <c r="H463" s="112"/>
    </row>
    <row r="464" spans="2:8" ht="15.75">
      <c r="B464" s="428" t="s">
        <v>8</v>
      </c>
      <c r="C464" s="429"/>
      <c r="D464" s="430" t="s">
        <v>9</v>
      </c>
      <c r="E464" s="430"/>
      <c r="F464" s="430"/>
      <c r="G464" s="429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27" t="str">
        <f>AÑO!A44</f>
        <v>NULO</v>
      </c>
      <c r="C482" s="433"/>
      <c r="D482" s="433"/>
      <c r="E482" s="433"/>
      <c r="F482" s="433"/>
      <c r="G482" s="434"/>
      <c r="H482" s="112"/>
    </row>
    <row r="483" spans="2:8" ht="15" customHeight="1" thickBot="1">
      <c r="B483" s="435"/>
      <c r="C483" s="436"/>
      <c r="D483" s="436"/>
      <c r="E483" s="436"/>
      <c r="F483" s="436"/>
      <c r="G483" s="437"/>
      <c r="H483" s="112"/>
    </row>
    <row r="484" spans="2:8" ht="15.75">
      <c r="B484" s="428" t="s">
        <v>8</v>
      </c>
      <c r="C484" s="429"/>
      <c r="D484" s="430" t="s">
        <v>9</v>
      </c>
      <c r="E484" s="430"/>
      <c r="F484" s="430"/>
      <c r="G484" s="429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27" t="str">
        <f>AÑO!A45</f>
        <v>OTROS</v>
      </c>
      <c r="C502" s="433"/>
      <c r="D502" s="433"/>
      <c r="E502" s="433"/>
      <c r="F502" s="433"/>
      <c r="G502" s="434"/>
      <c r="H502" s="112"/>
    </row>
    <row r="503" spans="2:8" ht="15" customHeight="1" thickBot="1">
      <c r="B503" s="435"/>
      <c r="C503" s="436"/>
      <c r="D503" s="436"/>
      <c r="E503" s="436"/>
      <c r="F503" s="436"/>
      <c r="G503" s="437"/>
      <c r="H503" s="112"/>
    </row>
    <row r="504" spans="2:8" ht="15.75">
      <c r="B504" s="428" t="s">
        <v>8</v>
      </c>
      <c r="C504" s="429"/>
      <c r="D504" s="430" t="s">
        <v>9</v>
      </c>
      <c r="E504" s="430"/>
      <c r="F504" s="430"/>
      <c r="G504" s="429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284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114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30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f>2397.48-4.45</f>
        <v>2393.0300000000002</v>
      </c>
      <c r="L5" s="424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620.08000000000004</v>
      </c>
      <c r="L6" s="426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199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5">
        <f>7340.23-4.45</f>
        <v>7335.78</v>
      </c>
      <c r="L7" s="426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25">
        <v>7001.87</v>
      </c>
      <c r="L8" s="426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5">
        <v>669.52</v>
      </c>
      <c r="L9" s="426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f>160+155</f>
        <v>315</v>
      </c>
      <c r="L11" s="426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v>5092.08</v>
      </c>
      <c r="L12" s="426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1">
        <f>SUM(K5:K18)</f>
        <v>25229.379999999997</v>
      </c>
      <c r="L19" s="432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30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03"/>
      <c r="J27" s="407"/>
      <c r="K27" s="408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313</v>
      </c>
      <c r="K30" s="406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318</v>
      </c>
      <c r="K31" s="408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327</v>
      </c>
      <c r="K32" s="408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 t="s">
        <v>313</v>
      </c>
      <c r="K33" s="408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 t="s">
        <v>358</v>
      </c>
      <c r="K35" s="406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19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19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199"/>
      <c r="M43" s="1"/>
      <c r="R43" s="3"/>
    </row>
    <row r="44" spans="1:18" ht="15.75">
      <c r="A44" s="1"/>
      <c r="B44" s="428" t="s">
        <v>8</v>
      </c>
      <c r="C44" s="429"/>
      <c r="D44" s="430" t="s">
        <v>9</v>
      </c>
      <c r="E44" s="430"/>
      <c r="F44" s="430"/>
      <c r="G44" s="429"/>
      <c r="H44" s="1"/>
      <c r="I44" s="411"/>
      <c r="J44" s="412"/>
      <c r="K44" s="413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 t="s">
        <v>160</v>
      </c>
      <c r="K45" s="406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306</v>
      </c>
      <c r="H46" s="1"/>
      <c r="I46" s="403"/>
      <c r="J46" s="407"/>
      <c r="K46" s="408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307</v>
      </c>
      <c r="H47" s="1"/>
      <c r="I47" s="403"/>
      <c r="J47" s="407"/>
      <c r="K47" s="408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311</v>
      </c>
      <c r="H48" s="1"/>
      <c r="I48" s="403"/>
      <c r="J48" s="407"/>
      <c r="K48" s="408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312</v>
      </c>
      <c r="H49" s="1"/>
      <c r="I49" s="411"/>
      <c r="J49" s="412"/>
      <c r="K49" s="413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323</v>
      </c>
      <c r="H50" s="1"/>
      <c r="I50" s="402" t="str">
        <f>AÑO!A13</f>
        <v>Gubernamental</v>
      </c>
      <c r="J50" s="405" t="s">
        <v>258</v>
      </c>
      <c r="K50" s="406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330</v>
      </c>
      <c r="H51" s="1"/>
      <c r="I51" s="403"/>
      <c r="J51" s="407"/>
      <c r="K51" s="408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331</v>
      </c>
      <c r="H52" s="1"/>
      <c r="I52" s="403"/>
      <c r="J52" s="407"/>
      <c r="K52" s="408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344</v>
      </c>
      <c r="H53" s="1"/>
      <c r="I53" s="403"/>
      <c r="J53" s="407"/>
      <c r="K53" s="408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348</v>
      </c>
      <c r="H54" s="1"/>
      <c r="I54" s="411"/>
      <c r="J54" s="412"/>
      <c r="K54" s="413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349</v>
      </c>
      <c r="H55" s="1"/>
      <c r="I55" s="402" t="str">
        <f>AÑO!A14</f>
        <v>Mutualite/DKV</v>
      </c>
      <c r="J55" s="405"/>
      <c r="K55" s="40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02" t="str">
        <f>AÑO!A15</f>
        <v>Alquiler Cartama</v>
      </c>
      <c r="J60" s="405" t="s">
        <v>314</v>
      </c>
      <c r="K60" s="406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19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19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199"/>
      <c r="M63" s="1"/>
      <c r="R63" s="3"/>
    </row>
    <row r="64" spans="1:18" ht="15.75">
      <c r="A64" s="1"/>
      <c r="B64" s="428" t="s">
        <v>8</v>
      </c>
      <c r="C64" s="429"/>
      <c r="D64" s="430" t="s">
        <v>9</v>
      </c>
      <c r="E64" s="430"/>
      <c r="F64" s="430"/>
      <c r="G64" s="429"/>
      <c r="H64" s="1"/>
      <c r="I64" s="411"/>
      <c r="J64" s="412"/>
      <c r="K64" s="413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319</v>
      </c>
      <c r="H66" s="1"/>
      <c r="I66" s="403"/>
      <c r="J66" s="407"/>
      <c r="K66" s="408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333</v>
      </c>
      <c r="H67" s="1"/>
      <c r="I67" s="403"/>
      <c r="J67" s="407"/>
      <c r="K67" s="408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335</v>
      </c>
      <c r="H68" s="1"/>
      <c r="I68" s="403"/>
      <c r="J68" s="407"/>
      <c r="K68" s="408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340</v>
      </c>
      <c r="H69" s="1"/>
      <c r="I69" s="404"/>
      <c r="J69" s="409"/>
      <c r="K69" s="410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352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30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48.45</v>
      </c>
      <c r="E86" s="138"/>
      <c r="F86" s="138"/>
      <c r="G86" s="16" t="s">
        <v>328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343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342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356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30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30" t="s">
        <v>9</v>
      </c>
      <c r="E124" s="430"/>
      <c r="F124" s="430"/>
      <c r="G124" s="429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D127+D128+'01'!I127</f>
        <v>45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30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307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326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339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30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315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329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30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30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30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349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2:7" ht="15" customHeight="1" thickBot="1">
      <c r="B243" s="418"/>
      <c r="C243" s="419"/>
      <c r="D243" s="419"/>
      <c r="E243" s="419"/>
      <c r="F243" s="419"/>
      <c r="G243" s="420"/>
    </row>
    <row r="244" spans="2:7" ht="15" customHeight="1">
      <c r="B244" s="428" t="s">
        <v>8</v>
      </c>
      <c r="C244" s="429"/>
      <c r="D244" s="430" t="s">
        <v>9</v>
      </c>
      <c r="E244" s="430"/>
      <c r="F244" s="430"/>
      <c r="G244" s="429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349</v>
      </c>
    </row>
    <row r="247" spans="2:7" ht="15" customHeight="1">
      <c r="B247" s="134">
        <v>40</v>
      </c>
      <c r="C247" s="16" t="s">
        <v>360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2:7" ht="15" customHeight="1" thickBot="1">
      <c r="B263" s="418"/>
      <c r="C263" s="419"/>
      <c r="D263" s="419"/>
      <c r="E263" s="419"/>
      <c r="F263" s="419"/>
      <c r="G263" s="420"/>
    </row>
    <row r="264" spans="2:7">
      <c r="B264" s="428" t="s">
        <v>8</v>
      </c>
      <c r="C264" s="429"/>
      <c r="D264" s="430" t="s">
        <v>9</v>
      </c>
      <c r="E264" s="430"/>
      <c r="F264" s="430"/>
      <c r="G264" s="429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316</v>
      </c>
    </row>
    <row r="267" spans="2:7">
      <c r="B267" s="134"/>
      <c r="C267" s="16"/>
      <c r="D267" s="137">
        <v>10.45</v>
      </c>
      <c r="E267" s="138"/>
      <c r="F267" s="138"/>
      <c r="G267" s="16" t="s">
        <v>320</v>
      </c>
    </row>
    <row r="268" spans="2:7">
      <c r="B268" s="134"/>
      <c r="C268" s="16"/>
      <c r="D268" s="137"/>
      <c r="E268" s="138">
        <v>57.96</v>
      </c>
      <c r="F268" s="138"/>
      <c r="G268" s="16" t="s">
        <v>346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30" t="s">
        <v>9</v>
      </c>
      <c r="E284" s="430"/>
      <c r="F284" s="430"/>
      <c r="G284" s="4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30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332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345</v>
      </c>
    </row>
    <row r="308" spans="2:7">
      <c r="B308" s="134">
        <v>61.11</v>
      </c>
      <c r="C308" s="27" t="s">
        <v>359</v>
      </c>
      <c r="D308" s="137">
        <v>11.12</v>
      </c>
      <c r="E308" s="138"/>
      <c r="F308" s="138"/>
      <c r="G308" s="16" t="s">
        <v>350</v>
      </c>
    </row>
    <row r="309" spans="2:7">
      <c r="B309" s="134"/>
      <c r="C309" s="16"/>
      <c r="D309" s="137">
        <v>6</v>
      </c>
      <c r="E309" s="138"/>
      <c r="F309" s="138"/>
      <c r="G309" s="16" t="s">
        <v>349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27" t="str">
        <f>AÑO!A36</f>
        <v>Nenas</v>
      </c>
      <c r="C322" s="416"/>
      <c r="D322" s="416"/>
      <c r="E322" s="416"/>
      <c r="F322" s="416"/>
      <c r="G322" s="417"/>
    </row>
    <row r="323" spans="2:7" ht="15" customHeight="1" thickBot="1">
      <c r="B323" s="418"/>
      <c r="C323" s="419"/>
      <c r="D323" s="419"/>
      <c r="E323" s="419"/>
      <c r="F323" s="419"/>
      <c r="G323" s="420"/>
    </row>
    <row r="324" spans="2:7">
      <c r="B324" s="428" t="s">
        <v>8</v>
      </c>
      <c r="C324" s="429"/>
      <c r="D324" s="430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2:7" ht="15" customHeight="1" thickBot="1">
      <c r="B343" s="418"/>
      <c r="C343" s="419"/>
      <c r="D343" s="419"/>
      <c r="E343" s="419"/>
      <c r="F343" s="419"/>
      <c r="G343" s="420"/>
    </row>
    <row r="344" spans="2:7">
      <c r="B344" s="428" t="s">
        <v>8</v>
      </c>
      <c r="C344" s="429"/>
      <c r="D344" s="430" t="s">
        <v>9</v>
      </c>
      <c r="E344" s="430"/>
      <c r="F344" s="430"/>
      <c r="G344" s="4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>
        <v>285.64999999999998</v>
      </c>
      <c r="E346" s="138"/>
      <c r="F346" s="138"/>
      <c r="G346" s="16" t="s">
        <v>317</v>
      </c>
    </row>
    <row r="347" spans="2:7">
      <c r="B347" s="134"/>
      <c r="C347" s="16"/>
      <c r="D347" s="137"/>
      <c r="E347" s="138"/>
      <c r="F347" s="138">
        <v>30</v>
      </c>
      <c r="G347" s="16" t="s">
        <v>341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2:7" ht="15" customHeight="1" thickBot="1">
      <c r="B363" s="418"/>
      <c r="C363" s="419"/>
      <c r="D363" s="419"/>
      <c r="E363" s="419"/>
      <c r="F363" s="419"/>
      <c r="G363" s="420"/>
    </row>
    <row r="364" spans="2:7">
      <c r="B364" s="428" t="s">
        <v>8</v>
      </c>
      <c r="C364" s="429"/>
      <c r="D364" s="430" t="s">
        <v>9</v>
      </c>
      <c r="E364" s="430"/>
      <c r="F364" s="430"/>
      <c r="G364" s="4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326</v>
      </c>
    </row>
    <row r="368" spans="2:7">
      <c r="B368" s="134"/>
      <c r="C368" s="16"/>
      <c r="D368" s="137">
        <v>60</v>
      </c>
      <c r="E368" s="138"/>
      <c r="F368" s="138"/>
      <c r="G368" s="16" t="s">
        <v>334</v>
      </c>
    </row>
    <row r="369" spans="2:7">
      <c r="B369" s="134"/>
      <c r="C369" s="16"/>
      <c r="D369" s="137">
        <v>26.58</v>
      </c>
      <c r="E369" s="138"/>
      <c r="F369" s="138"/>
      <c r="G369" s="16" t="s">
        <v>338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16"/>
      <c r="D382" s="416"/>
      <c r="E382" s="416"/>
      <c r="F382" s="416"/>
      <c r="G382" s="417"/>
    </row>
    <row r="383" spans="2:7" ht="15" customHeight="1" thickBot="1">
      <c r="B383" s="418"/>
      <c r="C383" s="419"/>
      <c r="D383" s="419"/>
      <c r="E383" s="419"/>
      <c r="F383" s="419"/>
      <c r="G383" s="420"/>
    </row>
    <row r="384" spans="2:7">
      <c r="B384" s="428" t="s">
        <v>8</v>
      </c>
      <c r="C384" s="429"/>
      <c r="D384" s="430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30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272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8" ht="15" customHeight="1" thickBot="1">
      <c r="B423" s="435"/>
      <c r="C423" s="436"/>
      <c r="D423" s="436"/>
      <c r="E423" s="436"/>
      <c r="F423" s="436"/>
      <c r="G423" s="437"/>
    </row>
    <row r="424" spans="1:8">
      <c r="B424" s="428" t="s">
        <v>8</v>
      </c>
      <c r="C424" s="429"/>
      <c r="D424" s="430" t="s">
        <v>9</v>
      </c>
      <c r="E424" s="430"/>
      <c r="F424" s="430"/>
      <c r="G424" s="429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355</v>
      </c>
    </row>
    <row r="426" spans="1:8" ht="15.75">
      <c r="A426" s="112">
        <v>3900</v>
      </c>
      <c r="B426" s="134">
        <f>A425-SUM(A426:A439)</f>
        <v>120.06999999999971</v>
      </c>
      <c r="C426" s="19" t="s">
        <v>233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308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30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1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30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1559.34</v>
      </c>
      <c r="L5" s="424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620.08000000000004</v>
      </c>
      <c r="L6" s="426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199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25">
        <v>8577.0300000000007</v>
      </c>
      <c r="L7" s="426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3501.87</v>
      </c>
      <c r="L8" s="426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25">
        <v>4167.34</v>
      </c>
      <c r="L9" s="426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v>255</v>
      </c>
      <c r="L11" s="426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v>5092.08</v>
      </c>
      <c r="L12" s="426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325</v>
      </c>
      <c r="D13" s="137"/>
      <c r="E13" s="138">
        <v>79</v>
      </c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1">
        <f>SUM(K5:K18)</f>
        <v>25574.760000000002</v>
      </c>
      <c r="L19" s="432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30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03"/>
      <c r="J27" s="407"/>
      <c r="K27" s="408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361</v>
      </c>
      <c r="K30" s="406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237</v>
      </c>
      <c r="K31" s="408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327</v>
      </c>
      <c r="K32" s="408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/>
      <c r="K35" s="406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19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19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199"/>
      <c r="M43" s="1"/>
      <c r="R43" s="3"/>
    </row>
    <row r="44" spans="1:18" ht="15.75">
      <c r="A44" s="1"/>
      <c r="B44" s="428" t="s">
        <v>8</v>
      </c>
      <c r="C44" s="429"/>
      <c r="D44" s="430" t="s">
        <v>9</v>
      </c>
      <c r="E44" s="430"/>
      <c r="F44" s="430"/>
      <c r="G44" s="429"/>
      <c r="H44" s="1"/>
      <c r="I44" s="411"/>
      <c r="J44" s="412"/>
      <c r="K44" s="413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 t="s">
        <v>378</v>
      </c>
      <c r="K45" s="406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362</v>
      </c>
      <c r="H46" s="1"/>
      <c r="I46" s="403"/>
      <c r="J46" s="407" t="s">
        <v>160</v>
      </c>
      <c r="K46" s="408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363</v>
      </c>
      <c r="H47" s="1"/>
      <c r="I47" s="403"/>
      <c r="J47" s="407"/>
      <c r="K47" s="408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370</v>
      </c>
      <c r="H48" s="1"/>
      <c r="I48" s="403"/>
      <c r="J48" s="407"/>
      <c r="K48" s="408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374</v>
      </c>
      <c r="H49" s="1"/>
      <c r="I49" s="411"/>
      <c r="J49" s="412"/>
      <c r="K49" s="413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373</v>
      </c>
      <c r="H50" s="1"/>
      <c r="I50" s="402" t="str">
        <f>AÑO!A13</f>
        <v>Gubernamental</v>
      </c>
      <c r="J50" s="405" t="s">
        <v>258</v>
      </c>
      <c r="K50" s="406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380</v>
      </c>
      <c r="H51" s="1"/>
      <c r="I51" s="403"/>
      <c r="J51" s="407" t="s">
        <v>416</v>
      </c>
      <c r="K51" s="408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385</v>
      </c>
      <c r="H52" s="1"/>
      <c r="I52" s="403"/>
      <c r="J52" s="407"/>
      <c r="K52" s="408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386</v>
      </c>
      <c r="H53" s="1"/>
      <c r="I53" s="403"/>
      <c r="J53" s="407"/>
      <c r="K53" s="408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406</v>
      </c>
      <c r="H54" s="1"/>
      <c r="I54" s="411"/>
      <c r="J54" s="412"/>
      <c r="K54" s="413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420</v>
      </c>
      <c r="H55" s="1"/>
      <c r="I55" s="402" t="str">
        <f>AÑO!A14</f>
        <v>Mutualite/DKV</v>
      </c>
      <c r="J55" s="438" t="str">
        <f>G306</f>
        <v>12/03 Chirec</v>
      </c>
      <c r="K55" s="406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365</v>
      </c>
      <c r="K60" s="406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19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19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199"/>
      <c r="M63" s="1"/>
      <c r="R63" s="3"/>
    </row>
    <row r="64" spans="1:18" ht="15.75">
      <c r="A64" s="1"/>
      <c r="B64" s="428" t="s">
        <v>8</v>
      </c>
      <c r="C64" s="429"/>
      <c r="D64" s="430" t="s">
        <v>9</v>
      </c>
      <c r="E64" s="430"/>
      <c r="F64" s="430"/>
      <c r="G64" s="429"/>
      <c r="H64" s="1"/>
      <c r="I64" s="411"/>
      <c r="J64" s="412"/>
      <c r="K64" s="413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364</v>
      </c>
      <c r="H66" s="1"/>
      <c r="I66" s="403"/>
      <c r="J66" s="407"/>
      <c r="K66" s="408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372</v>
      </c>
      <c r="H67" s="1"/>
      <c r="I67" s="403"/>
      <c r="J67" s="407"/>
      <c r="K67" s="40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376</v>
      </c>
      <c r="H68" s="1"/>
      <c r="I68" s="403"/>
      <c r="J68" s="407"/>
      <c r="K68" s="40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387</v>
      </c>
      <c r="H69" s="1"/>
      <c r="I69" s="404"/>
      <c r="J69" s="409"/>
      <c r="K69" s="410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389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419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421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366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30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49.03</v>
      </c>
      <c r="E86" s="138"/>
      <c r="F86" s="138"/>
      <c r="G86" s="16" t="s">
        <v>391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392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393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30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30" t="s">
        <v>9</v>
      </c>
      <c r="E124" s="430"/>
      <c r="F124" s="430"/>
      <c r="G124" s="429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877</v>
      </c>
      <c r="I127" s="113">
        <f>D127+D128+'02'!I127</f>
        <v>60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30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371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385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30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30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409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30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383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407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30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8" ht="15" customHeight="1" thickBot="1">
      <c r="B243" s="418"/>
      <c r="C243" s="419"/>
      <c r="D243" s="419"/>
      <c r="E243" s="419"/>
      <c r="F243" s="419"/>
      <c r="G243" s="420"/>
    </row>
    <row r="244" spans="1:8" ht="15" customHeight="1">
      <c r="B244" s="428" t="s">
        <v>8</v>
      </c>
      <c r="C244" s="429"/>
      <c r="D244" s="430" t="s">
        <v>9</v>
      </c>
      <c r="E244" s="430"/>
      <c r="F244" s="430"/>
      <c r="G244" s="429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377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381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398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408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404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402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403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7" ht="15" customHeight="1" thickBot="1">
      <c r="B263" s="418"/>
      <c r="C263" s="419"/>
      <c r="D263" s="419"/>
      <c r="E263" s="419"/>
      <c r="F263" s="419"/>
      <c r="G263" s="420"/>
    </row>
    <row r="264" spans="1:7">
      <c r="B264" s="428" t="s">
        <v>8</v>
      </c>
      <c r="C264" s="429"/>
      <c r="D264" s="430" t="s">
        <v>9</v>
      </c>
      <c r="E264" s="430"/>
      <c r="F264" s="430"/>
      <c r="G264" s="429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367</v>
      </c>
    </row>
    <row r="267" spans="1:7">
      <c r="B267" s="134">
        <v>4021.94</v>
      </c>
      <c r="C267" s="16" t="s">
        <v>416</v>
      </c>
      <c r="D267" s="137"/>
      <c r="E267" s="138"/>
      <c r="F267" s="138">
        <v>15</v>
      </c>
      <c r="G267" s="16" t="s">
        <v>422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30" t="s">
        <v>9</v>
      </c>
      <c r="E284" s="430"/>
      <c r="F284" s="430"/>
      <c r="G284" s="4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30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379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394</v>
      </c>
    </row>
    <row r="308" spans="2:7">
      <c r="B308" s="134">
        <f>L55</f>
        <v>9.44</v>
      </c>
      <c r="C308" s="27" t="s">
        <v>405</v>
      </c>
      <c r="D308" s="137">
        <v>8.27</v>
      </c>
      <c r="E308" s="138"/>
      <c r="F308" s="138"/>
      <c r="G308" s="16" t="s">
        <v>395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415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417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27" t="str">
        <f>AÑO!A36</f>
        <v>Nenas</v>
      </c>
      <c r="C322" s="416"/>
      <c r="D322" s="416"/>
      <c r="E322" s="416"/>
      <c r="F322" s="416"/>
      <c r="G322" s="417"/>
    </row>
    <row r="323" spans="2:7" ht="15" customHeight="1" thickBot="1">
      <c r="B323" s="418"/>
      <c r="C323" s="419"/>
      <c r="D323" s="419"/>
      <c r="E323" s="419"/>
      <c r="F323" s="419"/>
      <c r="G323" s="420"/>
    </row>
    <row r="324" spans="2:7">
      <c r="B324" s="428" t="s">
        <v>8</v>
      </c>
      <c r="C324" s="429"/>
      <c r="D324" s="430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390</v>
      </c>
    </row>
    <row r="327" spans="2:7">
      <c r="B327" s="134">
        <v>100</v>
      </c>
      <c r="C327" s="16" t="s">
        <v>378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2:7" ht="15" customHeight="1" thickBot="1">
      <c r="B343" s="418"/>
      <c r="C343" s="419"/>
      <c r="D343" s="419"/>
      <c r="E343" s="419"/>
      <c r="F343" s="419"/>
      <c r="G343" s="420"/>
    </row>
    <row r="344" spans="2:7">
      <c r="B344" s="428" t="s">
        <v>8</v>
      </c>
      <c r="C344" s="429"/>
      <c r="D344" s="430" t="s">
        <v>9</v>
      </c>
      <c r="E344" s="430"/>
      <c r="F344" s="430"/>
      <c r="G344" s="4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>
        <v>16</v>
      </c>
      <c r="E346" s="138"/>
      <c r="F346" s="138"/>
      <c r="G346" s="16" t="s">
        <v>368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369</v>
      </c>
    </row>
    <row r="348" spans="2:7">
      <c r="B348" s="134"/>
      <c r="C348" s="16"/>
      <c r="D348" s="137">
        <v>16</v>
      </c>
      <c r="E348" s="138"/>
      <c r="F348" s="138"/>
      <c r="G348" s="16" t="s">
        <v>382</v>
      </c>
    </row>
    <row r="349" spans="2:7">
      <c r="B349" s="134"/>
      <c r="C349" s="16"/>
      <c r="D349" s="137">
        <v>10</v>
      </c>
      <c r="E349" s="138"/>
      <c r="F349" s="138"/>
      <c r="G349" s="16" t="s">
        <v>383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2:7" ht="15" customHeight="1" thickBot="1">
      <c r="B363" s="418"/>
      <c r="C363" s="419"/>
      <c r="D363" s="419"/>
      <c r="E363" s="419"/>
      <c r="F363" s="419"/>
      <c r="G363" s="420"/>
    </row>
    <row r="364" spans="2:7">
      <c r="B364" s="428" t="s">
        <v>8</v>
      </c>
      <c r="C364" s="429"/>
      <c r="D364" s="430" t="s">
        <v>9</v>
      </c>
      <c r="E364" s="430"/>
      <c r="F364" s="430"/>
      <c r="G364" s="4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16"/>
      <c r="D382" s="416"/>
      <c r="E382" s="416"/>
      <c r="F382" s="416"/>
      <c r="G382" s="417"/>
    </row>
    <row r="383" spans="2:7" ht="15" customHeight="1" thickBot="1">
      <c r="B383" s="418"/>
      <c r="C383" s="419"/>
      <c r="D383" s="419"/>
      <c r="E383" s="419"/>
      <c r="F383" s="419"/>
      <c r="G383" s="420"/>
    </row>
    <row r="384" spans="2:7">
      <c r="B384" s="428" t="s">
        <v>8</v>
      </c>
      <c r="C384" s="429"/>
      <c r="D384" s="430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30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272</v>
      </c>
    </row>
    <row r="407" spans="2:7">
      <c r="B407" s="134">
        <v>-984.2</v>
      </c>
      <c r="C407" s="16" t="s">
        <v>411</v>
      </c>
      <c r="D407" s="137">
        <v>44.93</v>
      </c>
      <c r="E407" s="138"/>
      <c r="F407" s="138"/>
      <c r="G407" s="16" t="s">
        <v>410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30" t="s">
        <v>9</v>
      </c>
      <c r="E424" s="430"/>
      <c r="F424" s="430"/>
      <c r="G424" s="429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233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412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30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15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861.84</v>
      </c>
      <c r="L5" s="424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620.08000000000004</v>
      </c>
      <c r="L6" s="426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10075.709999999999</v>
      </c>
      <c r="L7" s="426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25">
        <v>3501.87</v>
      </c>
      <c r="L8" s="426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v>35.96</v>
      </c>
      <c r="L9" s="426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v>370</v>
      </c>
      <c r="L11" s="426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5092.08+4084.2</f>
        <v>9176.2799999999988</v>
      </c>
      <c r="L12" s="426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26443.759999999998</v>
      </c>
      <c r="L19" s="441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361</v>
      </c>
      <c r="K30" s="406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429</v>
      </c>
      <c r="K31" s="408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327</v>
      </c>
      <c r="K32" s="408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/>
      <c r="K35" s="406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 t="s">
        <v>423</v>
      </c>
      <c r="K40" s="406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 t="s">
        <v>443</v>
      </c>
      <c r="K41" s="408"/>
      <c r="L41" s="229">
        <v>352.82</v>
      </c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 t="s">
        <v>60</v>
      </c>
      <c r="K42" s="408"/>
      <c r="L42" s="229">
        <v>0.02</v>
      </c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444</v>
      </c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450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>
        <v>40</v>
      </c>
      <c r="C48" s="16" t="s">
        <v>428</v>
      </c>
      <c r="D48" s="137">
        <v>5.35</v>
      </c>
      <c r="E48" s="138"/>
      <c r="F48" s="138"/>
      <c r="G48" s="16" t="s">
        <v>455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 t="s">
        <v>460</v>
      </c>
      <c r="D49" s="137"/>
      <c r="E49" s="138"/>
      <c r="F49" s="138"/>
      <c r="G49" s="16"/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>
        <v>-146</v>
      </c>
      <c r="C50" s="16" t="s">
        <v>463</v>
      </c>
      <c r="D50" s="137"/>
      <c r="E50" s="138"/>
      <c r="F50" s="138"/>
      <c r="G50" s="16"/>
      <c r="H50" s="1"/>
      <c r="I50" s="402" t="str">
        <f>AÑO!A13</f>
        <v>Gubernamental</v>
      </c>
      <c r="J50" s="405" t="s">
        <v>432</v>
      </c>
      <c r="K50" s="406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38" t="str">
        <f>'03'!G307</f>
        <v>22/03 Chirec</v>
      </c>
      <c r="K55" s="406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39" t="str">
        <f>'03'!G309</f>
        <v>26/03 Ginecologa</v>
      </c>
      <c r="K56" s="408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 t="s">
        <v>447</v>
      </c>
      <c r="K57" s="408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/>
      <c r="K60" s="406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451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>
        <v>-50</v>
      </c>
      <c r="C67" s="16" t="s">
        <v>463</v>
      </c>
      <c r="D67" s="137">
        <v>41</v>
      </c>
      <c r="E67" s="138"/>
      <c r="F67" s="138"/>
      <c r="G67" s="31" t="s">
        <v>457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57.56</v>
      </c>
      <c r="E86" s="138"/>
      <c r="F86" s="138"/>
      <c r="G86" s="16" t="s">
        <v>441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458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464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453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454</v>
      </c>
      <c r="D109" s="137">
        <v>11</v>
      </c>
      <c r="E109" s="138"/>
      <c r="F109" s="138">
        <v>3</v>
      </c>
      <c r="G109" s="31" t="s">
        <v>459</v>
      </c>
      <c r="H109" s="1"/>
      <c r="M109" s="1"/>
      <c r="R109" s="3"/>
    </row>
    <row r="110" spans="1:18" ht="15.75">
      <c r="B110" s="134">
        <v>1370</v>
      </c>
      <c r="C110" s="18" t="s">
        <v>442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D127+D128+'03'!I127</f>
        <v>80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425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433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438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439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449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427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430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402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403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7" ht="15" customHeight="1" thickBot="1">
      <c r="B263" s="418"/>
      <c r="C263" s="419"/>
      <c r="D263" s="419"/>
      <c r="E263" s="419"/>
      <c r="F263" s="419"/>
      <c r="G263" s="420"/>
    </row>
    <row r="264" spans="1:7">
      <c r="B264" s="428" t="s">
        <v>8</v>
      </c>
      <c r="C264" s="429"/>
      <c r="D264" s="428" t="s">
        <v>9</v>
      </c>
      <c r="E264" s="430"/>
      <c r="F264" s="430"/>
      <c r="G264" s="429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426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28" t="s">
        <v>9</v>
      </c>
      <c r="E284" s="430"/>
      <c r="F284" s="430"/>
      <c r="G284" s="4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431</v>
      </c>
    </row>
    <row r="287" spans="2:8">
      <c r="B287" s="134"/>
      <c r="C287" s="16"/>
      <c r="D287" s="137">
        <v>9.65</v>
      </c>
      <c r="E287" s="138"/>
      <c r="F287" s="138"/>
      <c r="G287" s="16" t="s">
        <v>437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446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>
        <f>37.5+37.5</f>
        <v>75</v>
      </c>
      <c r="E306" s="138"/>
      <c r="F306" s="138"/>
      <c r="G306" s="16" t="s">
        <v>461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440</v>
      </c>
    </row>
    <row r="308" spans="2:7">
      <c r="B308" s="134">
        <f>L55+L56+L57</f>
        <v>37.980000000000004</v>
      </c>
      <c r="C308" s="27" t="s">
        <v>465</v>
      </c>
      <c r="D308" s="137"/>
      <c r="E308" s="138"/>
      <c r="F308" s="138">
        <v>50</v>
      </c>
      <c r="G308" s="16" t="s">
        <v>447</v>
      </c>
    </row>
    <row r="309" spans="2:7">
      <c r="B309" s="134"/>
      <c r="C309" s="16"/>
      <c r="D309" s="137">
        <v>63.9</v>
      </c>
      <c r="E309" s="138"/>
      <c r="F309" s="138"/>
      <c r="G309" s="16" t="s">
        <v>467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2:7" ht="15" customHeight="1" thickBot="1">
      <c r="B343" s="418"/>
      <c r="C343" s="419"/>
      <c r="D343" s="419"/>
      <c r="E343" s="419"/>
      <c r="F343" s="419"/>
      <c r="G343" s="420"/>
    </row>
    <row r="344" spans="2:7">
      <c r="B344" s="428" t="s">
        <v>8</v>
      </c>
      <c r="C344" s="429"/>
      <c r="D344" s="428" t="s">
        <v>9</v>
      </c>
      <c r="E344" s="430"/>
      <c r="F344" s="430"/>
      <c r="G344" s="4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2:7" ht="15" customHeight="1" thickBot="1">
      <c r="B363" s="418"/>
      <c r="C363" s="419"/>
      <c r="D363" s="419"/>
      <c r="E363" s="419"/>
      <c r="F363" s="419"/>
      <c r="G363" s="420"/>
    </row>
    <row r="364" spans="2:7">
      <c r="B364" s="428" t="s">
        <v>8</v>
      </c>
      <c r="C364" s="429"/>
      <c r="D364" s="428" t="s">
        <v>9</v>
      </c>
      <c r="E364" s="430"/>
      <c r="F364" s="430"/>
      <c r="G364" s="4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442</v>
      </c>
      <c r="D387" s="137"/>
      <c r="E387" s="138"/>
      <c r="F387" s="138"/>
      <c r="G387" s="16"/>
    </row>
    <row r="388" spans="2:7">
      <c r="B388" s="134">
        <v>106.26</v>
      </c>
      <c r="C388" s="27" t="s">
        <v>443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424</v>
      </c>
    </row>
    <row r="407" spans="2:7">
      <c r="B407" s="134">
        <v>3.75</v>
      </c>
      <c r="C407" s="16" t="s">
        <v>423</v>
      </c>
      <c r="D407" s="137"/>
      <c r="E407" s="138">
        <f>10+10</f>
        <v>20</v>
      </c>
      <c r="F407" s="138"/>
      <c r="G407" s="16" t="s">
        <v>448</v>
      </c>
    </row>
    <row r="408" spans="2:7">
      <c r="B408" s="134">
        <v>984.2</v>
      </c>
      <c r="C408" s="18" t="s">
        <v>442</v>
      </c>
      <c r="D408" s="137"/>
      <c r="E408" s="138"/>
      <c r="F408" s="138"/>
      <c r="G408" s="16"/>
    </row>
    <row r="409" spans="2:7">
      <c r="B409" s="134">
        <v>85.02</v>
      </c>
      <c r="C409" s="27" t="s">
        <v>443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233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466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442</v>
      </c>
      <c r="D469" s="137"/>
      <c r="E469" s="138"/>
      <c r="F469" s="138"/>
      <c r="G469" s="16"/>
    </row>
    <row r="470" spans="1:7">
      <c r="B470" s="134">
        <v>43.19</v>
      </c>
      <c r="C470" s="27" t="s">
        <v>443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13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1773.93</v>
      </c>
      <c r="L5" s="424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</v>
      </c>
      <c r="L6" s="426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7144.52</v>
      </c>
      <c r="L7" s="426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10005.620000000001</v>
      </c>
      <c r="L8" s="426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v>514.82000000000005</v>
      </c>
      <c r="L9" s="426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f>210</f>
        <v>210</v>
      </c>
      <c r="L11" s="426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v>5092.08</v>
      </c>
      <c r="L12" s="426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27163.090000000004</v>
      </c>
      <c r="L19" s="441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429</v>
      </c>
      <c r="K30" s="406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361</v>
      </c>
      <c r="K31" s="408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327</v>
      </c>
      <c r="K32" s="408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/>
      <c r="K35" s="406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 t="s">
        <v>471</v>
      </c>
      <c r="K40" s="406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470</v>
      </c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473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 t="s">
        <v>456</v>
      </c>
      <c r="D48" s="137">
        <v>27.34</v>
      </c>
      <c r="E48" s="138"/>
      <c r="F48" s="138"/>
      <c r="G48" s="16" t="s">
        <v>480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481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488</v>
      </c>
      <c r="H50" s="1"/>
      <c r="I50" s="402" t="str">
        <f>AÑO!A13</f>
        <v>Gubernamental</v>
      </c>
      <c r="J50" s="405" t="s">
        <v>482</v>
      </c>
      <c r="K50" s="406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489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493</v>
      </c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496</v>
      </c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605</v>
      </c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606</v>
      </c>
      <c r="H55" s="1"/>
      <c r="I55" s="402" t="str">
        <f>AÑO!A14</f>
        <v>Mutualite/DKV</v>
      </c>
      <c r="J55" s="405" t="s">
        <v>476</v>
      </c>
      <c r="K55" s="406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/>
      <c r="K60" s="406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469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478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479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486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487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494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607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55.61</v>
      </c>
      <c r="E86" s="138"/>
      <c r="F86" s="138"/>
      <c r="G86" s="16" t="s">
        <v>474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490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499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608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D127+D128+'04'!I127</f>
        <v>80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473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492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566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491</v>
      </c>
    </row>
    <row r="207" spans="2:12">
      <c r="B207" s="134">
        <v>15</v>
      </c>
      <c r="C207" s="16" t="s">
        <v>566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401</v>
      </c>
      <c r="D246" s="137">
        <v>15</v>
      </c>
      <c r="E246" s="138"/>
      <c r="F246" s="138"/>
      <c r="G246" s="16" t="s">
        <v>489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497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430</v>
      </c>
      <c r="D257" s="137"/>
      <c r="E257" s="138">
        <f>100.67</f>
        <v>100.67</v>
      </c>
      <c r="F257" s="138"/>
      <c r="G257" s="16" t="s">
        <v>611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402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477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28" t="s">
        <v>9</v>
      </c>
      <c r="E284" s="430"/>
      <c r="F284" s="430"/>
      <c r="G284" s="4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484</v>
      </c>
    </row>
    <row r="287" spans="2:8">
      <c r="B287" s="134">
        <v>35</v>
      </c>
      <c r="C287" s="16" t="s">
        <v>612</v>
      </c>
      <c r="D287" s="137">
        <v>54.8</v>
      </c>
      <c r="E287" s="138"/>
      <c r="F287" s="138"/>
      <c r="G287" s="16" t="s">
        <v>614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632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>
        <v>4.4000000000000004</v>
      </c>
      <c r="E306" s="138"/>
      <c r="F306" s="138"/>
      <c r="G306" s="16" t="s">
        <v>468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476</v>
      </c>
    </row>
    <row r="308" spans="2:7">
      <c r="B308" s="134">
        <v>17.45</v>
      </c>
      <c r="C308" s="27" t="s">
        <v>485</v>
      </c>
      <c r="D308" s="137">
        <f>51.89+44.67</f>
        <v>96.56</v>
      </c>
      <c r="E308" s="138"/>
      <c r="F308" s="138"/>
      <c r="G308" s="16" t="s">
        <v>604</v>
      </c>
    </row>
    <row r="309" spans="2:7">
      <c r="B309" s="134">
        <v>170</v>
      </c>
      <c r="C309" s="16" t="s">
        <v>566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483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2:7" ht="15" customHeight="1" thickBot="1">
      <c r="B343" s="418"/>
      <c r="C343" s="419"/>
      <c r="D343" s="419"/>
      <c r="E343" s="419"/>
      <c r="F343" s="419"/>
      <c r="G343" s="420"/>
    </row>
    <row r="344" spans="2:7">
      <c r="B344" s="428" t="s">
        <v>8</v>
      </c>
      <c r="C344" s="429"/>
      <c r="D344" s="428" t="s">
        <v>9</v>
      </c>
      <c r="E344" s="430"/>
      <c r="F344" s="430"/>
      <c r="G344" s="4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2:7" ht="15" customHeight="1" thickBot="1">
      <c r="B363" s="418"/>
      <c r="C363" s="419"/>
      <c r="D363" s="419"/>
      <c r="E363" s="419"/>
      <c r="F363" s="419"/>
      <c r="G363" s="420"/>
    </row>
    <row r="364" spans="2:7">
      <c r="B364" s="428" t="s">
        <v>8</v>
      </c>
      <c r="C364" s="429"/>
      <c r="D364" s="428" t="s">
        <v>9</v>
      </c>
      <c r="E364" s="430"/>
      <c r="F364" s="430"/>
      <c r="G364" s="4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633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472</v>
      </c>
    </row>
    <row r="407" spans="2:7">
      <c r="B407" s="134">
        <v>45.86</v>
      </c>
      <c r="C407" s="16" t="s">
        <v>471</v>
      </c>
      <c r="D407" s="137"/>
      <c r="E407" s="138"/>
      <c r="F407" s="138"/>
      <c r="G407" s="16"/>
    </row>
    <row r="408" spans="2:7">
      <c r="B408" s="134">
        <v>-1094.26</v>
      </c>
      <c r="C408" s="16" t="s">
        <v>411</v>
      </c>
      <c r="D408" s="137">
        <v>44.48</v>
      </c>
      <c r="E408" s="138"/>
      <c r="F408" s="138"/>
      <c r="G408" s="16" t="s">
        <v>498</v>
      </c>
    </row>
    <row r="409" spans="2:7">
      <c r="B409" s="134">
        <f>29.29+20</f>
        <v>49.29</v>
      </c>
      <c r="C409" s="16" t="s">
        <v>566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8" ht="15" customHeight="1" thickBot="1">
      <c r="B423" s="435"/>
      <c r="C423" s="436"/>
      <c r="D423" s="436"/>
      <c r="E423" s="436"/>
      <c r="F423" s="436"/>
      <c r="G423" s="437"/>
    </row>
    <row r="424" spans="1:8">
      <c r="B424" s="428" t="s">
        <v>8</v>
      </c>
      <c r="C424" s="429"/>
      <c r="D424" s="428" t="s">
        <v>9</v>
      </c>
      <c r="E424" s="430"/>
      <c r="F424" s="430"/>
      <c r="G424" s="429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233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412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5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f>M5+2156.93</f>
        <v>1614.1099999999997</v>
      </c>
      <c r="L5" s="424"/>
      <c r="M5" s="1">
        <f>-542.82</f>
        <v>-542.82000000000005</v>
      </c>
      <c r="N5" s="1" t="s">
        <v>610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</v>
      </c>
      <c r="L6" s="426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f>9234.42-58.2</f>
        <v>9176.2199999999993</v>
      </c>
      <c r="L7" s="426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25">
        <v>6305.62</v>
      </c>
      <c r="L8" s="426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25">
        <v>169.67</v>
      </c>
      <c r="L9" s="426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v>190</v>
      </c>
      <c r="L11" s="426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5092.08+4044.26</f>
        <v>9136.34</v>
      </c>
      <c r="L12" s="426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29014.079999999998</v>
      </c>
      <c r="L19" s="441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625</v>
      </c>
      <c r="K30" s="406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429</v>
      </c>
      <c r="K31" s="408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327</v>
      </c>
      <c r="K32" s="408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 t="s">
        <v>358</v>
      </c>
      <c r="K35" s="406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 t="s">
        <v>160</v>
      </c>
      <c r="K45" s="406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617</v>
      </c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629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 t="s">
        <v>618</v>
      </c>
      <c r="D48" s="137">
        <v>27.2</v>
      </c>
      <c r="E48" s="138"/>
      <c r="F48" s="138"/>
      <c r="G48" s="16" t="s">
        <v>642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643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647</v>
      </c>
      <c r="H50" s="1"/>
      <c r="I50" s="402" t="str">
        <f>AÑO!A13</f>
        <v>Gubernamental</v>
      </c>
      <c r="J50" s="405" t="s">
        <v>638</v>
      </c>
      <c r="K50" s="406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655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657</v>
      </c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663</v>
      </c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668</v>
      </c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672</v>
      </c>
      <c r="H55" s="1"/>
      <c r="I55" s="402" t="str">
        <f>AÑO!A14</f>
        <v>Mutualite/DKV</v>
      </c>
      <c r="J55" s="405"/>
      <c r="K55" s="40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626</v>
      </c>
      <c r="K60" s="406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639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>
        <v>-35</v>
      </c>
      <c r="C67" s="16" t="s">
        <v>627</v>
      </c>
      <c r="D67" s="137">
        <v>36.049999999999997</v>
      </c>
      <c r="E67" s="138"/>
      <c r="F67" s="138"/>
      <c r="G67" s="31" t="s">
        <v>650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652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654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658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659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666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41.71</v>
      </c>
      <c r="E86" s="138"/>
      <c r="F86" s="138"/>
      <c r="G86" s="16" t="s">
        <v>621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623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640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641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662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664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665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670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D127+D128+'05'!I127</f>
        <v>100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671</v>
      </c>
      <c r="H146" s="1"/>
      <c r="M146" s="1"/>
      <c r="R146" s="3"/>
    </row>
    <row r="147" spans="1:22" ht="15.75">
      <c r="A147" s="1"/>
      <c r="B147" s="134">
        <v>-60</v>
      </c>
      <c r="C147" s="16" t="s">
        <v>619</v>
      </c>
      <c r="D147" s="137"/>
      <c r="E147" s="138"/>
      <c r="F147" s="138"/>
      <c r="G147" s="16" t="s">
        <v>620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648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653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655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656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673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401</v>
      </c>
      <c r="D246" s="137"/>
      <c r="E246" s="138">
        <v>21.08</v>
      </c>
      <c r="F246" s="138"/>
      <c r="G246" s="16" t="s">
        <v>646</v>
      </c>
    </row>
    <row r="247" spans="1:7" ht="15" customHeight="1">
      <c r="A247" s="112"/>
      <c r="B247" s="134">
        <f>-10</f>
        <v>-10</v>
      </c>
      <c r="C247" s="16" t="s">
        <v>675</v>
      </c>
      <c r="D247" s="137">
        <v>12.99</v>
      </c>
      <c r="E247" s="138"/>
      <c r="F247" s="138"/>
      <c r="G247" s="16" t="s">
        <v>655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668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430</v>
      </c>
      <c r="D257" s="137"/>
      <c r="E257" s="138">
        <v>100.67</v>
      </c>
      <c r="F257" s="138"/>
      <c r="G257" s="16" t="s">
        <v>404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402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631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661</v>
      </c>
      <c r="H267" s="89" t="s">
        <v>660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667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9" ht="15" customHeight="1" thickBot="1">
      <c r="B283" s="418"/>
      <c r="C283" s="419"/>
      <c r="D283" s="419"/>
      <c r="E283" s="419"/>
      <c r="F283" s="419"/>
      <c r="G283" s="420"/>
    </row>
    <row r="284" spans="2:9">
      <c r="B284" s="428" t="s">
        <v>8</v>
      </c>
      <c r="C284" s="429"/>
      <c r="D284" s="428" t="s">
        <v>9</v>
      </c>
      <c r="E284" s="430"/>
      <c r="F284" s="430"/>
      <c r="G284" s="429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634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645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615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/>
      <c r="E306" s="138"/>
      <c r="F306" s="138">
        <v>50</v>
      </c>
      <c r="G306" s="16" t="s">
        <v>624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636</v>
      </c>
    </row>
    <row r="308" spans="2:7">
      <c r="B308" s="134"/>
      <c r="C308" s="27"/>
      <c r="D308" s="137"/>
      <c r="E308" s="138"/>
      <c r="F308" s="138">
        <v>50</v>
      </c>
      <c r="G308" s="16" t="s">
        <v>637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140.73+(B346-SUM(D346:F357))</f>
        <v>185.73</v>
      </c>
      <c r="B346" s="133">
        <v>45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616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628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649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668</v>
      </c>
    </row>
    <row r="369" spans="2:7">
      <c r="B369" s="134"/>
      <c r="C369" s="16"/>
      <c r="D369" s="137">
        <v>11</v>
      </c>
      <c r="E369" s="138"/>
      <c r="F369" s="138"/>
      <c r="G369" s="16" t="s">
        <v>669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630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233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622</v>
      </c>
      <c r="D469" s="137"/>
      <c r="E469" s="138"/>
      <c r="F469" s="138"/>
      <c r="G469" s="16" t="s">
        <v>295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f>2939.95</f>
        <v>2939.95</v>
      </c>
      <c r="L5" s="424"/>
      <c r="M5" s="1"/>
      <c r="N5" s="1"/>
      <c r="R5" s="3"/>
    </row>
    <row r="6" spans="1:22" ht="15.75">
      <c r="A6" s="112">
        <f>'06'!A6+(B6-SUM(D6:F6))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</v>
      </c>
      <c r="L6" s="426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8049.26</v>
      </c>
      <c r="L7" s="426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6305.62</v>
      </c>
      <c r="L8" s="426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v>169.67</v>
      </c>
      <c r="L9" s="426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v>260</v>
      </c>
      <c r="L11" s="426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5092.08+4044.26</f>
        <v>9136.34</v>
      </c>
      <c r="L12" s="426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29282.959999999999</v>
      </c>
      <c r="L19" s="441"/>
      <c r="M19" s="1"/>
      <c r="N19" s="1"/>
      <c r="R19" s="3"/>
    </row>
    <row r="20" spans="1:18" ht="16.5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231">
        <v>2568.54</v>
      </c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429</v>
      </c>
      <c r="K30" s="406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625</v>
      </c>
      <c r="K31" s="408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687</v>
      </c>
      <c r="K32" s="408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/>
      <c r="K35" s="406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 t="s">
        <v>674</v>
      </c>
      <c r="K40" s="406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 t="s">
        <v>60</v>
      </c>
      <c r="K41" s="408"/>
      <c r="L41" s="229">
        <v>0.02</v>
      </c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679</v>
      </c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685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 t="s">
        <v>618</v>
      </c>
      <c r="D48" s="137">
        <v>8.1</v>
      </c>
      <c r="E48" s="138"/>
      <c r="F48" s="138"/>
      <c r="G48" s="16" t="s">
        <v>704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682</v>
      </c>
      <c r="D49" s="137">
        <v>2.5499999999999998</v>
      </c>
      <c r="E49" s="138"/>
      <c r="F49" s="138"/>
      <c r="G49" s="16" t="s">
        <v>713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>
        <v>5</v>
      </c>
      <c r="C50" s="16" t="s">
        <v>709</v>
      </c>
      <c r="D50" s="137">
        <v>69.97</v>
      </c>
      <c r="E50" s="138"/>
      <c r="F50" s="138"/>
      <c r="G50" s="16" t="s">
        <v>725</v>
      </c>
      <c r="H50" s="1"/>
      <c r="I50" s="402" t="str">
        <f>AÑO!A13</f>
        <v>Gubernamental</v>
      </c>
      <c r="J50" s="405" t="s">
        <v>638</v>
      </c>
      <c r="K50" s="406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728</v>
      </c>
      <c r="D51" s="137">
        <v>5.29</v>
      </c>
      <c r="E51" s="138"/>
      <c r="F51" s="138"/>
      <c r="G51" s="16" t="s">
        <v>727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05" t="s">
        <v>688</v>
      </c>
      <c r="K55" s="406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 t="s">
        <v>688</v>
      </c>
      <c r="K56" s="408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 t="s">
        <v>688</v>
      </c>
      <c r="K57" s="408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703</v>
      </c>
      <c r="K60" s="406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680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689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711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710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723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47.8</v>
      </c>
      <c r="E86" s="138"/>
      <c r="F86" s="138"/>
      <c r="G86" s="16" t="s">
        <v>712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718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730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733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D127+D128+'06'!I127</f>
        <v>110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692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696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698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706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699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700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701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686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685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714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726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679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697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401</v>
      </c>
      <c r="D246" s="137">
        <v>33.729999999999997</v>
      </c>
      <c r="E246" s="138"/>
      <c r="F246" s="138"/>
      <c r="G246" s="16" t="s">
        <v>722</v>
      </c>
    </row>
    <row r="247" spans="1:7" ht="15" customHeight="1">
      <c r="A247" s="112"/>
      <c r="B247" s="134">
        <v>-5</v>
      </c>
      <c r="C247" s="16" t="s">
        <v>709</v>
      </c>
      <c r="D247" s="137">
        <v>20</v>
      </c>
      <c r="E247" s="138"/>
      <c r="F247" s="138"/>
      <c r="G247" s="16" t="s">
        <v>725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707</v>
      </c>
      <c r="D257" s="137"/>
      <c r="E257" s="138">
        <v>100.67</v>
      </c>
      <c r="F257" s="138"/>
      <c r="G257" s="16" t="s">
        <v>734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716</v>
      </c>
      <c r="D258" s="137">
        <v>349</v>
      </c>
      <c r="E258" s="138"/>
      <c r="F258" s="138"/>
      <c r="G258" s="16" t="s">
        <v>683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28" t="s">
        <v>9</v>
      </c>
      <c r="E284" s="430"/>
      <c r="F284" s="430"/>
      <c r="G284" s="4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685</v>
      </c>
    </row>
    <row r="287" spans="2:8">
      <c r="B287" s="134"/>
      <c r="C287" s="16"/>
      <c r="D287" s="137"/>
      <c r="E287" s="138"/>
      <c r="F287" s="138">
        <v>50</v>
      </c>
      <c r="G287" s="16" t="s">
        <v>694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695</v>
      </c>
    </row>
    <row r="289" spans="2:8">
      <c r="B289" s="134"/>
      <c r="C289" s="16"/>
      <c r="D289" s="137">
        <v>26.31</v>
      </c>
      <c r="E289" s="138"/>
      <c r="F289" s="138"/>
      <c r="G289" s="16" t="s">
        <v>697</v>
      </c>
    </row>
    <row r="290" spans="2:8">
      <c r="B290" s="134"/>
      <c r="C290" s="16"/>
      <c r="D290" s="137"/>
      <c r="E290" s="138">
        <v>31.95</v>
      </c>
      <c r="F290" s="138"/>
      <c r="G290" s="16" t="s">
        <v>715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/>
      <c r="E306" s="138"/>
      <c r="F306" s="138">
        <v>50</v>
      </c>
      <c r="G306" s="16" t="s">
        <v>676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678</v>
      </c>
    </row>
    <row r="308" spans="2:7">
      <c r="B308" s="134">
        <f>37.49+14.27+14.27</f>
        <v>66.03</v>
      </c>
      <c r="C308" s="27" t="s">
        <v>688</v>
      </c>
      <c r="D308" s="137">
        <f>37.5+37.5</f>
        <v>75</v>
      </c>
      <c r="E308" s="138"/>
      <c r="F308" s="138"/>
      <c r="G308" s="16" t="s">
        <v>705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702</v>
      </c>
    </row>
    <row r="327" spans="2:7">
      <c r="B327" s="134">
        <v>100</v>
      </c>
      <c r="C327" s="16" t="s">
        <v>693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'06'!A346+(B346-SUM(D346:F357))</f>
        <v>230.73</v>
      </c>
      <c r="B346" s="133">
        <v>45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719</v>
      </c>
      <c r="D358" s="137">
        <v>64.3</v>
      </c>
      <c r="E358" s="138"/>
      <c r="F358" s="138"/>
      <c r="G358" s="16" t="s">
        <v>717</v>
      </c>
    </row>
    <row r="359" spans="1:7" ht="16.5" thickBot="1">
      <c r="A359" s="112"/>
      <c r="B359" s="135">
        <f>12.64+6.66</f>
        <v>19.3</v>
      </c>
      <c r="C359" s="17" t="s">
        <v>728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681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729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677</v>
      </c>
    </row>
    <row r="407" spans="2:7">
      <c r="B407" s="134">
        <v>1</v>
      </c>
      <c r="C407" s="16" t="s">
        <v>674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729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465.44999999999982</v>
      </c>
      <c r="C426" s="19" t="s">
        <v>233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3508.76</v>
      </c>
      <c r="L5" s="424"/>
      <c r="M5" s="1">
        <f>571.43-192.98-30</f>
        <v>348.44999999999993</v>
      </c>
      <c r="N5" s="1"/>
      <c r="R5" s="3"/>
    </row>
    <row r="6" spans="1:22" ht="15.75">
      <c r="A6" s="112">
        <f>'07'!A6+(B6-SUM(D6:F6))</f>
        <v>6</v>
      </c>
      <c r="B6" s="133">
        <v>403.08</v>
      </c>
      <c r="C6" s="19" t="s">
        <v>736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620.12</v>
      </c>
      <c r="L6" s="426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7490.36</v>
      </c>
      <c r="L7" s="426"/>
      <c r="M7" s="1"/>
      <c r="N7" s="1"/>
      <c r="R7" s="3"/>
    </row>
    <row r="8" spans="1:22" ht="15.75">
      <c r="A8" s="112">
        <f>'07'!A8+(B8-SUM(D8:F8))</f>
        <v>-103.66999999999999</v>
      </c>
      <c r="B8" s="134">
        <v>0</v>
      </c>
      <c r="C8" s="16" t="s">
        <v>35</v>
      </c>
      <c r="D8" s="137"/>
      <c r="E8" s="113">
        <v>103.76</v>
      </c>
      <c r="F8" s="138"/>
      <c r="G8" s="16" t="s">
        <v>35</v>
      </c>
      <c r="H8" s="1"/>
      <c r="I8" s="108" t="s">
        <v>63</v>
      </c>
      <c r="J8" s="107" t="s">
        <v>65</v>
      </c>
      <c r="K8" s="425">
        <v>6305.62</v>
      </c>
      <c r="L8" s="426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v>163.63</v>
      </c>
      <c r="L9" s="426"/>
      <c r="M9" s="1"/>
      <c r="N9" s="1"/>
      <c r="R9" s="3"/>
    </row>
    <row r="10" spans="1:22" ht="15.75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f>20+120</f>
        <v>140</v>
      </c>
      <c r="L11" s="426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5092.08+4044.26</f>
        <v>9136.34</v>
      </c>
      <c r="L12" s="426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29166.850000000002</v>
      </c>
      <c r="L19" s="441"/>
      <c r="M19" s="1"/>
      <c r="N19" s="1"/>
      <c r="R19" s="3"/>
    </row>
    <row r="20" spans="1:18" ht="16.5" thickBot="1">
      <c r="A20" s="112">
        <f>SUM(A6:A15)</f>
        <v>427.06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231">
        <v>2571.5500000000002</v>
      </c>
      <c r="M25" s="1"/>
      <c r="R25" s="3"/>
    </row>
    <row r="26" spans="1:18" ht="15.75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'07'!A27+(B27-SUM(D27:F27))</f>
        <v>38.049999999999955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'07'!A29+(B29-SUM(D29:F29))</f>
        <v>1.5800000000000054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327</v>
      </c>
      <c r="K30" s="406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/>
      <c r="K31" s="408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 t="s">
        <v>396</v>
      </c>
      <c r="K35" s="406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320.02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 t="s">
        <v>775</v>
      </c>
      <c r="K45" s="406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743</v>
      </c>
      <c r="H46" s="1"/>
      <c r="I46" s="403"/>
      <c r="J46" s="407" t="s">
        <v>776</v>
      </c>
      <c r="K46" s="408"/>
      <c r="L46" s="229">
        <v>30</v>
      </c>
      <c r="M46" s="1"/>
      <c r="R46" s="3"/>
    </row>
    <row r="47" spans="1:18" ht="15.75">
      <c r="A47" s="1"/>
      <c r="B47" s="134"/>
      <c r="C47" s="16" t="s">
        <v>78</v>
      </c>
      <c r="D47" s="137">
        <v>83.95</v>
      </c>
      <c r="E47" s="138"/>
      <c r="F47" s="138"/>
      <c r="G47" s="16" t="s">
        <v>740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 t="s">
        <v>720</v>
      </c>
      <c r="D48" s="137">
        <v>22.34</v>
      </c>
      <c r="E48" s="138"/>
      <c r="F48" s="138"/>
      <c r="G48" s="16" t="s">
        <v>744</v>
      </c>
      <c r="H48" s="1">
        <f>22*8</f>
        <v>176</v>
      </c>
      <c r="I48" s="403"/>
      <c r="J48" s="407"/>
      <c r="K48" s="408"/>
      <c r="L48" s="229"/>
      <c r="M48" s="1"/>
      <c r="R48" s="3"/>
    </row>
    <row r="49" spans="1:18" ht="15.75">
      <c r="A49" s="1"/>
      <c r="B49" s="134">
        <v>23.87</v>
      </c>
      <c r="C49" s="16" t="s">
        <v>728</v>
      </c>
      <c r="D49" s="137">
        <v>49.31</v>
      </c>
      <c r="E49" s="138"/>
      <c r="F49" s="138"/>
      <c r="G49" s="16" t="s">
        <v>750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757</v>
      </c>
      <c r="H50" s="1"/>
      <c r="I50" s="402" t="str">
        <f>AÑO!A13</f>
        <v>Gubernamental</v>
      </c>
      <c r="J50" s="405" t="s">
        <v>638</v>
      </c>
      <c r="K50" s="406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758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42">
        <v>43692</v>
      </c>
      <c r="K55" s="406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43">
        <v>43696</v>
      </c>
      <c r="K56" s="408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53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39</v>
      </c>
      <c r="K60" s="406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'07'!A66+(SUM(B66:B78)-SUM(D66:F78))</f>
        <v>2.830000000000048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749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>
        <v>30</v>
      </c>
      <c r="C67" s="16" t="s">
        <v>160</v>
      </c>
      <c r="D67" s="137">
        <f>23+8.15</f>
        <v>31.15</v>
      </c>
      <c r="E67" s="138"/>
      <c r="F67" s="138">
        <v>30</v>
      </c>
      <c r="G67" s="31" t="s">
        <v>748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>
        <v>10</v>
      </c>
      <c r="C68" s="16" t="s">
        <v>728</v>
      </c>
      <c r="D68" s="137">
        <v>19.5</v>
      </c>
      <c r="E68" s="138"/>
      <c r="F68" s="138">
        <v>5.5</v>
      </c>
      <c r="G68" s="16" t="s">
        <v>754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755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767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777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102.83000000000004</v>
      </c>
      <c r="B80" s="233">
        <f>SUM(B66:B79)</f>
        <v>210</v>
      </c>
      <c r="C80" s="17" t="s">
        <v>53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56.61</v>
      </c>
      <c r="E86" s="138"/>
      <c r="F86" s="138"/>
      <c r="G86" s="16" t="s">
        <v>746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747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760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772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742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D127+D128+'07'!I127</f>
        <v>130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37.29</v>
      </c>
      <c r="E146" s="138"/>
      <c r="F146" s="138"/>
      <c r="G146" s="16" t="s">
        <v>781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50.2</v>
      </c>
      <c r="E186" s="138"/>
      <c r="F186" s="138"/>
      <c r="G186" s="16" t="s">
        <v>764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691</v>
      </c>
    </row>
    <row r="207" spans="2:12">
      <c r="B207" s="134"/>
      <c r="C207" s="16"/>
      <c r="D207" s="137">
        <v>23</v>
      </c>
      <c r="E207" s="138"/>
      <c r="F207" s="138"/>
      <c r="G207" s="16" t="s">
        <v>761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401</v>
      </c>
      <c r="D246" s="137">
        <f>55.4-D327</f>
        <v>45.4</v>
      </c>
      <c r="E246" s="138"/>
      <c r="F246" s="138"/>
      <c r="G246" s="16" t="s">
        <v>741</v>
      </c>
    </row>
    <row r="247" spans="1:7" ht="15" customHeight="1">
      <c r="A247" s="112"/>
      <c r="B247" s="134">
        <v>12.12</v>
      </c>
      <c r="C247" s="16" t="s">
        <v>728</v>
      </c>
      <c r="D247" s="137">
        <v>16.52</v>
      </c>
      <c r="E247" s="138"/>
      <c r="F247" s="138"/>
      <c r="G247" s="16" t="s">
        <v>756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762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708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53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737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1:8" ht="15" customHeight="1" thickBot="1">
      <c r="B283" s="418"/>
      <c r="C283" s="419"/>
      <c r="D283" s="419"/>
      <c r="E283" s="419"/>
      <c r="F283" s="419"/>
      <c r="G283" s="420"/>
    </row>
    <row r="284" spans="1:8">
      <c r="B284" s="428" t="s">
        <v>8</v>
      </c>
      <c r="C284" s="429"/>
      <c r="D284" s="428" t="s">
        <v>9</v>
      </c>
      <c r="E284" s="430"/>
      <c r="F284" s="430"/>
      <c r="G284" s="429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AÑO!AD34+(SUM(B286:B298)-SUM(D286:F298))</f>
        <v>45.359999999999808</v>
      </c>
      <c r="B286" s="133">
        <v>70</v>
      </c>
      <c r="C286" s="19" t="s">
        <v>33</v>
      </c>
      <c r="D286" s="137"/>
      <c r="E286" s="138"/>
      <c r="F286" s="138"/>
      <c r="G286" s="16" t="s">
        <v>690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768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65.359999999999815</v>
      </c>
      <c r="B300" s="135">
        <f>SUM(B286:B299)</f>
        <v>90</v>
      </c>
      <c r="C300" s="17" t="s">
        <v>53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1:8" ht="15" customHeight="1" thickBot="1">
      <c r="B303" s="418"/>
      <c r="C303" s="419"/>
      <c r="D303" s="419"/>
      <c r="E303" s="419"/>
      <c r="F303" s="419"/>
      <c r="G303" s="420"/>
    </row>
    <row r="304" spans="1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>
        <v>35.96</v>
      </c>
      <c r="E306" s="138"/>
      <c r="F306" s="138"/>
      <c r="G306" s="16" t="s">
        <v>751</v>
      </c>
    </row>
    <row r="307" spans="2:7">
      <c r="B307" s="134">
        <v>13.15</v>
      </c>
      <c r="C307" s="27" t="s">
        <v>759</v>
      </c>
      <c r="D307" s="137"/>
      <c r="E307" s="138"/>
      <c r="F307" s="138">
        <v>70</v>
      </c>
      <c r="G307" s="16" t="s">
        <v>753</v>
      </c>
    </row>
    <row r="308" spans="2:7">
      <c r="B308" s="134">
        <v>14.27</v>
      </c>
      <c r="C308" s="27" t="s">
        <v>771</v>
      </c>
      <c r="D308" s="137">
        <v>8.68</v>
      </c>
      <c r="E308" s="138"/>
      <c r="F308" s="138"/>
      <c r="G308" s="16" t="s">
        <v>766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53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53</v>
      </c>
    </row>
    <row r="321" spans="2:7" ht="15.75" thickBot="1"/>
    <row r="322" spans="2:7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739</v>
      </c>
    </row>
    <row r="327" spans="2:7">
      <c r="B327" s="134">
        <v>192.98</v>
      </c>
      <c r="C327" s="16" t="s">
        <v>778</v>
      </c>
      <c r="D327" s="137">
        <v>10</v>
      </c>
      <c r="E327" s="138"/>
      <c r="F327" s="138"/>
      <c r="G327" s="16" t="s">
        <v>741</v>
      </c>
    </row>
    <row r="328" spans="2:7">
      <c r="B328" s="134"/>
      <c r="C328" s="16"/>
      <c r="D328" s="137">
        <v>187.13</v>
      </c>
      <c r="E328" s="138"/>
      <c r="F328" s="138"/>
      <c r="G328" s="16" t="s">
        <v>745</v>
      </c>
    </row>
    <row r="329" spans="2:7">
      <c r="B329" s="134"/>
      <c r="C329" s="16"/>
      <c r="D329" s="137">
        <v>32.14</v>
      </c>
      <c r="E329" s="138"/>
      <c r="F329" s="138"/>
      <c r="G329" s="16" t="s">
        <v>769</v>
      </c>
    </row>
    <row r="330" spans="2:7">
      <c r="B330" s="134"/>
      <c r="C330" s="16"/>
      <c r="D330" s="137">
        <v>7.49</v>
      </c>
      <c r="E330" s="138"/>
      <c r="F330" s="138"/>
      <c r="G330" s="16" t="s">
        <v>770</v>
      </c>
    </row>
    <row r="331" spans="2:7">
      <c r="B331" s="134"/>
      <c r="C331" s="16"/>
      <c r="D331" s="137"/>
      <c r="E331" s="138">
        <v>192.98</v>
      </c>
      <c r="F331" s="138"/>
      <c r="G331" s="16" t="s">
        <v>773</v>
      </c>
    </row>
    <row r="332" spans="2:7">
      <c r="B332" s="134"/>
      <c r="C332" s="16"/>
      <c r="D332" s="137"/>
      <c r="E332" s="138">
        <v>96.65</v>
      </c>
      <c r="F332" s="138"/>
      <c r="G332" s="16" t="s">
        <v>774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53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'07'!A346+(B346-SUM(D346:F357))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5+4.5+4+4+4+4.5+3.8+3.5+3.5+4.5</f>
        <v>41.3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738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AÑO!AE17</f>
        <v>3945.4900000000002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-300.89999999999918</v>
      </c>
      <c r="C426" s="19" t="s">
        <v>233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'07'!A467+(B467-SUM(D467:F467))+B476</f>
        <v>-24.769999999999982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729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20</v>
      </c>
      <c r="C506" s="19" t="s">
        <v>728</v>
      </c>
      <c r="D506" s="137">
        <v>23.43</v>
      </c>
      <c r="E506" s="138"/>
      <c r="F506" s="138"/>
      <c r="G506" s="16" t="s">
        <v>752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2019-12-10T16:24:22Z</dcterms:modified>
</cp:coreProperties>
</file>