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5D4519B1-A264-4F76-B3F7-B20E0DE23D02}" xr6:coauthVersionLast="41" xr6:coauthVersionMax="41" xr10:uidLastSave="{00000000-0000-0000-0000-000000000000}"/>
  <bookViews>
    <workbookView xWindow="-108" yWindow="12852" windowWidth="22320" windowHeight="13176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6" i="2" l="1"/>
  <c r="A110" i="2"/>
  <c r="F366" i="2" l="1"/>
  <c r="B5" i="14"/>
  <c r="A299" i="3" l="1"/>
  <c r="I257" i="3"/>
  <c r="A257" i="3"/>
  <c r="A256" i="3"/>
  <c r="B257" i="3"/>
  <c r="B256" i="3"/>
  <c r="B307" i="2"/>
  <c r="A431" i="2"/>
  <c r="B308" i="2"/>
  <c r="A430" i="2"/>
  <c r="L56" i="2"/>
  <c r="D309" i="2" l="1"/>
  <c r="A140" i="2"/>
  <c r="A140" i="3"/>
  <c r="A130" i="3"/>
  <c r="A129" i="3"/>
  <c r="A127" i="3"/>
  <c r="A126" i="3"/>
  <c r="F140" i="3"/>
  <c r="E140" i="3"/>
  <c r="D140" i="3"/>
  <c r="B140" i="3"/>
  <c r="A118" i="3"/>
  <c r="A110" i="3"/>
  <c r="B106" i="3"/>
  <c r="K10" i="3"/>
  <c r="K9" i="3"/>
  <c r="K8" i="3"/>
  <c r="K5" i="3"/>
  <c r="A31" i="3"/>
  <c r="A14" i="3"/>
  <c r="A15" i="3"/>
  <c r="B14" i="3"/>
  <c r="A429" i="2"/>
  <c r="B287" i="2"/>
  <c r="N45" i="2"/>
  <c r="K74" i="2" l="1"/>
  <c r="A428" i="2" l="1"/>
  <c r="D366" i="2"/>
  <c r="AZ48" i="1"/>
  <c r="AZ18" i="1"/>
  <c r="L73" i="2"/>
  <c r="L74" i="2" s="1"/>
  <c r="L75" i="2" s="1"/>
  <c r="B406" i="2"/>
  <c r="B14" i="2"/>
  <c r="A286" i="3"/>
  <c r="A300" i="3" s="1"/>
  <c r="A130" i="2"/>
  <c r="A129" i="2"/>
  <c r="A127" i="2"/>
  <c r="A126" i="2"/>
  <c r="A118" i="2"/>
  <c r="B106" i="2"/>
  <c r="A427" i="2"/>
  <c r="K9" i="2"/>
  <c r="K8" i="2"/>
  <c r="K10" i="2"/>
  <c r="K5" i="2"/>
  <c r="M5" i="2"/>
  <c r="G74" i="17" l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1" i="17" l="1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A246" i="3" s="1"/>
  <c r="A260" i="3" s="1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146" i="3" l="1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120" i="2" s="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20" i="2"/>
  <c r="A26" i="2"/>
  <c r="A40" i="2" s="1"/>
  <c r="A79" i="11" l="1"/>
  <c r="A80" i="10"/>
  <c r="A467" i="4"/>
  <c r="A467" i="5" s="1"/>
  <c r="A467" i="6" s="1"/>
  <c r="A467" i="7" s="1"/>
  <c r="A467" i="8" s="1"/>
  <c r="A468" i="4"/>
  <c r="A466" i="4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4" l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73" i="4"/>
  <c r="A166" i="4" l="1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H427" i="3" s="1"/>
  <c r="BJ41" i="1"/>
  <c r="F46" i="1"/>
  <c r="G47" i="1" s="1"/>
  <c r="AL20" i="1"/>
  <c r="AX22" i="1"/>
  <c r="N41" i="1" l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<sst xmlns="http://schemas.openxmlformats.org/spreadsheetml/2006/main" count="5798" uniqueCount="899">
  <si>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</si>
  <si>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</si>
  <si>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</si>
  <si>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</si>
  <si>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</si>
  <si>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</si>
  <si>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</si>
  <si>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</si>
  <si>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</si>
  <si>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</si>
  <si>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</si>
  <si>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</si>
  <si>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</si>
  <si>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</si>
  <si>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</si>
  <si>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</si>
  <si>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</si>
  <si>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</si>
  <si>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</si>
  <si>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</si>
  <si>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</si>
  <si>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</si>
  <si>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</si>
  <si>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</si>
  <si>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</si>
  <si>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</si>
  <si>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</si>
  <si>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</si>
  <si>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</si>
  <si>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</si>
  <si>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</si>
  <si>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</si>
  <si>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</si>
  <si>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</si>
  <si>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</si>
  <si>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</si>
  <si>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</si>
  <si>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</si>
  <si>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</si>
  <si>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</si>
  <si>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</si>
  <si>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</si>
  <si>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</si>
  <si>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</si>
  <si>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</si>
  <si>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</si>
  <si>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</si>
  <si>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</si>
  <si>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</si>
  <si>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</si>
  <si>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</si>
  <si>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</si>
  <si>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</si>
  <si>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</si>
  <si>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</si>
  <si>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</si>
  <si>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</si>
  <si>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</si>
  <si>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</si>
  <si>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</si>
  <si>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</si>
  <si>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</si>
  <si>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</si>
  <si>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</si>
  <si>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</si>
  <si>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</si>
  <si>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</si>
  <si>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</si>
  <si>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</si>
  <si>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</si>
  <si>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</si>
  <si>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</si>
  <si>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</si>
  <si>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</si>
  <si>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</si>
  <si>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</si>
  <si>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</si>
  <si>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</si>
  <si>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</si>
  <si>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</si>
  <si>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</si>
  <si>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</si>
  <si>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</si>
  <si>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</si>
  <si>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</si>
  <si>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</si>
  <si>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</si>
  <si>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</si>
  <si>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</si>
  <si>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</si>
  <si>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</si>
  <si>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</si>
  <si>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</si>
  <si>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</si>
  <si>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</si>
  <si>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</si>
  <si>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</si>
  <si>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</si>
  <si>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</si>
  <si>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</si>
  <si>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</si>
  <si>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</si>
  <si>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</si>
  <si>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</si>
  <si>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</si>
  <si>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</si>
  <si>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</si>
  <si>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</si>
  <si>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</si>
  <si>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</si>
  <si>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</si>
  <si>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</si>
  <si>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</si>
  <si>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</si>
  <si>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</si>
  <si>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</si>
  <si>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</si>
  <si>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</si>
  <si>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</si>
  <si>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</si>
  <si>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</si>
  <si>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</si>
  <si>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</si>
  <si>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</si>
  <si>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</si>
  <si>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</si>
  <si>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</si>
  <si>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</si>
  <si>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</si>
  <si>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</si>
  <si>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</si>
  <si>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</si>
  <si>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</si>
  <si>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</si>
  <si>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</si>
  <si>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</si>
  <si>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</si>
  <si>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</si>
  <si>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</si>
  <si>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</si>
  <si>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</si>
  <si>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</si>
  <si>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</si>
  <si>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</si>
  <si>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</si>
  <si>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</si>
  <si>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</si>
  <si>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</si>
  <si>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</si>
  <si>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</si>
  <si>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</si>
  <si>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</si>
  <si>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</si>
  <si>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</si>
  <si>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</si>
  <si>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</si>
  <si>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</si>
  <si>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</si>
  <si>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</si>
  <si>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</si>
  <si>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</si>
  <si>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</si>
  <si>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</si>
  <si>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</si>
  <si>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</si>
  <si>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</si>
  <si>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</si>
  <si>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</si>
  <si>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</si>
  <si>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</si>
  <si>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</si>
  <si>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</si>
  <si>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</si>
  <si>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</si>
  <si>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</si>
  <si>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</si>
  <si>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</si>
  <si>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</si>
  <si>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</si>
  <si>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</si>
  <si>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</si>
  <si>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</si>
  <si>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</si>
  <si>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</si>
  <si>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</si>
  <si>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</si>
  <si>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</si>
  <si>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</si>
  <si>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</si>
  <si>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</si>
  <si>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</si>
  <si>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</si>
  <si>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</si>
  <si>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</si>
  <si>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</si>
  <si>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</si>
  <si>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</si>
  <si>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</si>
  <si>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</si>
  <si>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</si>
  <si>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</si>
  <si>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</si>
  <si>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</si>
  <si>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</si>
  <si>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</si>
  <si>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</si>
  <si>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</si>
  <si>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</si>
  <si>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</si>
  <si>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</si>
  <si>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</si>
  <si>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</si>
  <si>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</si>
  <si>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</si>
  <si>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</si>
  <si>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</si>
  <si>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</si>
  <si>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</si>
  <si>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</si>
  <si>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</si>
  <si>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</si>
  <si>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</si>
  <si>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</si>
  <si>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</si>
  <si>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</si>
  <si>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</si>
  <si>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</si>
  <si>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</si>
  <si>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Colruyt</t>
  </si>
  <si>
    <t>Fecha Ultima Cuota:</t>
  </si>
  <si>
    <t>alquiler+endesa</t>
  </si>
  <si>
    <t>Kids &amp; us</t>
  </si>
  <si>
    <t>Impuesto Basura (Hasta 79€)</t>
  </si>
  <si>
    <t>09/02 Action</t>
  </si>
  <si>
    <t>CAPAC</t>
  </si>
  <si>
    <t>M</t>
  </si>
  <si>
    <t>R</t>
  </si>
  <si>
    <t>19/02 Colruyt</t>
  </si>
  <si>
    <t>Fianza 550€</t>
  </si>
  <si>
    <t>Tarxeta</t>
  </si>
  <si>
    <t>. 20 de abril del _; Cristo</t>
  </si>
  <si>
    <t>Limit</t>
  </si>
  <si>
    <t>Clases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</si>
  <si>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</si>
  <si>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</si>
  <si>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</si>
  <si>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</si>
  <si>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</si>
  <si>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</si>
  <si>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</si>
  <si>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</si>
  <si>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</si>
  <si>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</si>
  <si>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</si>
  <si>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</si>
  <si>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</si>
  <si>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</si>
  <si>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</si>
  <si>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</si>
  <si>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</si>
  <si>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</si>
  <si>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</si>
  <si>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</si>
  <si>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</si>
  <si>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</si>
  <si>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</si>
  <si>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</si>
  <si>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</si>
  <si>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</si>
  <si>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</si>
  <si>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</si>
  <si>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</si>
  <si>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</si>
  <si>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</si>
  <si>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</si>
  <si>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</si>
  <si>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</si>
  <si>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</si>
  <si>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</si>
  <si>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</si>
  <si>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</si>
  <si>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</si>
  <si>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</si>
  <si>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</si>
  <si>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</si>
  <si>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</si>
  <si>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</si>
  <si>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</si>
  <si>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</si>
  <si>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</si>
  <si>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</si>
  <si>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</si>
  <si>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</si>
  <si>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</si>
  <si>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</si>
  <si>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</si>
  <si>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</si>
  <si>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</si>
  <si>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</si>
  <si>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</si>
  <si>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</si>
  <si>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</si>
  <si>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</si>
  <si>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</si>
  <si>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</si>
  <si>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</si>
  <si>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</si>
  <si>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</si>
  <si>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</si>
  <si>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</si>
  <si>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</si>
  <si>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</si>
  <si>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</si>
  <si>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</si>
  <si>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</si>
  <si>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</si>
  <si>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</si>
  <si>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</si>
  <si>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</si>
  <si>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</si>
  <si>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</si>
  <si>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</si>
  <si>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</si>
  <si>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</si>
  <si>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</si>
  <si>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</si>
  <si>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</si>
  <si>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</si>
  <si>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</si>
  <si>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</si>
  <si>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</si>
  <si>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</si>
  <si>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</si>
  <si>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</si>
  <si>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</si>
  <si>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</si>
  <si>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</si>
  <si>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</si>
  <si>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</si>
  <si>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</si>
  <si>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</si>
  <si>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</si>
  <si>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</si>
  <si>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</si>
  <si>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</si>
  <si>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</si>
  <si>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</si>
  <si>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</si>
  <si>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</si>
  <si>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</si>
  <si>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</si>
  <si>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</si>
  <si>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</si>
  <si>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</si>
  <si>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</si>
  <si>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</si>
  <si>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</si>
  <si>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</si>
  <si>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</si>
  <si>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</si>
  <si>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</si>
  <si>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</si>
  <si>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</si>
  <si>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</si>
  <si>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</si>
  <si>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</si>
  <si>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</si>
  <si>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</si>
  <si>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</si>
  <si>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</si>
  <si>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</si>
  <si>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</si>
  <si>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</si>
  <si>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</si>
  <si>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</si>
  <si>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</si>
  <si>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</si>
  <si>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</si>
  <si>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</si>
  <si>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</si>
  <si>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</si>
  <si>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</si>
  <si>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</si>
  <si>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</si>
  <si>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</si>
  <si>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</si>
  <si>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</si>
  <si>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</si>
  <si>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</si>
  <si>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</si>
  <si>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</si>
  <si>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</si>
  <si>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</si>
  <si>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</si>
  <si>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</si>
  <si>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</si>
  <si>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</si>
  <si>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</si>
  <si>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</si>
  <si>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</si>
  <si>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</si>
  <si>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</si>
  <si>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</si>
  <si>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</si>
  <si>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</si>
  <si>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</si>
  <si>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</si>
  <si>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</si>
  <si>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</si>
  <si>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</si>
  <si>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</si>
  <si>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</si>
  <si>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</si>
  <si>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</si>
  <si>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</si>
  <si>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</si>
  <si>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</si>
  <si>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</si>
  <si>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</si>
  <si>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</si>
  <si>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</si>
  <si>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</si>
  <si>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</si>
  <si>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</si>
  <si>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</si>
  <si>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</si>
  <si>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</si>
  <si>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</si>
  <si>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</si>
  <si>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</si>
  <si>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</si>
  <si>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</si>
  <si>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</si>
  <si>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</si>
  <si>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</si>
  <si>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</si>
  <si>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</si>
  <si>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</si>
  <si>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</si>
  <si>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</si>
  <si>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</si>
  <si>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</si>
  <si>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</si>
  <si>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</si>
  <si>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</si>
  <si>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</si>
  <si>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</si>
  <si>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</si>
  <si>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</si>
  <si>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</si>
  <si>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</si>
  <si>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</si>
  <si>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</si>
  <si>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</si>
  <si>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</si>
  <si>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</si>
  <si>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</si>
  <si>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</si>
  <si>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</si>
  <si>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</si>
  <si>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</si>
  <si>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</si>
  <si>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</si>
  <si>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</si>
  <si>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</si>
  <si>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</si>
  <si>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</si>
  <si>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</si>
  <si>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</si>
  <si>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</si>
  <si>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</si>
  <si>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</si>
  <si>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</si>
  <si>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</si>
  <si>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</si>
  <si>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</si>
  <si>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</si>
  <si>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</si>
  <si>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</si>
  <si>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</si>
  <si>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</si>
  <si>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</si>
  <si>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</si>
  <si>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</si>
  <si>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</si>
  <si>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</si>
  <si>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</si>
  <si>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</si>
  <si>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</si>
  <si>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</si>
  <si>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</si>
  <si>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</si>
  <si>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</si>
  <si>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</si>
  <si>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</si>
  <si>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</si>
  <si>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</si>
  <si>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</si>
  <si>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</si>
  <si>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</si>
  <si>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</si>
  <si>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</si>
  <si>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</si>
  <si>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</si>
  <si>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</si>
  <si>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</si>
  <si>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</si>
  <si>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</si>
  <si>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</si>
  <si>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</si>
  <si>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</si>
  <si>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</si>
  <si>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</si>
  <si>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</si>
  <si>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</si>
  <si>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</si>
  <si>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</si>
  <si>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</si>
  <si>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</si>
  <si>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</si>
  <si>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</si>
  <si>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</si>
  <si>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</si>
  <si>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</si>
  <si>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</si>
  <si>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</si>
  <si>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</si>
  <si>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</si>
  <si>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</si>
  <si>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</si>
  <si>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</si>
  <si>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</si>
  <si>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</si>
  <si>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</si>
  <si>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</si>
  <si>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</si>
  <si>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</si>
  <si>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</si>
  <si>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</si>
  <si>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</si>
  <si>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</si>
  <si>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</si>
  <si>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</si>
  <si>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</si>
  <si>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</si>
  <si>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</si>
  <si>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</si>
  <si>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</si>
  <si>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</si>
  <si>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</si>
  <si>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</si>
  <si>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</si>
  <si>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</si>
  <si>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</si>
  <si>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</si>
  <si>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</si>
  <si>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</si>
  <si>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</si>
  <si>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</si>
  <si>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</si>
  <si>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</si>
  <si>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</si>
  <si>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</si>
  <si>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</si>
  <si>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</si>
  <si>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</si>
  <si>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</si>
  <si>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</si>
  <si>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</si>
  <si>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</si>
  <si>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</si>
  <si>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</si>
  <si>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</si>
  <si>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</si>
  <si>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</si>
  <si>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</si>
  <si>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</si>
  <si>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</si>
  <si>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</si>
  <si>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</si>
  <si>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</si>
  <si>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</si>
  <si>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</si>
  <si>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</si>
  <si>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</si>
  <si>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</si>
  <si>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</si>
  <si>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</si>
  <si>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</si>
  <si>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</si>
  <si>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</si>
  <si>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</si>
  <si>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</si>
  <si>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</si>
  <si>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</si>
  <si>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</si>
  <si>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</si>
  <si>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</si>
  <si>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</si>
  <si>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</si>
  <si>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</si>
  <si>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</si>
  <si>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</si>
  <si>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</si>
  <si>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</si>
  <si>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</si>
  <si>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</si>
  <si>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</si>
  <si>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</si>
  <si>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</si>
  <si>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</si>
  <si>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</si>
  <si>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</si>
  <si>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</si>
  <si>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</si>
  <si>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</si>
  <si>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</si>
  <si>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</si>
  <si>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</si>
  <si>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</si>
  <si>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</si>
  <si>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</si>
  <si>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</si>
  <si>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</si>
  <si>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</si>
  <si>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</si>
  <si>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</si>
  <si>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</si>
  <si>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</si>
  <si>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</si>
  <si>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</si>
  <si>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</si>
  <si>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</si>
  <si>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</si>
  <si>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</si>
  <si>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</si>
  <si>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</si>
  <si>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</si>
  <si>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</si>
  <si>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</si>
  <si>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</si>
  <si>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</si>
  <si>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</si>
  <si>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</si>
  <si>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</si>
  <si>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</si>
  <si>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</si>
  <si>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</si>
  <si>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</si>
  <si>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</si>
  <si>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</si>
  <si>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</si>
  <si>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</si>
  <si>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</si>
  <si>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</si>
  <si>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</si>
  <si>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</si>
  <si>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</si>
  <si>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</si>
  <si>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</si>
  <si>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</si>
  <si>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</si>
  <si>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</si>
  <si>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</si>
  <si>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</si>
  <si>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</si>
  <si>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</si>
  <si>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</si>
  <si>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</si>
  <si>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</si>
  <si>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</si>
  <si>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</si>
  <si>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</si>
  <si>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</si>
  <si>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</si>
  <si>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</si>
  <si>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</si>
  <si>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</si>
  <si>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</si>
  <si>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</si>
  <si>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</si>
  <si>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</si>
  <si>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</si>
  <si>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</si>
  <si>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</si>
  <si>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</si>
  <si>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</si>
  <si>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</si>
  <si>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</si>
  <si>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</si>
  <si>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</si>
  <si>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</si>
  <si>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</si>
  <si>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</si>
  <si>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</si>
  <si>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</si>
  <si>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</si>
  <si>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</si>
  <si>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</si>
  <si>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</si>
  <si>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</si>
  <si>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</si>
  <si>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</si>
  <si>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</si>
  <si>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</si>
  <si>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</si>
  <si>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</si>
  <si>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</si>
  <si>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</si>
  <si>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</si>
  <si>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</si>
  <si>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</si>
  <si>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</si>
  <si>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</si>
  <si>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</si>
  <si>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</si>
  <si>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</si>
  <si>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</si>
  <si>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</si>
  <si>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</si>
  <si>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</si>
  <si>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</si>
  <si>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</si>
  <si>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</si>
  <si>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</si>
  <si>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</si>
  <si>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</si>
  <si>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</si>
  <si>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</si>
  <si>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</si>
  <si>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</si>
  <si>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</si>
  <si>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</si>
  <si>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</si>
  <si>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</si>
  <si>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</si>
  <si>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</si>
  <si>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</si>
  <si>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</si>
  <si>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</si>
  <si>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</si>
  <si>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</si>
  <si>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</si>
  <si>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</si>
  <si>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</si>
  <si>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</si>
  <si>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</si>
  <si>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</si>
  <si>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</si>
  <si>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</si>
  <si>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</si>
  <si>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</si>
  <si>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</si>
  <si>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</si>
  <si>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</si>
  <si>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</si>
  <si>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</si>
  <si>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</si>
  <si>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</si>
  <si>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</si>
  <si>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</si>
  <si>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</si>
  <si>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</si>
  <si>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</si>
  <si>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</si>
  <si>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</si>
  <si>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</si>
  <si>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</si>
  <si>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</si>
  <si>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</si>
  <si>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</si>
  <si>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</si>
  <si>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</si>
  <si>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</si>
  <si>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</si>
  <si>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</si>
  <si>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</si>
  <si>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</si>
  <si>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</si>
  <si>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</si>
  <si>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</si>
  <si>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</si>
  <si>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</si>
  <si>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</si>
  <si>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</si>
  <si>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</si>
  <si>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</si>
  <si>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</si>
  <si>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</si>
  <si>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</si>
  <si>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</si>
  <si>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</si>
  <si>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</si>
  <si>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</si>
  <si>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</si>
  <si>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</si>
  <si>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</si>
  <si>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</si>
  <si>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</si>
  <si>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</si>
  <si>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</si>
  <si>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</si>
  <si>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</si>
  <si>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</si>
  <si>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</si>
  <si>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</si>
  <si>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</si>
  <si>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</si>
  <si>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</si>
  <si>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</si>
  <si>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</si>
  <si>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</si>
  <si>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</si>
  <si>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</si>
  <si>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</si>
  <si>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</si>
  <si>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</si>
  <si>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</si>
  <si>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</si>
  <si>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</si>
  <si>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</si>
  <si>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</si>
  <si>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</si>
  <si>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</si>
  <si>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</si>
  <si>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</si>
  <si>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</si>
  <si>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</si>
  <si>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</si>
  <si>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</si>
  <si>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</si>
  <si>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</si>
  <si>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</si>
  <si>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</si>
  <si>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</si>
  <si>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</si>
  <si>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</si>
  <si>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</si>
  <si>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</si>
  <si>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</si>
  <si>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</si>
  <si>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</si>
  <si>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</si>
  <si>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</si>
  <si>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</si>
  <si>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</si>
  <si>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</si>
  <si>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</si>
  <si>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</si>
  <si>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</si>
  <si>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</si>
  <si>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</si>
  <si>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</si>
  <si>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</si>
  <si>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</si>
  <si>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</si>
  <si>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</si>
  <si>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</si>
  <si>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</si>
  <si>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</si>
  <si>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</si>
  <si>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</si>
  <si>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</si>
  <si>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</si>
  <si>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</si>
  <si>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</si>
  <si>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</si>
  <si>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</si>
  <si>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</si>
  <si>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</si>
  <si>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</si>
  <si>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</si>
  <si>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</si>
  <si>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</si>
  <si>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</si>
  <si>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</si>
  <si>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</si>
  <si>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</si>
  <si>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deltoya*29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</si>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</sst>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zoomScaleNormal="100" workbookViewId="0">
      <pane xSplit="1" topLeftCell="B1" activePane="topRight" state="frozen"/>
      <selection pane="topRight" activeCell="C4" sqref="C4:F4"/>
    </sheetView>
  </sheetViews>
  <sheetFormatPr defaultColWidth="9.15625" defaultRowHeight="14.4"/>
  <cols>
    <col min="1" max="1" width="20.15625" style="208" customWidth="1"/>
    <col min="2" max="2" width="13.68359375" customWidth="1"/>
    <col min="3" max="3" width="11.15625" customWidth="1"/>
    <col min="4" max="4" width="11.578125" customWidth="1"/>
    <col min="5" max="5" width="10.15625" customWidth="1"/>
    <col min="6" max="6" width="10.83984375" customWidth="1"/>
    <col min="7" max="7" width="11.26171875" customWidth="1"/>
    <col min="8" max="8" width="10.41796875" customWidth="1"/>
    <col min="9" max="9" width="10" customWidth="1"/>
    <col min="10" max="10" width="10.83984375" customWidth="1"/>
    <col min="11" max="11" width="11" customWidth="1"/>
    <col min="12" max="12" width="12.15625" customWidth="1"/>
    <col min="13" max="13" width="10" customWidth="1"/>
    <col min="14" max="14" width="11.26171875" customWidth="1"/>
    <col min="15" max="15" width="11.15625" customWidth="1"/>
    <col min="16" max="16" width="11.26171875" customWidth="1"/>
    <col min="17" max="17" width="10.26171875" customWidth="1"/>
    <col min="18" max="18" width="11.15625" customWidth="1"/>
    <col min="19" max="19" width="11.26171875" customWidth="1"/>
    <col min="20" max="20" width="10.41796875" customWidth="1"/>
    <col min="21" max="21" width="10.578125" customWidth="1"/>
    <col min="22" max="23" width="11" customWidth="1"/>
    <col min="24" max="24" width="10.578125" customWidth="1"/>
    <col min="25" max="25" width="10.15625" customWidth="1"/>
    <col min="26" max="26" width="11.41796875" customWidth="1"/>
    <col min="27" max="28" width="11" customWidth="1"/>
    <col min="29" max="29" width="10.26171875" customWidth="1"/>
    <col min="30" max="30" width="11.15625" customWidth="1"/>
    <col min="31" max="31" width="11" customWidth="1"/>
    <col min="32" max="32" width="11.26171875" customWidth="1"/>
    <col min="33" max="33" width="10.68359375" customWidth="1"/>
    <col min="34" max="34" width="11.15625" customWidth="1"/>
    <col min="35" max="35" width="11.26171875" customWidth="1"/>
    <col min="36" max="36" width="10.41796875" customWidth="1"/>
    <col min="37" max="37" width="10.15625" customWidth="1"/>
    <col min="38" max="38" width="11.15625" customWidth="1"/>
    <col min="39" max="39" width="11.41796875" customWidth="1"/>
    <col min="40" max="40" width="11.15625" customWidth="1"/>
    <col min="41" max="41" width="10.578125" customWidth="1"/>
    <col min="42" max="44" width="11.15625" customWidth="1"/>
    <col min="45" max="45" width="10.26171875" customWidth="1"/>
    <col min="46" max="46" width="11.15625" customWidth="1"/>
    <col min="47" max="47" width="11.41796875" customWidth="1"/>
    <col min="48" max="48" width="10.68359375" customWidth="1"/>
    <col min="49" max="49" width="10.41796875" customWidth="1"/>
    <col min="50" max="50" width="12.15625" customWidth="1"/>
    <col min="52" max="52" width="21.68359375" customWidth="1"/>
    <col min="53" max="53" width="26.83984375" customWidth="1"/>
    <col min="54" max="54" width="19.26171875" customWidth="1"/>
    <col min="55" max="55" width="24" customWidth="1"/>
    <col min="56" max="56" width="11.15625" customWidth="1"/>
    <col min="57" max="57" width="23.41796875" customWidth="1"/>
    <col min="58" max="58" width="17.26171875" customWidth="1"/>
    <col min="60" max="60" width="16" customWidth="1"/>
    <col min="62" max="62" width="23.4179687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5.9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2" thickTop="1" thickBot="1">
      <c r="A4" s="203" t="s">
        <v>4</v>
      </c>
      <c r="B4" s="214">
        <v>2019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69</v>
      </c>
      <c r="T4" s="384"/>
      <c r="U4" s="384"/>
      <c r="V4" s="385"/>
      <c r="W4" s="383" t="s">
        <v>68</v>
      </c>
      <c r="X4" s="384"/>
      <c r="Y4" s="384"/>
      <c r="Z4" s="385"/>
      <c r="AA4" s="383" t="s">
        <v>70</v>
      </c>
      <c r="AB4" s="384"/>
      <c r="AC4" s="384"/>
      <c r="AD4" s="385"/>
      <c r="AE4" s="383" t="s">
        <v>71</v>
      </c>
      <c r="AF4" s="384"/>
      <c r="AG4" s="384"/>
      <c r="AH4" s="385"/>
      <c r="AI4" s="383" t="s">
        <v>73</v>
      </c>
      <c r="AJ4" s="384"/>
      <c r="AK4" s="384"/>
      <c r="AL4" s="385"/>
      <c r="AM4" s="383" t="s">
        <v>75</v>
      </c>
      <c r="AN4" s="384"/>
      <c r="AO4" s="384"/>
      <c r="AP4" s="385"/>
      <c r="AQ4" s="383" t="s">
        <v>77</v>
      </c>
      <c r="AR4" s="384"/>
      <c r="AS4" s="384"/>
      <c r="AT4" s="385"/>
      <c r="AU4" s="383" t="s">
        <v>82</v>
      </c>
      <c r="AV4" s="384"/>
      <c r="AW4" s="384"/>
      <c r="AX4" s="385"/>
      <c r="AZ4" s="1"/>
      <c r="BA4" s="1"/>
      <c r="BB4" s="1"/>
      <c r="BC4" s="1"/>
    </row>
    <row r="5" spans="1:55" ht="15.9" thickBot="1">
      <c r="A5" s="204" t="s">
        <v>5</v>
      </c>
      <c r="B5" s="228">
        <v>30685.88</v>
      </c>
      <c r="C5" s="392">
        <f>'01'!K19</f>
        <v>33579</v>
      </c>
      <c r="D5" s="390"/>
      <c r="E5" s="390"/>
      <c r="F5" s="391"/>
      <c r="G5" s="392">
        <f>'02'!K19</f>
        <v>34721.86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29282.959999999999</v>
      </c>
      <c r="AB5" s="390"/>
      <c r="AC5" s="390"/>
      <c r="AD5" s="391"/>
      <c r="AE5" s="389">
        <f>'08'!K19</f>
        <v>29166.850000000002</v>
      </c>
      <c r="AF5" s="390"/>
      <c r="AG5" s="390"/>
      <c r="AH5" s="391"/>
      <c r="AI5" s="389">
        <f>'09'!K19</f>
        <v>29258.260000000002</v>
      </c>
      <c r="AJ5" s="390"/>
      <c r="AK5" s="390"/>
      <c r="AL5" s="391"/>
      <c r="AM5" s="389">
        <f>'10'!K19</f>
        <v>30089.47</v>
      </c>
      <c r="AN5" s="390"/>
      <c r="AO5" s="390"/>
      <c r="AP5" s="391"/>
      <c r="AQ5" s="389">
        <f>'11'!K19</f>
        <v>30103.380000000005</v>
      </c>
      <c r="AR5" s="390"/>
      <c r="AS5" s="390"/>
      <c r="AT5" s="391"/>
      <c r="AU5" s="389">
        <f>'12'!K19</f>
        <v>30103.380000000005</v>
      </c>
      <c r="AV5" s="390"/>
      <c r="AW5" s="390"/>
      <c r="AX5" s="391"/>
      <c r="AZ5" s="6"/>
      <c r="BA5" s="7"/>
      <c r="BB5" s="1"/>
      <c r="BC5" s="1"/>
    </row>
    <row r="6" spans="1:55" ht="16.2" thickTop="1" thickBot="1">
      <c r="A6" s="205"/>
      <c r="B6" s="8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3"/>
      <c r="AN6" s="343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Z6" s="1"/>
      <c r="BA6" s="1"/>
      <c r="BB6" s="1"/>
      <c r="BC6" s="1"/>
    </row>
    <row r="7" spans="1:55" s="89" customFormat="1" ht="16.2" thickTop="1" thickBot="1">
      <c r="A7" s="23" t="s">
        <v>6</v>
      </c>
      <c r="B7" s="23" t="s">
        <v>51</v>
      </c>
      <c r="C7" s="386" t="s">
        <v>218</v>
      </c>
      <c r="D7" s="387"/>
      <c r="E7" s="387"/>
      <c r="F7" s="388"/>
      <c r="G7" s="386" t="s">
        <v>218</v>
      </c>
      <c r="H7" s="387"/>
      <c r="I7" s="387"/>
      <c r="J7" s="388"/>
      <c r="K7" s="386" t="s">
        <v>218</v>
      </c>
      <c r="L7" s="387"/>
      <c r="M7" s="387"/>
      <c r="N7" s="388"/>
      <c r="O7" s="386" t="s">
        <v>218</v>
      </c>
      <c r="P7" s="387"/>
      <c r="Q7" s="387"/>
      <c r="R7" s="388"/>
      <c r="S7" s="386" t="s">
        <v>218</v>
      </c>
      <c r="T7" s="387"/>
      <c r="U7" s="387"/>
      <c r="V7" s="388"/>
      <c r="W7" s="386" t="s">
        <v>218</v>
      </c>
      <c r="X7" s="387"/>
      <c r="Y7" s="387"/>
      <c r="Z7" s="388"/>
      <c r="AA7" s="386" t="s">
        <v>218</v>
      </c>
      <c r="AB7" s="387"/>
      <c r="AC7" s="387"/>
      <c r="AD7" s="388"/>
      <c r="AE7" s="386" t="s">
        <v>218</v>
      </c>
      <c r="AF7" s="387"/>
      <c r="AG7" s="387"/>
      <c r="AH7" s="388"/>
      <c r="AI7" s="386" t="s">
        <v>218</v>
      </c>
      <c r="AJ7" s="387"/>
      <c r="AK7" s="387"/>
      <c r="AL7" s="388"/>
      <c r="AM7" s="386" t="s">
        <v>218</v>
      </c>
      <c r="AN7" s="387"/>
      <c r="AO7" s="387"/>
      <c r="AP7" s="388"/>
      <c r="AQ7" s="386" t="s">
        <v>218</v>
      </c>
      <c r="AR7" s="387"/>
      <c r="AS7" s="387"/>
      <c r="AT7" s="388"/>
      <c r="AU7" s="386" t="s">
        <v>218</v>
      </c>
      <c r="AV7" s="387"/>
      <c r="AW7" s="387"/>
      <c r="AX7" s="388"/>
      <c r="AZ7" s="9" t="s">
        <v>220</v>
      </c>
      <c r="BA7" s="13" t="s">
        <v>183</v>
      </c>
      <c r="BB7" s="1"/>
      <c r="BC7" s="1"/>
    </row>
    <row r="8" spans="1:55" ht="15.6">
      <c r="A8" s="206" t="s">
        <v>201</v>
      </c>
      <c r="B8" s="192">
        <v>35000.47</v>
      </c>
      <c r="C8" s="393">
        <f>SUM('01'!L25:'01'!L29)</f>
        <v>0</v>
      </c>
      <c r="D8" s="394"/>
      <c r="E8" s="394"/>
      <c r="F8" s="395"/>
      <c r="G8" s="393">
        <f>SUM('02'!L25:'02'!L29)</f>
        <v>0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2574.61</v>
      </c>
      <c r="X8" s="394"/>
      <c r="Y8" s="394"/>
      <c r="Z8" s="395"/>
      <c r="AA8" s="393">
        <f>SUM('07'!L25:'07'!L29)</f>
        <v>2568.54</v>
      </c>
      <c r="AB8" s="394"/>
      <c r="AC8" s="394"/>
      <c r="AD8" s="395"/>
      <c r="AE8" s="393">
        <f>SUM('08'!L25:'08'!L29)</f>
        <v>2571.5500000000002</v>
      </c>
      <c r="AF8" s="394"/>
      <c r="AG8" s="394"/>
      <c r="AH8" s="395"/>
      <c r="AI8" s="393">
        <f>SUM('09'!L25:'09'!L29)</f>
        <v>2573.7399999999998</v>
      </c>
      <c r="AJ8" s="394"/>
      <c r="AK8" s="394"/>
      <c r="AL8" s="395"/>
      <c r="AM8" s="393">
        <f>SUM('10'!L25:'10'!L29)</f>
        <v>2617.69</v>
      </c>
      <c r="AN8" s="394"/>
      <c r="AO8" s="394"/>
      <c r="AP8" s="395"/>
      <c r="AQ8" s="393">
        <f>SUM('11'!L25:'11'!L29)</f>
        <v>2588.0700000000002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25040.48</v>
      </c>
      <c r="BA8" s="112">
        <f t="shared" ref="BA8:BA16" ca="1" si="0">AZ8/BC$17</f>
        <v>25040.48</v>
      </c>
      <c r="BB8" s="1"/>
      <c r="BC8" s="1"/>
    </row>
    <row r="9" spans="1:55" ht="15.6">
      <c r="A9" s="189" t="s">
        <v>202</v>
      </c>
      <c r="B9" s="193">
        <v>6335.2300000000014</v>
      </c>
      <c r="C9" s="380">
        <f>SUM('01'!L30:'01'!L34)</f>
        <v>70.400000000000006</v>
      </c>
      <c r="D9" s="381"/>
      <c r="E9" s="381"/>
      <c r="F9" s="382"/>
      <c r="G9" s="380">
        <f>SUM('02'!L30:'02'!L34)</f>
        <v>0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613.67000000000007</v>
      </c>
      <c r="X9" s="381"/>
      <c r="Y9" s="381"/>
      <c r="Z9" s="382"/>
      <c r="AA9" s="380">
        <f>SUM('07'!L30:'07'!L34)</f>
        <v>1147.52</v>
      </c>
      <c r="AB9" s="381"/>
      <c r="AC9" s="381"/>
      <c r="AD9" s="382"/>
      <c r="AE9" s="380">
        <f>SUM('08'!L30:'08'!L34)</f>
        <v>291.60000000000002</v>
      </c>
      <c r="AF9" s="381"/>
      <c r="AG9" s="381"/>
      <c r="AH9" s="382"/>
      <c r="AI9" s="380">
        <f>SUM('09'!L30:'09'!L34)</f>
        <v>291.60000000000002</v>
      </c>
      <c r="AJ9" s="381"/>
      <c r="AK9" s="381"/>
      <c r="AL9" s="382"/>
      <c r="AM9" s="380">
        <f>SUM('10'!L30:'10'!L34)</f>
        <v>599.04999999999995</v>
      </c>
      <c r="AN9" s="381"/>
      <c r="AO9" s="381"/>
      <c r="AP9" s="382"/>
      <c r="AQ9" s="380">
        <f>SUM('11'!L30:'11'!L34)</f>
        <v>302.78999999999996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4918.78</v>
      </c>
      <c r="BA9" s="112">
        <f t="shared" ca="1" si="0"/>
        <v>4918.78</v>
      </c>
      <c r="BB9" s="1"/>
      <c r="BC9" s="1"/>
    </row>
    <row r="10" spans="1:55" ht="15.6">
      <c r="A10" s="190" t="s">
        <v>207</v>
      </c>
      <c r="B10" s="194">
        <v>1156.51</v>
      </c>
      <c r="C10" s="380">
        <f>SUM('01'!L35:'01'!L39)</f>
        <v>0</v>
      </c>
      <c r="D10" s="381"/>
      <c r="E10" s="381"/>
      <c r="F10" s="382"/>
      <c r="G10" s="380">
        <f>SUM('02'!L35:'02'!L39)</f>
        <v>0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55.09</v>
      </c>
      <c r="X10" s="397"/>
      <c r="Y10" s="397"/>
      <c r="Z10" s="398"/>
      <c r="AA10" s="396">
        <f>SUM('07'!L35:'07'!L39)</f>
        <v>124.52</v>
      </c>
      <c r="AB10" s="397"/>
      <c r="AC10" s="397"/>
      <c r="AD10" s="398"/>
      <c r="AE10" s="396">
        <f>SUM('08'!L35:'08'!L39)</f>
        <v>164.91</v>
      </c>
      <c r="AF10" s="397"/>
      <c r="AG10" s="397"/>
      <c r="AH10" s="398"/>
      <c r="AI10" s="396">
        <f>SUM('09'!L35:'09'!L39)</f>
        <v>167.95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928.28</v>
      </c>
      <c r="BA10" s="112">
        <f t="shared" ca="1" si="0"/>
        <v>928.28</v>
      </c>
      <c r="BB10" s="1"/>
      <c r="BC10" s="1"/>
    </row>
    <row r="11" spans="1:55" ht="15.6">
      <c r="A11" s="189" t="s">
        <v>203</v>
      </c>
      <c r="B11" s="193">
        <v>1224.4499999999998</v>
      </c>
      <c r="C11" s="380">
        <f>SUM('01'!L40:'01'!L44)</f>
        <v>2.63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1.02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52.97</v>
      </c>
      <c r="AN11" s="381"/>
      <c r="AO11" s="381"/>
      <c r="AP11" s="382"/>
      <c r="AQ11" s="380">
        <f>SUM('11'!L40:'11'!L44)</f>
        <v>42.84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501.90999999999997</v>
      </c>
      <c r="BA11" s="112">
        <f t="shared" ca="1" si="0"/>
        <v>501.90999999999997</v>
      </c>
      <c r="BB11" s="1"/>
      <c r="BC11" s="1"/>
    </row>
    <row r="12" spans="1:55" ht="15.6">
      <c r="A12" s="190" t="s">
        <v>22</v>
      </c>
      <c r="B12" s="194">
        <v>2312.4300000000003</v>
      </c>
      <c r="C12" s="380">
        <f>SUM('01'!L45:'01'!L49)</f>
        <v>1142.8599999999999</v>
      </c>
      <c r="D12" s="381"/>
      <c r="E12" s="381"/>
      <c r="F12" s="382"/>
      <c r="G12" s="380">
        <f>SUM('02'!L45:'02'!L49)</f>
        <v>0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242.41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222.98</v>
      </c>
      <c r="AF12" s="397"/>
      <c r="AG12" s="397"/>
      <c r="AH12" s="398"/>
      <c r="AI12" s="396">
        <f>SUM('09'!L45:'09'!L49)</f>
        <v>200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430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2618.25</v>
      </c>
      <c r="BA12" s="112">
        <f t="shared" ca="1" si="0"/>
        <v>2618.25</v>
      </c>
      <c r="BB12" s="1"/>
      <c r="BC12" s="1"/>
    </row>
    <row r="13" spans="1:55" ht="15.6">
      <c r="A13" s="189" t="s">
        <v>204</v>
      </c>
      <c r="B13" s="195">
        <v>10099.5</v>
      </c>
      <c r="C13" s="380">
        <f>SUM('01'!L50:'01'!L54)</f>
        <v>273.07</v>
      </c>
      <c r="D13" s="381"/>
      <c r="E13" s="381"/>
      <c r="F13" s="382"/>
      <c r="G13" s="380">
        <f>SUM('02'!L50:'02'!L54)</f>
        <v>0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95.8</v>
      </c>
      <c r="AB13" s="381"/>
      <c r="AC13" s="381"/>
      <c r="AD13" s="382"/>
      <c r="AE13" s="380">
        <f>SUM('08'!L50:'08'!L54)</f>
        <v>117.03</v>
      </c>
      <c r="AF13" s="381"/>
      <c r="AG13" s="381"/>
      <c r="AH13" s="382"/>
      <c r="AI13" s="380">
        <f>SUM('09'!L50:'09'!L54)</f>
        <v>1072.33</v>
      </c>
      <c r="AJ13" s="381"/>
      <c r="AK13" s="381"/>
      <c r="AL13" s="382"/>
      <c r="AM13" s="380">
        <f>SUM('10'!L50:'10'!L54)</f>
        <v>95.8</v>
      </c>
      <c r="AN13" s="381"/>
      <c r="AO13" s="381"/>
      <c r="AP13" s="382"/>
      <c r="AQ13" s="380">
        <f>SUM('11'!L50:'11'!L54)</f>
        <v>95.8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6554.97</v>
      </c>
      <c r="BA13" s="112">
        <f t="shared" ca="1" si="0"/>
        <v>6554.97</v>
      </c>
      <c r="BB13" s="1"/>
      <c r="BC13" s="1"/>
    </row>
    <row r="14" spans="1:55" ht="15.6">
      <c r="A14" s="190" t="s">
        <v>205</v>
      </c>
      <c r="B14" s="194">
        <v>768.34999999999991</v>
      </c>
      <c r="C14" s="380">
        <f>SUM('01'!L55:'01'!L59)</f>
        <v>168.88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51.759999999999991</v>
      </c>
      <c r="AB14" s="397"/>
      <c r="AC14" s="397"/>
      <c r="AD14" s="398"/>
      <c r="AE14" s="396">
        <f>SUM('08'!L55:'08'!L59)</f>
        <v>27.42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57.08</v>
      </c>
      <c r="AN14" s="397"/>
      <c r="AO14" s="397"/>
      <c r="AP14" s="398"/>
      <c r="AQ14" s="396">
        <f>SUM('11'!L55:'11'!L59)</f>
        <v>393.02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762.93</v>
      </c>
      <c r="BA14" s="112">
        <f t="shared" ca="1" si="0"/>
        <v>762.93</v>
      </c>
      <c r="BB14" s="3"/>
      <c r="BC14" s="3"/>
    </row>
    <row r="15" spans="1:55" ht="15.6">
      <c r="A15" s="189" t="s">
        <v>206</v>
      </c>
      <c r="B15" s="193">
        <v>7259.8400000000011</v>
      </c>
      <c r="C15" s="380">
        <f>SUM('01'!L60:'01'!L64)</f>
        <v>0</v>
      </c>
      <c r="D15" s="381"/>
      <c r="E15" s="381"/>
      <c r="F15" s="382"/>
      <c r="G15" s="380">
        <f>SUM('02'!L60:'02'!L64)</f>
        <v>0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649.1</v>
      </c>
      <c r="AB15" s="381"/>
      <c r="AC15" s="381"/>
      <c r="AD15" s="382"/>
      <c r="AE15" s="380">
        <f>SUM('08'!L60:'08'!L64)</f>
        <v>550</v>
      </c>
      <c r="AF15" s="381"/>
      <c r="AG15" s="381"/>
      <c r="AH15" s="382"/>
      <c r="AI15" s="380">
        <f>SUM('09'!L60:'09'!L64)</f>
        <v>676.35</v>
      </c>
      <c r="AJ15" s="381"/>
      <c r="AK15" s="381"/>
      <c r="AL15" s="382"/>
      <c r="AM15" s="380">
        <f>SUM('10'!L60:'10'!L64)</f>
        <v>550</v>
      </c>
      <c r="AN15" s="381"/>
      <c r="AO15" s="381"/>
      <c r="AP15" s="382"/>
      <c r="AQ15" s="380">
        <f>SUM('11'!L60:'11'!L64)</f>
        <v>647.88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5469.9</v>
      </c>
      <c r="BA15" s="112">
        <f t="shared" ca="1" si="0"/>
        <v>5469.9</v>
      </c>
      <c r="BB15" s="1"/>
      <c r="BC15" s="1"/>
    </row>
    <row r="16" spans="1:55" ht="15.9" thickBot="1">
      <c r="A16" s="191" t="s">
        <v>40</v>
      </c>
      <c r="B16" s="196">
        <v>185</v>
      </c>
      <c r="C16" s="380">
        <f>SUM('01'!L65:'01'!L69)</f>
        <v>87.95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5.9" thickBot="1">
      <c r="A17" s="215" t="s">
        <v>5</v>
      </c>
      <c r="B17" s="221">
        <f>SUM(B8:B16)</f>
        <v>64341.780000000006</v>
      </c>
      <c r="C17" s="376">
        <f>SUM(C8:C16)</f>
        <v>1745.7899999999997</v>
      </c>
      <c r="D17" s="377"/>
      <c r="E17" s="377"/>
      <c r="F17" s="378"/>
      <c r="G17" s="376">
        <f>SUM(G8:G16)</f>
        <v>0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4093.3200000000006</v>
      </c>
      <c r="X17" s="377"/>
      <c r="Y17" s="377"/>
      <c r="Z17" s="378"/>
      <c r="AA17" s="376">
        <f>SUM(AA8:AA16)</f>
        <v>4638.26</v>
      </c>
      <c r="AB17" s="377"/>
      <c r="AC17" s="377"/>
      <c r="AD17" s="378"/>
      <c r="AE17" s="376">
        <f>SUM(AE8:AE16)</f>
        <v>3945.4900000000002</v>
      </c>
      <c r="AF17" s="377"/>
      <c r="AG17" s="377"/>
      <c r="AH17" s="378"/>
      <c r="AI17" s="376">
        <f>SUM(AI8:AI16)</f>
        <v>4981.9699999999993</v>
      </c>
      <c r="AJ17" s="377"/>
      <c r="AK17" s="377"/>
      <c r="AL17" s="378"/>
      <c r="AM17" s="376">
        <f>SUM(AM8:AM16)</f>
        <v>3972.5899999999997</v>
      </c>
      <c r="AN17" s="377"/>
      <c r="AO17" s="377"/>
      <c r="AP17" s="378"/>
      <c r="AQ17" s="376">
        <f>SUM(AQ8:AQ16)</f>
        <v>4500.4000000000005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46883.45</v>
      </c>
      <c r="BA17" s="112">
        <f ca="1">AZ17/BC$17</f>
        <v>46883.45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170</v>
      </c>
      <c r="AV18" s="379"/>
      <c r="AW18" s="379"/>
      <c r="AX18" s="379"/>
      <c r="AZ18" s="131">
        <f>(2700*13)+(600*12)+(550*12)+(273*12)</f>
        <v>52176</v>
      </c>
      <c r="BA18" s="131">
        <f ca="1">12*BA17</f>
        <v>562601.39999999991</v>
      </c>
      <c r="BB18" s="1"/>
      <c r="BC18" s="1"/>
    </row>
    <row r="19" spans="1:62" ht="16.2" thickTop="1" thickBot="1">
      <c r="A19" s="24" t="s">
        <v>7</v>
      </c>
      <c r="B19" s="24" t="s">
        <v>825</v>
      </c>
      <c r="C19" s="178" t="s">
        <v>52</v>
      </c>
      <c r="D19" s="179" t="s">
        <v>200</v>
      </c>
      <c r="E19" s="179" t="s">
        <v>9</v>
      </c>
      <c r="F19" s="180" t="s">
        <v>10</v>
      </c>
      <c r="G19" s="178" t="s">
        <v>52</v>
      </c>
      <c r="H19" s="179" t="s">
        <v>200</v>
      </c>
      <c r="I19" s="179" t="s">
        <v>9</v>
      </c>
      <c r="J19" s="180" t="s">
        <v>10</v>
      </c>
      <c r="K19" s="178" t="s">
        <v>52</v>
      </c>
      <c r="L19" s="179" t="s">
        <v>200</v>
      </c>
      <c r="M19" s="179" t="s">
        <v>9</v>
      </c>
      <c r="N19" s="180" t="s">
        <v>10</v>
      </c>
      <c r="O19" s="178" t="s">
        <v>52</v>
      </c>
      <c r="P19" s="179" t="s">
        <v>200</v>
      </c>
      <c r="Q19" s="179" t="s">
        <v>9</v>
      </c>
      <c r="R19" s="180" t="s">
        <v>10</v>
      </c>
      <c r="S19" s="178" t="s">
        <v>52</v>
      </c>
      <c r="T19" s="179" t="s">
        <v>200</v>
      </c>
      <c r="U19" s="179" t="s">
        <v>9</v>
      </c>
      <c r="V19" s="180" t="s">
        <v>10</v>
      </c>
      <c r="W19" s="178" t="s">
        <v>52</v>
      </c>
      <c r="X19" s="179" t="s">
        <v>200</v>
      </c>
      <c r="Y19" s="179" t="s">
        <v>9</v>
      </c>
      <c r="Z19" s="180" t="s">
        <v>10</v>
      </c>
      <c r="AA19" s="178" t="s">
        <v>52</v>
      </c>
      <c r="AB19" s="179" t="s">
        <v>200</v>
      </c>
      <c r="AC19" s="179" t="s">
        <v>9</v>
      </c>
      <c r="AD19" s="180" t="s">
        <v>10</v>
      </c>
      <c r="AE19" s="178" t="s">
        <v>52</v>
      </c>
      <c r="AF19" s="179" t="s">
        <v>200</v>
      </c>
      <c r="AG19" s="179" t="s">
        <v>9</v>
      </c>
      <c r="AH19" s="180" t="s">
        <v>10</v>
      </c>
      <c r="AI19" s="178" t="s">
        <v>52</v>
      </c>
      <c r="AJ19" s="179" t="s">
        <v>200</v>
      </c>
      <c r="AK19" s="179" t="s">
        <v>9</v>
      </c>
      <c r="AL19" s="180" t="s">
        <v>10</v>
      </c>
      <c r="AM19" s="178" t="s">
        <v>52</v>
      </c>
      <c r="AN19" s="179" t="s">
        <v>200</v>
      </c>
      <c r="AO19" s="179" t="s">
        <v>9</v>
      </c>
      <c r="AP19" s="180" t="s">
        <v>10</v>
      </c>
      <c r="AQ19" s="178" t="s">
        <v>52</v>
      </c>
      <c r="AR19" s="179" t="s">
        <v>200</v>
      </c>
      <c r="AS19" s="179" t="s">
        <v>9</v>
      </c>
      <c r="AT19" s="180" t="s">
        <v>10</v>
      </c>
      <c r="AU19" s="178" t="s">
        <v>52</v>
      </c>
      <c r="AV19" s="179" t="s">
        <v>200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184</v>
      </c>
      <c r="BF19" s="13" t="s">
        <v>187</v>
      </c>
      <c r="BG19" s="13" t="s">
        <v>185</v>
      </c>
      <c r="BH19" s="13" t="s">
        <v>186</v>
      </c>
      <c r="BJ19" s="12" t="s">
        <v>219</v>
      </c>
    </row>
    <row r="20" spans="1:62" ht="15.6">
      <c r="A20" s="141" t="s">
        <v>810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42.239999999999995</v>
      </c>
      <c r="F20" s="145">
        <f t="shared" ref="F20:F45" si="2">B20+D20-E20</f>
        <v>3006.2991905564922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3583.0791905564924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2981.8291905564924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2978.0691905564927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3179.1891905564926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3178.8591905564926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3376.6491905564926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3371.5691905564927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3573.9291905564928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3549.7291905564925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4110.5591905564925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4352.6991905564928</v>
      </c>
      <c r="AZ20" s="123">
        <f t="shared" ref="AZ20:AZ27" si="14">E20+I20+M20+Q20+U20+Y20+AC20+AG20+AK20+AO20+AS20+AW20</f>
        <v>4907.9299999999994</v>
      </c>
      <c r="BA20" s="21">
        <f t="shared" ref="BA20:BA45" si="15">AZ20/AZ$46</f>
        <v>0.11525326373577598</v>
      </c>
      <c r="BB20" s="22">
        <f>_xlfn.RANK.EQ(BA20,$BA$20:$BA$45,)</f>
        <v>2</v>
      </c>
      <c r="BC20" s="22">
        <f t="shared" ref="BC20:BC45" ca="1" si="16">AZ20/BC$17</f>
        <v>4907.9299999999994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0.86698633637470335</v>
      </c>
      <c r="BG20" s="22">
        <f ca="1">_xlfn.RANK.EQ(BF20,$BF$20:$BF$45,)</f>
        <v>3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534.54000000000042</v>
      </c>
    </row>
    <row r="21" spans="1:62" ht="15.6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1104.6099999999999</v>
      </c>
      <c r="F21" s="151">
        <f t="shared" si="2"/>
        <v>360.11999999999944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1524.1199999999994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1156.8899999999994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1200.9499999999994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1077.1899999999994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1121.2499999999995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1165.3099999999995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1105.1799999999994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1149.2399999999993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1089.1099999999992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1132.4999999999993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2285.4999999999991</v>
      </c>
      <c r="AZ21" s="152">
        <f t="shared" si="14"/>
        <v>11808.23</v>
      </c>
      <c r="BA21" s="21">
        <f t="shared" si="15"/>
        <v>0.2772934916436669</v>
      </c>
      <c r="BB21" s="22">
        <f t="shared" ref="BB21:BB45" si="20">_xlfn.RANK.EQ(BA21,$BA$20:$BA$45,)</f>
        <v>1</v>
      </c>
      <c r="BC21" s="22">
        <f t="shared" ca="1" si="16"/>
        <v>11808.23</v>
      </c>
      <c r="BE21" s="224">
        <f t="shared" ca="1" si="17"/>
        <v>1164</v>
      </c>
      <c r="BF21" s="21">
        <f t="shared" ca="1" si="18"/>
        <v>1.7496655493258342</v>
      </c>
      <c r="BG21" s="22">
        <f t="shared" ref="BG21:BG45" ca="1" si="21">_xlfn.RANK.EQ(BF21,$BF$20:$BF$45,)</f>
        <v>1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59.3900000000001</v>
      </c>
    </row>
    <row r="22" spans="1:62" ht="15.6">
      <c r="A22" s="153" t="s">
        <v>811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350.83000000000004</v>
      </c>
      <c r="F22" s="156">
        <f t="shared" si="2"/>
        <v>107.54999999999995</v>
      </c>
      <c r="G22" s="143" t="s">
        <v>1</v>
      </c>
      <c r="H22" s="155">
        <f>'02'!B60</f>
        <v>395</v>
      </c>
      <c r="I22" s="155">
        <f>SUM('02'!D60:F60)</f>
        <v>0</v>
      </c>
      <c r="J22" s="156">
        <f t="shared" si="3"/>
        <v>502.54999999999995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596.66999999999985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755.25999999999988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723.99999999999977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730.77999999999975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730.77999999999975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730.77999999999952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746.07999999999947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718.86999999999944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622.66999999999939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937.66999999999939</v>
      </c>
      <c r="AZ22" s="157">
        <f t="shared" si="14"/>
        <v>2796.94</v>
      </c>
      <c r="BA22" s="21">
        <f t="shared" si="15"/>
        <v>6.5680737800486416E-2</v>
      </c>
      <c r="BB22" s="22">
        <f t="shared" si="20"/>
        <v>5</v>
      </c>
      <c r="BC22" s="22">
        <f t="shared" ca="1" si="16"/>
        <v>2796.94</v>
      </c>
      <c r="BE22" s="225">
        <f t="shared" ca="1" si="17"/>
        <v>395</v>
      </c>
      <c r="BF22" s="21">
        <f t="shared" ca="1" si="18"/>
        <v>0.59374389345679079</v>
      </c>
      <c r="BG22" s="22">
        <f t="shared" ca="1" si="21"/>
        <v>4</v>
      </c>
      <c r="BH22" s="22">
        <f t="shared" ca="1" si="19"/>
        <v>395</v>
      </c>
      <c r="BJ22" s="225">
        <f t="shared" ca="1" si="22"/>
        <v>44.169999999999959</v>
      </c>
    </row>
    <row r="23" spans="1:62" ht="15.6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108.75</v>
      </c>
      <c r="F23" s="151">
        <f t="shared" si="2"/>
        <v>252.2000000000001</v>
      </c>
      <c r="G23" s="148" t="s">
        <v>1</v>
      </c>
      <c r="H23" s="149">
        <f>'02'!B80</f>
        <v>200</v>
      </c>
      <c r="I23" s="150">
        <f>SUM('02'!D80:F80)</f>
        <v>0</v>
      </c>
      <c r="J23" s="151">
        <f t="shared" si="3"/>
        <v>452.2000000000001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475.68000000000006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544.68000000000006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501.83000000000004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504.18000000000006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531.98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525.33000000000004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532.43000000000006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549.05000000000007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580.85000000000014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765.85000000000014</v>
      </c>
      <c r="AZ23" s="152">
        <f t="shared" si="14"/>
        <v>1725.1000000000001</v>
      </c>
      <c r="BA23" s="21">
        <f t="shared" si="15"/>
        <v>4.0510644053722684E-2</v>
      </c>
      <c r="BB23" s="22">
        <f t="shared" si="20"/>
        <v>9</v>
      </c>
      <c r="BC23" s="22">
        <f t="shared" ca="1" si="16"/>
        <v>1725.1000000000001</v>
      </c>
      <c r="BE23" s="224">
        <f t="shared" ca="1" si="17"/>
        <v>180</v>
      </c>
      <c r="BF23" s="21">
        <f t="shared" ca="1" si="18"/>
        <v>0.27056683752461352</v>
      </c>
      <c r="BG23" s="22">
        <f t="shared" ca="1" si="21"/>
        <v>9</v>
      </c>
      <c r="BH23" s="22">
        <f t="shared" ca="1" si="19"/>
        <v>180</v>
      </c>
      <c r="BJ23" s="224">
        <f t="shared" ca="1" si="22"/>
        <v>71.25</v>
      </c>
    </row>
    <row r="24" spans="1:62" ht="15.6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98.37</v>
      </c>
      <c r="F24" s="156">
        <f t="shared" si="2"/>
        <v>338.25</v>
      </c>
      <c r="G24" s="143" t="s">
        <v>1</v>
      </c>
      <c r="H24" s="155">
        <f>'02'!B100</f>
        <v>200</v>
      </c>
      <c r="I24" s="155">
        <f>SUM('02'!D100:F100)</f>
        <v>0</v>
      </c>
      <c r="J24" s="156">
        <f t="shared" si="3"/>
        <v>538.25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602.16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648.77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633.29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600.42999999999995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705.32999999999993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721.51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716.85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656.67000000000007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763.3900000000001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913.3900000000001</v>
      </c>
      <c r="AZ24" s="157">
        <f t="shared" si="14"/>
        <v>1313.2300000000002</v>
      </c>
      <c r="BA24" s="21">
        <f t="shared" si="15"/>
        <v>3.0838672013605149E-2</v>
      </c>
      <c r="BB24" s="22">
        <f t="shared" si="20"/>
        <v>10</v>
      </c>
      <c r="BC24" s="22">
        <f t="shared" ca="1" si="16"/>
        <v>1313.2300000000002</v>
      </c>
      <c r="BE24" s="225">
        <f t="shared" ca="1" si="17"/>
        <v>200</v>
      </c>
      <c r="BF24" s="21">
        <f t="shared" ca="1" si="18"/>
        <v>0.30062981947179279</v>
      </c>
      <c r="BG24" s="22">
        <f t="shared" ca="1" si="21"/>
        <v>6</v>
      </c>
      <c r="BH24" s="22">
        <f t="shared" ca="1" si="19"/>
        <v>200</v>
      </c>
      <c r="BJ24" s="225">
        <f t="shared" ca="1" si="22"/>
        <v>101.62999999999997</v>
      </c>
    </row>
    <row r="25" spans="1:62" ht="15.6">
      <c r="A25" s="146" t="s">
        <v>826</v>
      </c>
      <c r="B25" s="147">
        <v>4951.5215974244966</v>
      </c>
      <c r="C25" s="148" t="s">
        <v>0</v>
      </c>
      <c r="D25" s="149">
        <f>'01'!B120</f>
        <v>853.47</v>
      </c>
      <c r="E25" s="150">
        <f>SUM('01'!D120:F120)</f>
        <v>373.49</v>
      </c>
      <c r="F25" s="151">
        <f t="shared" si="2"/>
        <v>5431.501597424497</v>
      </c>
      <c r="G25" s="148" t="s">
        <v>1</v>
      </c>
      <c r="H25" s="149">
        <f>'02'!B120</f>
        <v>853.47</v>
      </c>
      <c r="I25" s="150">
        <f>SUM('02'!D120:F120)</f>
        <v>328.83000000000004</v>
      </c>
      <c r="J25" s="151">
        <f t="shared" si="3"/>
        <v>5956.1415974244974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4763.7615974244973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6305.7315974244966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5493.3515974244965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5610.9715974244964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5928.5915974244963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6596.2115974244962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6713.8315974244961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7147.7831948489938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7277.873194848994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7735.3431948489942</v>
      </c>
      <c r="AZ25" s="152">
        <f t="shared" si="14"/>
        <v>3712.7400000000007</v>
      </c>
      <c r="BA25" s="21">
        <f t="shared" si="15"/>
        <v>8.71865333047466E-2</v>
      </c>
      <c r="BB25" s="22">
        <f t="shared" si="20"/>
        <v>4</v>
      </c>
      <c r="BC25" s="22">
        <f t="shared" ca="1" si="16"/>
        <v>3712.7400000000007</v>
      </c>
      <c r="BE25" s="224">
        <f t="shared" ca="1" si="17"/>
        <v>853.47</v>
      </c>
      <c r="BF25" s="21">
        <f t="shared" ca="1" si="18"/>
        <v>1.2828926601229551</v>
      </c>
      <c r="BG25" s="22">
        <f t="shared" ca="1" si="21"/>
        <v>2</v>
      </c>
      <c r="BH25" s="22">
        <f t="shared" ca="1" si="19"/>
        <v>853.47</v>
      </c>
      <c r="BJ25" s="224">
        <f t="shared" ca="1" si="22"/>
        <v>479.98000000000047</v>
      </c>
    </row>
    <row r="26" spans="1:62" ht="15.6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7.99</v>
      </c>
      <c r="F26" s="156">
        <f t="shared" si="2"/>
        <v>90.589999999999989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135.59999999999997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143.09999999999997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140.60999999999996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158.11999999999995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155.62999999999994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163.13999999999993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160.64999999999992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168.15999999999991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110.66999999999992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118.17999999999989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186.17999999999989</v>
      </c>
      <c r="AZ26" s="157">
        <f t="shared" si="14"/>
        <v>515.4</v>
      </c>
      <c r="BA26" s="21">
        <f t="shared" si="15"/>
        <v>1.210317427702085E-2</v>
      </c>
      <c r="BB26" s="22">
        <f t="shared" si="20"/>
        <v>14</v>
      </c>
      <c r="BC26" s="22">
        <f t="shared" ca="1" si="16"/>
        <v>515.4</v>
      </c>
      <c r="BE26" s="225">
        <f t="shared" ca="1" si="17"/>
        <v>53</v>
      </c>
      <c r="BF26" s="21">
        <f t="shared" ca="1" si="18"/>
        <v>7.9666902160025088E-2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45.010000000000005</v>
      </c>
    </row>
    <row r="27" spans="1:62" ht="15.9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411.07000000000005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357.41000000000008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390.8300000000001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356.96000000000009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313.80000000000007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363.80000000000007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376.51000000000005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426.51000000000005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429.75000000000006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463.17000000000007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488.30000000000007</v>
      </c>
      <c r="AZ27" s="188">
        <f t="shared" si="14"/>
        <v>441.11</v>
      </c>
      <c r="BA27" s="21">
        <f t="shared" si="15"/>
        <v>1.0358617006861985E-2</v>
      </c>
      <c r="BB27" s="22">
        <f t="shared" si="20"/>
        <v>16</v>
      </c>
      <c r="BC27" s="22">
        <f t="shared" ca="1" si="16"/>
        <v>441.11</v>
      </c>
      <c r="BE27" s="224">
        <f t="shared" ca="1" si="17"/>
        <v>40</v>
      </c>
      <c r="BF27" s="21">
        <f t="shared" ca="1" si="18"/>
        <v>6.0125963894358557E-2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15.129999999999995</v>
      </c>
    </row>
    <row r="28" spans="1:62" ht="15.6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1704.0600000000002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1013.2000000000002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2063.2000000000003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2263.2000000000003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1099.9200000000003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1299.9200000000003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1455.9200000000003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1655.9200000000003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1855.9200000000003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2055.92</v>
      </c>
      <c r="AZ28" s="182">
        <f t="shared" ref="AZ28:AZ45" si="23">E28+I28+M28+Q28+U28+Y28+AC28+AG28+AK28+AO28+AS28+AW28</f>
        <v>2713.08</v>
      </c>
      <c r="BA28" s="21">
        <f t="shared" si="15"/>
        <v>6.3711447550445721E-2</v>
      </c>
      <c r="BB28" s="22">
        <f t="shared" si="20"/>
        <v>6</v>
      </c>
      <c r="BC28" s="22">
        <f t="shared" ca="1" si="16"/>
        <v>2713.08</v>
      </c>
      <c r="BE28" s="223">
        <f t="shared" ca="1" si="17"/>
        <v>200</v>
      </c>
      <c r="BF28" s="21">
        <f t="shared" ca="1" si="18"/>
        <v>0.30062981947179279</v>
      </c>
      <c r="BG28" s="22">
        <f t="shared" ca="1" si="21"/>
        <v>6</v>
      </c>
      <c r="BH28" s="22">
        <f t="shared" ca="1" si="19"/>
        <v>200</v>
      </c>
      <c r="BJ28" s="223">
        <f t="shared" ca="1" si="22"/>
        <v>-174.94000000000005</v>
      </c>
    </row>
    <row r="29" spans="1:62" ht="15.6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110.92999999999999</v>
      </c>
      <c r="F29" s="160">
        <f t="shared" si="2"/>
        <v>159.59999999999997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239.59999999999997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279.09999999999997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283.10999999999996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309.47999999999996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251.69999999999996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220.65999999999994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240.45999999999998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206.67999999999995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142.88999999999993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148.72999999999993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253.72999999999993</v>
      </c>
      <c r="AZ29" s="152">
        <f t="shared" si="23"/>
        <v>1072.4600000000003</v>
      </c>
      <c r="BA29" s="21">
        <f t="shared" si="15"/>
        <v>2.5184653250162562E-2</v>
      </c>
      <c r="BB29" s="22">
        <f t="shared" si="20"/>
        <v>12</v>
      </c>
      <c r="BC29" s="22">
        <f t="shared" ca="1" si="16"/>
        <v>1072.4600000000003</v>
      </c>
      <c r="BE29" s="224">
        <f t="shared" ca="1" si="17"/>
        <v>144.94999999999999</v>
      </c>
      <c r="BF29" s="21">
        <f t="shared" ca="1" si="18"/>
        <v>0.21788146166218181</v>
      </c>
      <c r="BG29" s="22">
        <f t="shared" ca="1" si="21"/>
        <v>10</v>
      </c>
      <c r="BH29" s="22">
        <f t="shared" ca="1" si="19"/>
        <v>144.94999999999999</v>
      </c>
      <c r="BJ29" s="224">
        <f t="shared" ca="1" si="22"/>
        <v>34.019999999999982</v>
      </c>
    </row>
    <row r="30" spans="1:62" ht="15.6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54.04</v>
      </c>
      <c r="F30" s="161">
        <f t="shared" si="2"/>
        <v>44.709999999999958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79.709999999999951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112.57999999999996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113.24999999999996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135.68999999999994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170.68999999999994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129.51999999999992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141.51999999999992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164.01999999999992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175.51999999999992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210.51999999999992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245.51999999999992</v>
      </c>
      <c r="AZ30" s="157">
        <f t="shared" si="23"/>
        <v>278.23</v>
      </c>
      <c r="BA30" s="21">
        <f t="shared" si="15"/>
        <v>6.5336945655714226E-3</v>
      </c>
      <c r="BB30" s="22">
        <f t="shared" si="20"/>
        <v>17</v>
      </c>
      <c r="BC30" s="22">
        <f t="shared" ca="1" si="16"/>
        <v>278.23</v>
      </c>
      <c r="BE30" s="225">
        <f t="shared" ca="1" si="17"/>
        <v>35</v>
      </c>
      <c r="BF30" s="21">
        <f t="shared" ca="1" si="18"/>
        <v>5.261021840756374E-2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-19.04</v>
      </c>
    </row>
    <row r="31" spans="1:62" ht="15.6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95.099999999999966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73.139999999999958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93.139999999999958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71.17999999999995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70.199999999999946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69.219999999999942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68.239999999999938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67.259999999999934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66.27999999999993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86.27999999999993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106.27999999999993</v>
      </c>
      <c r="AZ31" s="152">
        <f t="shared" si="23"/>
        <v>188.82</v>
      </c>
      <c r="BA31" s="21">
        <f t="shared" si="15"/>
        <v>4.4340732770412825E-3</v>
      </c>
      <c r="BB31" s="22">
        <f t="shared" si="20"/>
        <v>18</v>
      </c>
      <c r="BC31" s="22">
        <f t="shared" ca="1" si="16"/>
        <v>188.82</v>
      </c>
      <c r="BE31" s="224">
        <f t="shared" ca="1" si="17"/>
        <v>21</v>
      </c>
      <c r="BF31" s="21">
        <f t="shared" ca="1" si="18"/>
        <v>3.1566131044538245E-2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6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24.46</v>
      </c>
      <c r="F32" s="161">
        <f t="shared" si="2"/>
        <v>492.43999999999977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542.43999999999983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627.15999999999985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896.28999999999985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1401.05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1295.73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1071.33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1113.5599999999997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957.21999999999957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880.01999999999953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975.01999999999953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1225.0199999999995</v>
      </c>
      <c r="AZ32" s="157">
        <f t="shared" si="23"/>
        <v>1784.2100000000003</v>
      </c>
      <c r="BA32" s="21">
        <f t="shared" si="15"/>
        <v>4.1898728321310391E-2</v>
      </c>
      <c r="BB32" s="22">
        <f t="shared" si="20"/>
        <v>8</v>
      </c>
      <c r="BC32" s="22">
        <f t="shared" ca="1" si="16"/>
        <v>1784.2100000000003</v>
      </c>
      <c r="BE32" s="225">
        <f t="shared" ca="1" si="17"/>
        <v>50</v>
      </c>
      <c r="BF32" s="21">
        <f t="shared" ca="1" si="18"/>
        <v>7.5157454867948198E-2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25.54000000000002</v>
      </c>
    </row>
    <row r="33" spans="1:62" ht="15.6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1304.4300000000007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1343.9800000000007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1301.0900000000006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1159.5900000000006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1209.5900000000006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1278.5900000000006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1283.5900000000006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1321.5900000000006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1381.5900000000006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1421.5900000000006</v>
      </c>
      <c r="AZ33" s="152">
        <f t="shared" si="23"/>
        <v>3760.4399999999996</v>
      </c>
      <c r="BA33" s="21">
        <f t="shared" si="15"/>
        <v>8.8306675743655957E-2</v>
      </c>
      <c r="BB33" s="22">
        <f t="shared" si="20"/>
        <v>3</v>
      </c>
      <c r="BC33" s="22">
        <f t="shared" ca="1" si="16"/>
        <v>3760.4399999999996</v>
      </c>
      <c r="BE33" s="224">
        <f t="shared" ca="1" si="17"/>
        <v>10</v>
      </c>
      <c r="BF33" s="21">
        <f t="shared" ca="1" si="18"/>
        <v>1.5031490973589639E-2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6">
      <c r="A34" s="153" t="s">
        <v>22</v>
      </c>
      <c r="B34" s="154">
        <v>14.829999999999814</v>
      </c>
      <c r="C34" s="143" t="s">
        <v>0</v>
      </c>
      <c r="D34" s="155">
        <f>'01'!B300</f>
        <v>197.95</v>
      </c>
      <c r="E34" s="155">
        <f>SUM('01'!D300:F300)</f>
        <v>116.57</v>
      </c>
      <c r="F34" s="161">
        <f t="shared" si="2"/>
        <v>96.209999999999809</v>
      </c>
      <c r="G34" s="143" t="s">
        <v>1</v>
      </c>
      <c r="H34" s="155">
        <f>'02'!B300</f>
        <v>110</v>
      </c>
      <c r="I34" s="155">
        <f>SUM('02'!D300:F300)</f>
        <v>0</v>
      </c>
      <c r="J34" s="161">
        <f t="shared" si="3"/>
        <v>206.20999999999981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296.20999999999981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342.20999999999981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106.56999999999977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206.56999999999971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113.30999999999972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189.01999999999973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208.01999999999975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252.11999999999975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342.11999999999978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437.11999999999978</v>
      </c>
      <c r="AZ34" s="152">
        <f t="shared" si="23"/>
        <v>1078.0700000000002</v>
      </c>
      <c r="BA34" s="21">
        <f t="shared" si="15"/>
        <v>2.53163932728519E-2</v>
      </c>
      <c r="BB34" s="22">
        <f t="shared" si="20"/>
        <v>11</v>
      </c>
      <c r="BC34" s="22">
        <f t="shared" ca="1" si="16"/>
        <v>1078.0700000000002</v>
      </c>
      <c r="BE34" s="225">
        <f t="shared" ca="1" si="17"/>
        <v>197.95</v>
      </c>
      <c r="BF34" s="21">
        <f t="shared" ca="1" si="18"/>
        <v>0.2975483638222069</v>
      </c>
      <c r="BG34" s="22">
        <f t="shared" ca="1" si="21"/>
        <v>8</v>
      </c>
      <c r="BH34" s="22">
        <f t="shared" ca="1" si="19"/>
        <v>197.95</v>
      </c>
      <c r="BJ34" s="225">
        <f t="shared" ca="1" si="22"/>
        <v>81.38</v>
      </c>
    </row>
    <row r="35" spans="1:62" ht="15.9" thickBot="1">
      <c r="A35" s="183" t="s">
        <v>84</v>
      </c>
      <c r="B35" s="184">
        <v>1581.3600000000006</v>
      </c>
      <c r="C35" s="185" t="s">
        <v>0</v>
      </c>
      <c r="D35" s="186">
        <f>'01'!B320</f>
        <v>298.88</v>
      </c>
      <c r="E35" s="186">
        <f>SUM('01'!D320:F320)</f>
        <v>382.62</v>
      </c>
      <c r="F35" s="187">
        <f t="shared" si="2"/>
        <v>1497.6200000000008</v>
      </c>
      <c r="G35" s="185" t="s">
        <v>1</v>
      </c>
      <c r="H35" s="186">
        <f>'02'!B320</f>
        <v>140</v>
      </c>
      <c r="I35" s="186">
        <f>SUM('02'!D320:F320)</f>
        <v>0</v>
      </c>
      <c r="J35" s="187">
        <f t="shared" si="3"/>
        <v>1637.6200000000008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1625.6400000000008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1598.2200000000007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1724.7100000000007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1702.1100000000008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1745.6400000000008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1788.4200000000008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1721.9100000000008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1404.2200000000007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1458.1900000000007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1588.1900000000007</v>
      </c>
      <c r="AZ35" s="188">
        <f t="shared" si="23"/>
        <v>2520.4700000000003</v>
      </c>
      <c r="BA35" s="21">
        <f t="shared" si="15"/>
        <v>5.9188373438111654E-2</v>
      </c>
      <c r="BB35" s="22">
        <f t="shared" si="20"/>
        <v>7</v>
      </c>
      <c r="BC35" s="22">
        <f t="shared" ca="1" si="16"/>
        <v>2520.4700000000003</v>
      </c>
      <c r="BE35" s="224">
        <f t="shared" ca="1" si="17"/>
        <v>298.88</v>
      </c>
      <c r="BF35" s="21">
        <f t="shared" ca="1" si="18"/>
        <v>0.44926120221864713</v>
      </c>
      <c r="BG35" s="22">
        <f t="shared" ca="1" si="21"/>
        <v>5</v>
      </c>
      <c r="BH35" s="22">
        <f t="shared" ca="1" si="19"/>
        <v>298.88</v>
      </c>
      <c r="BJ35" s="224">
        <f t="shared" ca="1" si="22"/>
        <v>-83.739999999999782</v>
      </c>
    </row>
    <row r="36" spans="1:62" ht="15.6">
      <c r="A36" s="163" t="s">
        <v>443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1252.5100000000002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1443.4200000000003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1533.4400000000003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1449.4400000000003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1457.4400000000003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1632.4400000000003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1294.8900000000003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1553.0100000000004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1638.0100000000004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2143.0100000000002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2233.0100000000002</v>
      </c>
      <c r="AZ36" s="182">
        <f t="shared" si="23"/>
        <v>1023.47</v>
      </c>
      <c r="BA36" s="21">
        <f t="shared" si="15"/>
        <v>2.4034217650955626E-2</v>
      </c>
      <c r="BB36" s="22">
        <f t="shared" si="20"/>
        <v>13</v>
      </c>
      <c r="BC36" s="22">
        <f t="shared" ca="1" si="16"/>
        <v>1023.47</v>
      </c>
      <c r="BE36" s="223">
        <f t="shared" ca="1" si="17"/>
        <v>90.02</v>
      </c>
      <c r="BF36" s="21">
        <f t="shared" ca="1" si="18"/>
        <v>0.13531348174425392</v>
      </c>
      <c r="BG36" s="22">
        <f t="shared" ca="1" si="21"/>
        <v>11</v>
      </c>
      <c r="BH36" s="22">
        <f t="shared" ca="1" si="19"/>
        <v>90.02</v>
      </c>
      <c r="BJ36" s="223">
        <f t="shared" ca="1" si="22"/>
        <v>75.019999999999982</v>
      </c>
    </row>
    <row r="37" spans="1:62" ht="15.6">
      <c r="A37" s="146" t="s">
        <v>812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5</v>
      </c>
      <c r="I37" s="165">
        <f>SUM('02'!D360:F360)</f>
        <v>0</v>
      </c>
      <c r="J37" s="151">
        <f t="shared" si="3"/>
        <v>240.73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243.73000000000002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288.73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333.73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418.73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423.73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468.73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513.73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558.73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538.73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583.73</v>
      </c>
      <c r="AZ37" s="152">
        <f t="shared" si="23"/>
        <v>181.3</v>
      </c>
      <c r="BA37" s="21">
        <f t="shared" si="15"/>
        <v>4.2574805906555688E-3</v>
      </c>
      <c r="BB37" s="22">
        <f t="shared" si="20"/>
        <v>19</v>
      </c>
      <c r="BC37" s="22">
        <f t="shared" ca="1" si="16"/>
        <v>181.3</v>
      </c>
      <c r="BE37" s="224">
        <f t="shared" ca="1" si="17"/>
        <v>5</v>
      </c>
      <c r="BF37" s="21">
        <f t="shared" ca="1" si="18"/>
        <v>7.5157454867948196E-3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6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16.41</v>
      </c>
      <c r="F38" s="156">
        <f t="shared" si="2"/>
        <v>218.09000000000009</v>
      </c>
      <c r="G38" s="143" t="s">
        <v>1</v>
      </c>
      <c r="H38" s="166">
        <f>'02'!B380</f>
        <v>60</v>
      </c>
      <c r="I38" s="166">
        <f>SUM('02'!D380:F380)</f>
        <v>0</v>
      </c>
      <c r="J38" s="156">
        <f t="shared" si="3"/>
        <v>278.09000000000009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303.49000000000012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349.19000000000011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336.90000000000009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337.80000000000007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364.20000000000005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392.90000000000003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414.90000000000003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462.40000000000003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444.37000000000012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504.37000000000012</v>
      </c>
      <c r="AZ38" s="157">
        <f t="shared" si="23"/>
        <v>465.13</v>
      </c>
      <c r="BA38" s="21">
        <f t="shared" si="15"/>
        <v>1.0922680348216352E-2</v>
      </c>
      <c r="BB38" s="22">
        <f t="shared" si="20"/>
        <v>15</v>
      </c>
      <c r="BC38" s="22">
        <f t="shared" ca="1" si="16"/>
        <v>465.13</v>
      </c>
      <c r="BE38" s="225">
        <f t="shared" ca="1" si="17"/>
        <v>60</v>
      </c>
      <c r="BF38" s="21">
        <f t="shared" ca="1" si="18"/>
        <v>9.0188945841537846E-2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43.59</v>
      </c>
    </row>
    <row r="39" spans="1:62" ht="15.6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10</v>
      </c>
      <c r="I39" s="165">
        <f>SUM('02'!D400:F400)</f>
        <v>0</v>
      </c>
      <c r="J39" s="151">
        <f t="shared" si="3"/>
        <v>1519.2807879809902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299.28078798099023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1650.5407879809902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315.54078798099022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335.54078798099022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295.54078798099022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310.54078798099022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325.54078798099022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1758.5615759619805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1773.5615759619805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1783.5615759619805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1.5031490973589639E-2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6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31.12</v>
      </c>
      <c r="I40" s="166">
        <f>SUM('02'!D420:F420)</f>
        <v>0</v>
      </c>
      <c r="J40" s="156">
        <f t="shared" si="3"/>
        <v>7382.7861040380203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6446.3961040380209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7546.276104038021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6550.4161040380213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6597.4361040380218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6495.3961040380218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6542.2861040380221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6589.196104038022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7897.2322080760414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7987.7622080760411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8037.7622080760411</v>
      </c>
      <c r="AZ40" s="157">
        <f t="shared" si="23"/>
        <v>149.18000000000004</v>
      </c>
      <c r="BA40" s="21">
        <f t="shared" si="15"/>
        <v>3.5032043823165909E-3</v>
      </c>
      <c r="BB40" s="22">
        <f t="shared" si="20"/>
        <v>20</v>
      </c>
      <c r="BC40" s="22">
        <f t="shared" ca="1" si="16"/>
        <v>149.18000000000004</v>
      </c>
      <c r="BE40" s="225">
        <f t="shared" ca="1" si="17"/>
        <v>31.749999999999996</v>
      </c>
      <c r="BF40" s="21">
        <f t="shared" ca="1" si="18"/>
        <v>4.7724983841147102E-2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6">
      <c r="A41" s="146" t="s">
        <v>25</v>
      </c>
      <c r="B41" s="147">
        <v>8575.1200000000026</v>
      </c>
      <c r="C41" s="148" t="s">
        <v>0</v>
      </c>
      <c r="D41" s="165">
        <f>'01'!B440</f>
        <v>-3956.5299999999988</v>
      </c>
      <c r="E41" s="165">
        <f>SUM('01'!D440:F440)</f>
        <v>0</v>
      </c>
      <c r="F41" s="151">
        <f t="shared" si="2"/>
        <v>4618.5900000000038</v>
      </c>
      <c r="G41" s="148" t="s">
        <v>1</v>
      </c>
      <c r="H41" s="165">
        <f>'02'!B440</f>
        <v>-4300</v>
      </c>
      <c r="I41" s="165">
        <f>SUM('02'!D440:F440)</f>
        <v>0</v>
      </c>
      <c r="J41" s="151">
        <f t="shared" si="3"/>
        <v>318.59000000000378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199.43000000000211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199.43000000000356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199.71000000000512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198.88000000000611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664.33000000000595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363.43000000000677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363.43000000000677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325.97000000000673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-37.369999999993411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-3937.3699999999935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-3956.5299999999988</v>
      </c>
      <c r="BF41" s="21">
        <f t="shared" ca="1" si="18"/>
        <v>-5.9472544981736597</v>
      </c>
      <c r="BG41" s="22">
        <f t="shared" ca="1" si="21"/>
        <v>26</v>
      </c>
      <c r="BH41" s="22">
        <f t="shared" ca="1" si="19"/>
        <v>-3956.5299999999988</v>
      </c>
      <c r="BJ41" s="224">
        <f t="shared" ca="1" si="22"/>
        <v>-3956.5299999999988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4.6496478596238422E-5</v>
      </c>
      <c r="BB42" s="22">
        <f t="shared" si="20"/>
        <v>22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6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-405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218.19000000000005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-181.80999999999995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-171.80999999999995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-106.80999999999995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-591.80999999999995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-526.80999999999995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673.69919055649234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760.04919055649236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904.43919055649235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6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5.9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14.990000000000034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14.990000000000034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14.990000000000034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14.990000000000034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14.990000000000034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11.560000000000038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6.5600000000000378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-75.419999999999959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-85.419999999999959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-80.419999999999959</v>
      </c>
      <c r="AZ45" s="177">
        <f t="shared" si="23"/>
        <v>146.35000000000002</v>
      </c>
      <c r="BA45" s="21">
        <f t="shared" si="15"/>
        <v>3.4367472942219671E-3</v>
      </c>
      <c r="BB45" s="22">
        <f t="shared" si="20"/>
        <v>21</v>
      </c>
      <c r="BC45" s="22">
        <f t="shared" ca="1" si="16"/>
        <v>146.35000000000002</v>
      </c>
      <c r="BE45" s="226">
        <f t="shared" ca="1" si="17"/>
        <v>5</v>
      </c>
      <c r="BF45" s="21">
        <f t="shared" ca="1" si="18"/>
        <v>7.5157454867948196E-3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6.2" thickTop="1" thickBot="1">
      <c r="A46" s="216" t="s">
        <v>5</v>
      </c>
      <c r="B46" s="217">
        <f>SUM(B20:B45)</f>
        <v>33578.99768</v>
      </c>
      <c r="C46" s="218"/>
      <c r="D46" s="219">
        <f>SUM(D20:D45)</f>
        <v>665.27000000000135</v>
      </c>
      <c r="E46" s="219">
        <f>SUM(E20:E45)</f>
        <v>3222.5499999999993</v>
      </c>
      <c r="F46" s="220">
        <f>SUM(F20:F45)</f>
        <v>31021.717680000005</v>
      </c>
      <c r="G46" s="218"/>
      <c r="H46" s="219">
        <f>SUM(H20:H45)</f>
        <v>29.369999999999891</v>
      </c>
      <c r="I46" s="219">
        <f>SUM(I20:I45)</f>
        <v>390.29000000000008</v>
      </c>
      <c r="J46" s="220">
        <f>SUM(J20:J45)</f>
        <v>30660.797680000007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31529.797680000007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32249.127680000001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34100.11768000001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34368.997680000008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34252.887680000007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34344.297680000011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35175.507680000017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35189.415360000014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36852.295360000004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36827.425360000008</v>
      </c>
      <c r="AZ46" s="227">
        <f>SUM(AZ20:AZ45)</f>
        <v>42583.87000000001</v>
      </c>
      <c r="BA46" s="1"/>
      <c r="BB46" s="1"/>
      <c r="BC46" s="124">
        <f ca="1">SUM(BC20:BC45)</f>
        <v>42583.87000000001</v>
      </c>
      <c r="BE46" s="227">
        <f ca="1">SUM(BE20:BE45)</f>
        <v>665.27000000000135</v>
      </c>
      <c r="BF46" s="1"/>
      <c r="BG46" s="1"/>
      <c r="BH46" s="124">
        <f ca="1">SUM(BH20:BH45)</f>
        <v>665.27000000000135</v>
      </c>
      <c r="BJ46" s="227">
        <f ca="1">SUM(BJ20:BJ45)</f>
        <v>-2557.2799999999975</v>
      </c>
    </row>
    <row r="47" spans="1:62" s="29" customFormat="1" ht="12.9">
      <c r="A47" s="207" t="s">
        <v>158</v>
      </c>
      <c r="B47" s="125"/>
      <c r="C47" s="125">
        <f>C5-B46</f>
        <v>2.3199999995995313E-3</v>
      </c>
      <c r="D47" s="125">
        <f>C17-D46</f>
        <v>1080.5199999999984</v>
      </c>
      <c r="E47" s="125">
        <f>C17-E46</f>
        <v>-1476.7599999999995</v>
      </c>
      <c r="F47" s="125"/>
      <c r="G47" s="125">
        <f>G5-F46</f>
        <v>3700.1423199999954</v>
      </c>
      <c r="H47" s="125">
        <f>G17-H46</f>
        <v>-29.369999999999891</v>
      </c>
      <c r="I47" s="125">
        <f>G17-I46</f>
        <v>-390.29000000000008</v>
      </c>
      <c r="J47" s="125"/>
      <c r="K47" s="125">
        <f>K5-J46</f>
        <v>-5086.0376800000049</v>
      </c>
      <c r="L47" s="125">
        <f>K17-L46</f>
        <v>0</v>
      </c>
      <c r="M47" s="125">
        <f>K17-M46</f>
        <v>868.99999999999818</v>
      </c>
      <c r="N47" s="125"/>
      <c r="O47" s="125">
        <f>O5-N46</f>
        <v>-5086.0376800000085</v>
      </c>
      <c r="P47" s="125">
        <f>O17-P46</f>
        <v>0</v>
      </c>
      <c r="Q47" s="125">
        <f>O17-Q46</f>
        <v>719.33000000000084</v>
      </c>
      <c r="R47" s="125"/>
      <c r="S47" s="125">
        <f>S5-R46</f>
        <v>-5086.0376799999976</v>
      </c>
      <c r="T47" s="125">
        <f>S17-T46</f>
        <v>0</v>
      </c>
      <c r="U47" s="125">
        <f>S17-U46</f>
        <v>1850.9900000000016</v>
      </c>
      <c r="V47" s="125"/>
      <c r="W47" s="125">
        <f>W5-V46</f>
        <v>-5086.0376800000122</v>
      </c>
      <c r="X47" s="125">
        <f>W17-X46</f>
        <v>0</v>
      </c>
      <c r="Y47" s="125">
        <f>W17-Y46</f>
        <v>268.88000000000056</v>
      </c>
      <c r="Z47" s="125"/>
      <c r="AA47" s="125">
        <f>AA5-Z46</f>
        <v>-5086.0376800000085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-5086.0376800000049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-5086.0376800000085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-5086.0376800000158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-5086.035360000009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-6748.9153599999991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190</v>
      </c>
      <c r="AW48" s="5"/>
      <c r="AX48" s="5"/>
      <c r="AZ48" s="112">
        <f>4350*12</f>
        <v>52200</v>
      </c>
      <c r="BA48" s="112"/>
      <c r="BB48" s="1" t="s">
        <v>191</v>
      </c>
      <c r="BC48" s="112">
        <f ca="1">12*BC46</f>
        <v>511006.44000000012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4.7" thickBot="1"/>
    <row r="52" spans="2:62">
      <c r="C52" s="348" t="s">
        <v>147</v>
      </c>
      <c r="D52" s="349"/>
      <c r="E52" s="349"/>
      <c r="F52" s="350"/>
      <c r="G52" s="348" t="s">
        <v>147</v>
      </c>
      <c r="H52" s="349"/>
      <c r="I52" s="349"/>
      <c r="J52" s="350"/>
      <c r="K52" s="348" t="s">
        <v>147</v>
      </c>
      <c r="L52" s="349"/>
      <c r="M52" s="349"/>
      <c r="N52" s="350"/>
      <c r="O52" s="348" t="s">
        <v>147</v>
      </c>
      <c r="P52" s="349"/>
      <c r="Q52" s="349"/>
      <c r="R52" s="350"/>
      <c r="S52" s="348" t="s">
        <v>147</v>
      </c>
      <c r="T52" s="349"/>
      <c r="U52" s="349"/>
      <c r="V52" s="350"/>
      <c r="W52" s="348" t="s">
        <v>147</v>
      </c>
      <c r="X52" s="349"/>
      <c r="Y52" s="349"/>
      <c r="Z52" s="350"/>
      <c r="AA52" s="348" t="s">
        <v>147</v>
      </c>
      <c r="AB52" s="349"/>
      <c r="AC52" s="349"/>
      <c r="AD52" s="350"/>
      <c r="AE52" s="348" t="s">
        <v>147</v>
      </c>
      <c r="AF52" s="349"/>
      <c r="AG52" s="349"/>
      <c r="AH52" s="350"/>
      <c r="AI52" s="348" t="s">
        <v>147</v>
      </c>
      <c r="AJ52" s="349"/>
      <c r="AK52" s="349"/>
      <c r="AL52" s="350"/>
      <c r="AM52" s="348" t="s">
        <v>147</v>
      </c>
      <c r="AN52" s="349"/>
      <c r="AO52" s="349"/>
      <c r="AP52" s="350"/>
      <c r="AQ52" s="348" t="s">
        <v>147</v>
      </c>
      <c r="AR52" s="349"/>
      <c r="AS52" s="349"/>
      <c r="AT52" s="350"/>
      <c r="AU52" s="348" t="s">
        <v>147</v>
      </c>
      <c r="AV52" s="349"/>
      <c r="AW52" s="349"/>
      <c r="AX52" s="350"/>
    </row>
    <row r="53" spans="2:62" ht="14.7" thickBot="1">
      <c r="C53" s="93" t="s">
        <v>148</v>
      </c>
      <c r="D53" s="351" t="s">
        <v>29</v>
      </c>
      <c r="E53" s="352"/>
      <c r="F53" s="94" t="s">
        <v>86</v>
      </c>
      <c r="G53" s="93" t="s">
        <v>148</v>
      </c>
      <c r="H53" s="351" t="s">
        <v>29</v>
      </c>
      <c r="I53" s="352"/>
      <c r="J53" s="94" t="s">
        <v>86</v>
      </c>
      <c r="K53" s="93" t="s">
        <v>148</v>
      </c>
      <c r="L53" s="351" t="s">
        <v>29</v>
      </c>
      <c r="M53" s="352"/>
      <c r="N53" s="94" t="s">
        <v>86</v>
      </c>
      <c r="O53" s="93" t="s">
        <v>148</v>
      </c>
      <c r="P53" s="351" t="s">
        <v>29</v>
      </c>
      <c r="Q53" s="352"/>
      <c r="R53" s="94" t="s">
        <v>86</v>
      </c>
      <c r="S53" s="93" t="s">
        <v>148</v>
      </c>
      <c r="T53" s="351" t="s">
        <v>29</v>
      </c>
      <c r="U53" s="352"/>
      <c r="V53" s="94" t="s">
        <v>86</v>
      </c>
      <c r="W53" s="93" t="s">
        <v>148</v>
      </c>
      <c r="X53" s="351" t="s">
        <v>29</v>
      </c>
      <c r="Y53" s="352"/>
      <c r="Z53" s="94" t="s">
        <v>86</v>
      </c>
      <c r="AA53" s="93" t="s">
        <v>148</v>
      </c>
      <c r="AB53" s="351" t="s">
        <v>29</v>
      </c>
      <c r="AC53" s="352"/>
      <c r="AD53" s="94" t="s">
        <v>86</v>
      </c>
      <c r="AE53" s="93" t="s">
        <v>148</v>
      </c>
      <c r="AF53" s="351" t="s">
        <v>29</v>
      </c>
      <c r="AG53" s="352"/>
      <c r="AH53" s="94" t="s">
        <v>86</v>
      </c>
      <c r="AI53" s="93" t="s">
        <v>148</v>
      </c>
      <c r="AJ53" s="351" t="s">
        <v>29</v>
      </c>
      <c r="AK53" s="352"/>
      <c r="AL53" s="94" t="s">
        <v>86</v>
      </c>
      <c r="AM53" s="93" t="s">
        <v>148</v>
      </c>
      <c r="AN53" s="351" t="s">
        <v>29</v>
      </c>
      <c r="AO53" s="352"/>
      <c r="AP53" s="94" t="s">
        <v>86</v>
      </c>
      <c r="AQ53" s="93" t="s">
        <v>148</v>
      </c>
      <c r="AR53" s="351" t="s">
        <v>29</v>
      </c>
      <c r="AS53" s="352"/>
      <c r="AT53" s="94" t="s">
        <v>86</v>
      </c>
      <c r="AU53" s="93" t="s">
        <v>148</v>
      </c>
      <c r="AV53" s="351" t="s">
        <v>29</v>
      </c>
      <c r="AW53" s="352"/>
      <c r="AX53" s="94" t="s">
        <v>86</v>
      </c>
    </row>
    <row r="54" spans="2:62">
      <c r="C54" s="95">
        <v>43832</v>
      </c>
      <c r="D54" s="353" t="s">
        <v>855</v>
      </c>
      <c r="E54" s="354"/>
      <c r="F54" s="98"/>
      <c r="G54" s="95">
        <v>43862</v>
      </c>
      <c r="H54" s="353" t="s">
        <v>886</v>
      </c>
      <c r="I54" s="354"/>
      <c r="J54" s="100">
        <v>1200</v>
      </c>
      <c r="K54" s="95"/>
      <c r="L54" s="369"/>
      <c r="M54" s="370"/>
      <c r="N54" s="100"/>
      <c r="O54" s="95"/>
      <c r="P54" s="371"/>
      <c r="Q54" s="372"/>
      <c r="R54" s="102"/>
      <c r="S54" s="95"/>
      <c r="T54" s="369"/>
      <c r="U54" s="370"/>
      <c r="V54" s="103"/>
      <c r="W54" s="95"/>
      <c r="X54" s="369"/>
      <c r="Y54" s="370"/>
      <c r="Z54" s="104"/>
      <c r="AA54" s="95"/>
      <c r="AB54" s="359"/>
      <c r="AC54" s="360"/>
      <c r="AD54" s="239"/>
      <c r="AE54" s="95"/>
      <c r="AF54" s="359"/>
      <c r="AG54" s="360"/>
      <c r="AH54" s="239"/>
      <c r="AI54" s="95"/>
      <c r="AJ54" s="359"/>
      <c r="AK54" s="360"/>
      <c r="AL54" s="239"/>
      <c r="AM54" s="95"/>
      <c r="AN54" s="359"/>
      <c r="AO54" s="360"/>
      <c r="AP54" s="239"/>
      <c r="AQ54" s="95"/>
      <c r="AR54" s="359"/>
      <c r="AS54" s="360"/>
      <c r="AT54" s="239"/>
      <c r="AU54" s="95"/>
      <c r="AV54" s="353"/>
      <c r="AW54" s="354"/>
      <c r="AX54" s="100"/>
    </row>
    <row r="55" spans="2:62">
      <c r="C55" s="96"/>
      <c r="D55" s="344"/>
      <c r="E55" s="345"/>
      <c r="F55" s="98"/>
      <c r="G55" s="96">
        <v>43862</v>
      </c>
      <c r="H55" s="344" t="s">
        <v>887</v>
      </c>
      <c r="I55" s="345"/>
      <c r="J55" s="100"/>
      <c r="K55" s="96"/>
      <c r="L55" s="344"/>
      <c r="M55" s="345"/>
      <c r="N55" s="100"/>
      <c r="O55" s="96"/>
      <c r="P55" s="344"/>
      <c r="Q55" s="345"/>
      <c r="R55" s="100"/>
      <c r="S55" s="96"/>
      <c r="T55" s="344"/>
      <c r="U55" s="345"/>
      <c r="V55" s="100"/>
      <c r="W55" s="96"/>
      <c r="X55" s="344"/>
      <c r="Y55" s="345"/>
      <c r="Z55" s="100"/>
      <c r="AA55" s="96"/>
      <c r="AB55" s="344"/>
      <c r="AC55" s="345"/>
      <c r="AD55" s="100"/>
      <c r="AE55" s="96"/>
      <c r="AF55" s="344"/>
      <c r="AG55" s="345"/>
      <c r="AH55" s="100"/>
      <c r="AI55" s="96"/>
      <c r="AJ55" s="344"/>
      <c r="AK55" s="345"/>
      <c r="AL55" s="100"/>
      <c r="AM55" s="96"/>
      <c r="AN55" s="361"/>
      <c r="AO55" s="362"/>
      <c r="AP55" s="100"/>
      <c r="AQ55" s="96"/>
      <c r="AR55" s="344"/>
      <c r="AS55" s="345"/>
      <c r="AT55" s="100"/>
      <c r="AU55" s="96"/>
      <c r="AV55" s="344"/>
      <c r="AW55" s="345"/>
      <c r="AX55" s="100"/>
    </row>
    <row r="56" spans="2:62">
      <c r="B56" s="119"/>
      <c r="C56" s="96"/>
      <c r="D56" s="344"/>
      <c r="E56" s="345"/>
      <c r="F56" s="98"/>
      <c r="G56" s="96"/>
      <c r="H56" s="344"/>
      <c r="I56" s="345"/>
      <c r="J56" s="100"/>
      <c r="K56" s="96"/>
      <c r="L56" s="344"/>
      <c r="M56" s="345"/>
      <c r="N56" s="100"/>
      <c r="O56" s="96"/>
      <c r="P56" s="359"/>
      <c r="Q56" s="360"/>
      <c r="R56" s="102"/>
      <c r="S56" s="96"/>
      <c r="T56" s="344"/>
      <c r="U56" s="345"/>
      <c r="V56" s="100"/>
      <c r="W56" s="96"/>
      <c r="X56" s="344"/>
      <c r="Y56" s="345"/>
      <c r="Z56" s="100"/>
      <c r="AA56" s="96"/>
      <c r="AB56" s="344"/>
      <c r="AC56" s="345"/>
      <c r="AD56" s="100"/>
      <c r="AE56" s="96"/>
      <c r="AF56" s="344"/>
      <c r="AG56" s="345"/>
      <c r="AH56" s="100"/>
      <c r="AI56" s="96"/>
      <c r="AJ56" s="361"/>
      <c r="AK56" s="362"/>
      <c r="AL56" s="100"/>
      <c r="AM56" s="96"/>
      <c r="AN56" s="361"/>
      <c r="AO56" s="362"/>
      <c r="AP56" s="100"/>
      <c r="AQ56" s="96"/>
      <c r="AR56" s="344"/>
      <c r="AS56" s="345"/>
      <c r="AT56" s="100"/>
      <c r="AU56" s="96"/>
      <c r="AV56" s="344"/>
      <c r="AW56" s="345"/>
      <c r="AX56" s="100"/>
    </row>
    <row r="57" spans="2:62">
      <c r="C57" s="96"/>
      <c r="D57" s="344"/>
      <c r="E57" s="345"/>
      <c r="F57" s="98"/>
      <c r="G57" s="96"/>
      <c r="H57" s="344"/>
      <c r="I57" s="345"/>
      <c r="J57" s="100"/>
      <c r="K57" s="96"/>
      <c r="L57" s="344"/>
      <c r="M57" s="345"/>
      <c r="N57" s="100"/>
      <c r="O57" s="96"/>
      <c r="P57" s="373"/>
      <c r="Q57" s="374"/>
      <c r="R57" s="100"/>
      <c r="S57" s="96"/>
      <c r="T57" s="344"/>
      <c r="U57" s="345"/>
      <c r="V57" s="100"/>
      <c r="W57" s="96"/>
      <c r="X57" s="344"/>
      <c r="Y57" s="345"/>
      <c r="Z57" s="100"/>
      <c r="AA57" s="96"/>
      <c r="AB57" s="367"/>
      <c r="AC57" s="368"/>
      <c r="AD57" s="100"/>
      <c r="AE57" s="96"/>
      <c r="AF57" s="344"/>
      <c r="AG57" s="345"/>
      <c r="AH57" s="100"/>
      <c r="AI57" s="96"/>
      <c r="AJ57" s="361"/>
      <c r="AK57" s="362"/>
      <c r="AL57" s="100"/>
      <c r="AM57" s="96"/>
      <c r="AN57" s="361"/>
      <c r="AO57" s="362"/>
      <c r="AP57" s="100"/>
      <c r="AQ57" s="96"/>
      <c r="AR57" s="344"/>
      <c r="AS57" s="345"/>
      <c r="AT57" s="100"/>
      <c r="AU57" s="96"/>
      <c r="AV57" s="344"/>
      <c r="AW57" s="345"/>
      <c r="AX57" s="100"/>
    </row>
    <row r="58" spans="2:62">
      <c r="C58" s="96"/>
      <c r="D58" s="344"/>
      <c r="E58" s="345"/>
      <c r="F58" s="98"/>
      <c r="G58" s="96"/>
      <c r="H58" s="344"/>
      <c r="I58" s="345"/>
      <c r="J58" s="100"/>
      <c r="K58" s="96"/>
      <c r="L58" s="344"/>
      <c r="M58" s="345"/>
      <c r="N58" s="100"/>
      <c r="O58" s="96"/>
      <c r="P58" s="344"/>
      <c r="Q58" s="345"/>
      <c r="R58" s="100"/>
      <c r="S58" s="96"/>
      <c r="T58" s="344"/>
      <c r="U58" s="345"/>
      <c r="V58" s="100"/>
      <c r="W58" s="96"/>
      <c r="X58" s="344"/>
      <c r="Y58" s="345"/>
      <c r="Z58" s="100"/>
      <c r="AA58" s="96"/>
      <c r="AB58" s="367"/>
      <c r="AC58" s="368"/>
      <c r="AD58" s="100"/>
      <c r="AE58" s="96"/>
      <c r="AF58" s="344"/>
      <c r="AG58" s="345"/>
      <c r="AH58" s="100"/>
      <c r="AI58" s="96"/>
      <c r="AJ58" s="355"/>
      <c r="AK58" s="356"/>
      <c r="AL58" s="100"/>
      <c r="AM58" s="96"/>
      <c r="AN58" s="361"/>
      <c r="AO58" s="362"/>
      <c r="AP58" s="100"/>
      <c r="AQ58" s="96"/>
      <c r="AR58" s="344"/>
      <c r="AS58" s="345"/>
      <c r="AT58" s="100"/>
      <c r="AU58" s="96"/>
      <c r="AV58" s="344"/>
      <c r="AW58" s="345"/>
      <c r="AX58" s="100"/>
    </row>
    <row r="59" spans="2:62">
      <c r="C59" s="96"/>
      <c r="D59" s="344"/>
      <c r="E59" s="345"/>
      <c r="F59" s="98"/>
      <c r="G59" s="96"/>
      <c r="H59" s="344"/>
      <c r="I59" s="345"/>
      <c r="J59" s="100"/>
      <c r="K59" s="96"/>
      <c r="L59" s="344"/>
      <c r="M59" s="345"/>
      <c r="N59" s="100"/>
      <c r="O59" s="96"/>
      <c r="P59" s="344"/>
      <c r="Q59" s="345"/>
      <c r="R59" s="100"/>
      <c r="S59" s="96"/>
      <c r="T59" s="361"/>
      <c r="U59" s="362"/>
      <c r="V59" s="100"/>
      <c r="W59" s="96"/>
      <c r="X59" s="361"/>
      <c r="Y59" s="362"/>
      <c r="Z59" s="100"/>
      <c r="AA59" s="96"/>
      <c r="AB59" s="361"/>
      <c r="AC59" s="362"/>
      <c r="AD59" s="100"/>
      <c r="AE59" s="96"/>
      <c r="AF59" s="344"/>
      <c r="AG59" s="345"/>
      <c r="AH59" s="100"/>
      <c r="AI59" s="96"/>
      <c r="AJ59" s="355"/>
      <c r="AK59" s="356"/>
      <c r="AL59" s="100"/>
      <c r="AM59" s="96"/>
      <c r="AN59" s="363"/>
      <c r="AO59" s="364"/>
      <c r="AP59" s="100"/>
      <c r="AQ59" s="96"/>
      <c r="AR59" s="344"/>
      <c r="AS59" s="345"/>
      <c r="AT59" s="100"/>
      <c r="AU59" s="96"/>
      <c r="AV59" s="344"/>
      <c r="AW59" s="345"/>
      <c r="AX59" s="100"/>
    </row>
    <row r="60" spans="2:62">
      <c r="C60" s="96"/>
      <c r="D60" s="344"/>
      <c r="E60" s="345"/>
      <c r="F60" s="98"/>
      <c r="G60" s="96"/>
      <c r="H60" s="344"/>
      <c r="I60" s="345"/>
      <c r="J60" s="100"/>
      <c r="K60" s="235"/>
      <c r="L60" s="373"/>
      <c r="M60" s="374"/>
      <c r="N60" s="236"/>
      <c r="O60" s="96"/>
      <c r="P60" s="344"/>
      <c r="Q60" s="345"/>
      <c r="R60" s="100"/>
      <c r="S60" s="96"/>
      <c r="T60" s="361"/>
      <c r="U60" s="362"/>
      <c r="V60" s="100"/>
      <c r="W60" s="96"/>
      <c r="X60" s="355"/>
      <c r="Y60" s="356"/>
      <c r="Z60" s="100"/>
      <c r="AA60" s="96"/>
      <c r="AB60" s="355"/>
      <c r="AC60" s="356"/>
      <c r="AD60" s="100"/>
      <c r="AE60" s="96"/>
      <c r="AF60" s="361"/>
      <c r="AG60" s="362"/>
      <c r="AH60" s="100"/>
      <c r="AI60" s="96"/>
      <c r="AJ60" s="355"/>
      <c r="AK60" s="356"/>
      <c r="AL60" s="100"/>
      <c r="AM60" s="96"/>
      <c r="AN60" s="355"/>
      <c r="AO60" s="356"/>
      <c r="AP60" s="100"/>
      <c r="AQ60" s="96"/>
      <c r="AR60" s="344"/>
      <c r="AS60" s="345"/>
      <c r="AT60" s="100"/>
      <c r="AU60" s="96"/>
      <c r="AV60" s="344"/>
      <c r="AW60" s="345"/>
      <c r="AX60" s="100"/>
    </row>
    <row r="61" spans="2:62">
      <c r="C61" s="96"/>
      <c r="D61" s="344"/>
      <c r="E61" s="345"/>
      <c r="F61" s="98"/>
      <c r="G61" s="96"/>
      <c r="H61" s="344"/>
      <c r="I61" s="345"/>
      <c r="J61" s="100"/>
      <c r="K61" s="96"/>
      <c r="L61" s="375"/>
      <c r="M61" s="345"/>
      <c r="N61" s="100"/>
      <c r="O61" s="96"/>
      <c r="P61" s="344"/>
      <c r="Q61" s="345"/>
      <c r="R61" s="100"/>
      <c r="S61" s="96"/>
      <c r="T61" s="361"/>
      <c r="U61" s="362"/>
      <c r="V61" s="100"/>
      <c r="W61" s="96"/>
      <c r="X61" s="355"/>
      <c r="Y61" s="356"/>
      <c r="Z61" s="100"/>
      <c r="AA61" s="96"/>
      <c r="AB61" s="355"/>
      <c r="AC61" s="356"/>
      <c r="AD61" s="100"/>
      <c r="AE61" s="96"/>
      <c r="AF61" s="355"/>
      <c r="AG61" s="356"/>
      <c r="AH61" s="100"/>
      <c r="AI61" s="96"/>
      <c r="AJ61" s="355"/>
      <c r="AK61" s="356"/>
      <c r="AL61" s="100"/>
      <c r="AM61" s="96"/>
      <c r="AN61" s="355"/>
      <c r="AO61" s="356"/>
      <c r="AP61" s="100"/>
      <c r="AQ61" s="96"/>
      <c r="AR61" s="344"/>
      <c r="AS61" s="345"/>
      <c r="AT61" s="100"/>
      <c r="AU61" s="96"/>
      <c r="AV61" s="344"/>
      <c r="AW61" s="345"/>
      <c r="AX61" s="100"/>
    </row>
    <row r="62" spans="2:62">
      <c r="C62" s="96"/>
      <c r="D62" s="344"/>
      <c r="E62" s="345"/>
      <c r="F62" s="98"/>
      <c r="G62" s="96"/>
      <c r="H62" s="344"/>
      <c r="I62" s="345"/>
      <c r="J62" s="100"/>
      <c r="K62" s="96"/>
      <c r="L62" s="344"/>
      <c r="M62" s="345"/>
      <c r="N62" s="100"/>
      <c r="O62" s="96"/>
      <c r="P62" s="344"/>
      <c r="Q62" s="345"/>
      <c r="R62" s="100"/>
      <c r="S62" s="96"/>
      <c r="T62" s="361"/>
      <c r="U62" s="362"/>
      <c r="V62" s="100"/>
      <c r="W62" s="96"/>
      <c r="X62" s="355"/>
      <c r="Y62" s="356"/>
      <c r="Z62" s="100"/>
      <c r="AA62" s="96"/>
      <c r="AB62" s="355"/>
      <c r="AC62" s="356"/>
      <c r="AD62" s="100"/>
      <c r="AE62" s="96"/>
      <c r="AF62" s="355"/>
      <c r="AG62" s="356"/>
      <c r="AH62" s="100"/>
      <c r="AI62" s="96"/>
      <c r="AJ62" s="355"/>
      <c r="AK62" s="356"/>
      <c r="AL62" s="100"/>
      <c r="AM62" s="96"/>
      <c r="AN62" s="355"/>
      <c r="AO62" s="356"/>
      <c r="AP62" s="100"/>
      <c r="AQ62" s="96"/>
      <c r="AR62" s="344"/>
      <c r="AS62" s="345"/>
      <c r="AT62" s="100"/>
      <c r="AU62" s="96"/>
      <c r="AV62" s="344"/>
      <c r="AW62" s="345"/>
      <c r="AX62" s="100"/>
    </row>
    <row r="63" spans="2:62">
      <c r="C63" s="96"/>
      <c r="D63" s="344"/>
      <c r="E63" s="345"/>
      <c r="F63" s="98"/>
      <c r="G63" s="96"/>
      <c r="H63" s="344"/>
      <c r="I63" s="345"/>
      <c r="J63" s="100"/>
      <c r="K63" s="96"/>
      <c r="L63" s="344"/>
      <c r="M63" s="345"/>
      <c r="N63" s="100"/>
      <c r="O63" s="96"/>
      <c r="P63" s="344"/>
      <c r="Q63" s="345"/>
      <c r="R63" s="100"/>
      <c r="S63" s="96"/>
      <c r="T63" s="361"/>
      <c r="U63" s="362"/>
      <c r="V63" s="100"/>
      <c r="W63" s="96"/>
      <c r="X63" s="355"/>
      <c r="Y63" s="356"/>
      <c r="Z63" s="100"/>
      <c r="AA63" s="96"/>
      <c r="AB63" s="355"/>
      <c r="AC63" s="356"/>
      <c r="AD63" s="100"/>
      <c r="AE63" s="96"/>
      <c r="AF63" s="355"/>
      <c r="AG63" s="356"/>
      <c r="AH63" s="100"/>
      <c r="AI63" s="96"/>
      <c r="AJ63" s="355"/>
      <c r="AK63" s="356"/>
      <c r="AL63" s="100"/>
      <c r="AM63" s="96"/>
      <c r="AN63" s="355"/>
      <c r="AO63" s="356"/>
      <c r="AP63" s="100"/>
      <c r="AQ63" s="96"/>
      <c r="AR63" s="344"/>
      <c r="AS63" s="345"/>
      <c r="AT63" s="100"/>
      <c r="AU63" s="96"/>
      <c r="AV63" s="344"/>
      <c r="AW63" s="345"/>
      <c r="AX63" s="100"/>
    </row>
    <row r="64" spans="2:62">
      <c r="C64" s="96"/>
      <c r="D64" s="344"/>
      <c r="E64" s="345"/>
      <c r="F64" s="98"/>
      <c r="G64" s="96"/>
      <c r="H64" s="344"/>
      <c r="I64" s="345"/>
      <c r="J64" s="100"/>
      <c r="K64" s="96"/>
      <c r="L64" s="344"/>
      <c r="M64" s="345"/>
      <c r="N64" s="100"/>
      <c r="O64" s="96"/>
      <c r="P64" s="344"/>
      <c r="Q64" s="345"/>
      <c r="R64" s="100"/>
      <c r="S64" s="96"/>
      <c r="T64" s="361"/>
      <c r="U64" s="362"/>
      <c r="V64" s="100"/>
      <c r="W64" s="96"/>
      <c r="X64" s="355"/>
      <c r="Y64" s="356"/>
      <c r="Z64" s="100"/>
      <c r="AA64" s="96"/>
      <c r="AB64" s="355"/>
      <c r="AC64" s="356"/>
      <c r="AD64" s="100"/>
      <c r="AE64" s="96"/>
      <c r="AF64" s="355"/>
      <c r="AG64" s="356"/>
      <c r="AH64" s="100"/>
      <c r="AI64" s="96"/>
      <c r="AJ64" s="355"/>
      <c r="AK64" s="356"/>
      <c r="AL64" s="100"/>
      <c r="AM64" s="96"/>
      <c r="AN64" s="355"/>
      <c r="AO64" s="356"/>
      <c r="AP64" s="100"/>
      <c r="AQ64" s="96"/>
      <c r="AR64" s="344"/>
      <c r="AS64" s="345"/>
      <c r="AT64" s="100"/>
      <c r="AU64" s="96"/>
      <c r="AV64" s="344"/>
      <c r="AW64" s="345"/>
      <c r="AX64" s="100"/>
    </row>
    <row r="65" spans="1:50">
      <c r="C65" s="96"/>
      <c r="D65" s="344"/>
      <c r="E65" s="345"/>
      <c r="F65" s="98"/>
      <c r="G65" s="96"/>
      <c r="H65" s="344"/>
      <c r="I65" s="345"/>
      <c r="J65" s="100"/>
      <c r="K65" s="96"/>
      <c r="L65" s="344"/>
      <c r="M65" s="345"/>
      <c r="N65" s="100"/>
      <c r="O65" s="96"/>
      <c r="P65" s="344"/>
      <c r="Q65" s="345"/>
      <c r="R65" s="100"/>
      <c r="S65" s="96"/>
      <c r="T65" s="361"/>
      <c r="U65" s="362"/>
      <c r="V65" s="100"/>
      <c r="W65" s="96"/>
      <c r="X65" s="355"/>
      <c r="Y65" s="356"/>
      <c r="Z65" s="100"/>
      <c r="AA65" s="96"/>
      <c r="AB65" s="355"/>
      <c r="AC65" s="356"/>
      <c r="AD65" s="100"/>
      <c r="AE65" s="96"/>
      <c r="AF65" s="355"/>
      <c r="AG65" s="356"/>
      <c r="AH65" s="100"/>
      <c r="AI65" s="96"/>
      <c r="AJ65" s="355"/>
      <c r="AK65" s="356"/>
      <c r="AL65" s="100"/>
      <c r="AM65" s="96"/>
      <c r="AN65" s="355"/>
      <c r="AO65" s="356"/>
      <c r="AP65" s="100"/>
      <c r="AQ65" s="96"/>
      <c r="AR65" s="344"/>
      <c r="AS65" s="345"/>
      <c r="AT65" s="100"/>
      <c r="AU65" s="96"/>
      <c r="AV65" s="344"/>
      <c r="AW65" s="345"/>
      <c r="AX65" s="100"/>
    </row>
    <row r="66" spans="1:50">
      <c r="C66" s="96"/>
      <c r="D66" s="344"/>
      <c r="E66" s="345"/>
      <c r="F66" s="98"/>
      <c r="G66" s="96"/>
      <c r="H66" s="344"/>
      <c r="I66" s="345"/>
      <c r="J66" s="100"/>
      <c r="K66" s="96"/>
      <c r="L66" s="344"/>
      <c r="M66" s="345"/>
      <c r="N66" s="100"/>
      <c r="O66" s="96"/>
      <c r="P66" s="344"/>
      <c r="Q66" s="345"/>
      <c r="R66" s="100"/>
      <c r="S66" s="96"/>
      <c r="T66" s="355"/>
      <c r="U66" s="356"/>
      <c r="V66" s="100"/>
      <c r="W66" s="96"/>
      <c r="X66" s="355"/>
      <c r="Y66" s="356"/>
      <c r="Z66" s="100"/>
      <c r="AA66" s="96"/>
      <c r="AB66" s="355"/>
      <c r="AC66" s="356"/>
      <c r="AD66" s="100"/>
      <c r="AE66" s="96"/>
      <c r="AF66" s="355"/>
      <c r="AG66" s="356"/>
      <c r="AH66" s="100"/>
      <c r="AI66" s="96"/>
      <c r="AJ66" s="355"/>
      <c r="AK66" s="356"/>
      <c r="AL66" s="100"/>
      <c r="AM66" s="96"/>
      <c r="AN66" s="355"/>
      <c r="AO66" s="356"/>
      <c r="AP66" s="100"/>
      <c r="AQ66" s="96"/>
      <c r="AR66" s="344"/>
      <c r="AS66" s="345"/>
      <c r="AT66" s="100"/>
      <c r="AU66" s="96"/>
      <c r="AV66" s="344"/>
      <c r="AW66" s="345"/>
      <c r="AX66" s="100"/>
    </row>
    <row r="67" spans="1:50">
      <c r="C67" s="96"/>
      <c r="D67" s="344"/>
      <c r="E67" s="345"/>
      <c r="F67" s="98"/>
      <c r="G67" s="96"/>
      <c r="H67" s="344"/>
      <c r="I67" s="345"/>
      <c r="J67" s="100"/>
      <c r="K67" s="96"/>
      <c r="L67" s="344"/>
      <c r="M67" s="345"/>
      <c r="N67" s="100"/>
      <c r="O67" s="96"/>
      <c r="P67" s="344"/>
      <c r="Q67" s="345"/>
      <c r="R67" s="100"/>
      <c r="S67" s="96"/>
      <c r="T67" s="355"/>
      <c r="U67" s="356"/>
      <c r="V67" s="100"/>
      <c r="W67" s="96"/>
      <c r="X67" s="355"/>
      <c r="Y67" s="356"/>
      <c r="Z67" s="100"/>
      <c r="AA67" s="96"/>
      <c r="AB67" s="355"/>
      <c r="AC67" s="356"/>
      <c r="AD67" s="100"/>
      <c r="AE67" s="96"/>
      <c r="AF67" s="355"/>
      <c r="AG67" s="356"/>
      <c r="AH67" s="100"/>
      <c r="AI67" s="96"/>
      <c r="AJ67" s="355"/>
      <c r="AK67" s="356"/>
      <c r="AL67" s="100"/>
      <c r="AM67" s="96"/>
      <c r="AN67" s="355"/>
      <c r="AO67" s="356"/>
      <c r="AP67" s="100"/>
      <c r="AQ67" s="96"/>
      <c r="AR67" s="344"/>
      <c r="AS67" s="345"/>
      <c r="AT67" s="100"/>
      <c r="AU67" s="96"/>
      <c r="AV67" s="344"/>
      <c r="AW67" s="345"/>
      <c r="AX67" s="100"/>
    </row>
    <row r="68" spans="1:50">
      <c r="C68" s="96"/>
      <c r="D68" s="344"/>
      <c r="E68" s="345"/>
      <c r="F68" s="98"/>
      <c r="G68" s="96"/>
      <c r="H68" s="344"/>
      <c r="I68" s="345"/>
      <c r="J68" s="100"/>
      <c r="K68" s="96"/>
      <c r="L68" s="344"/>
      <c r="M68" s="345"/>
      <c r="N68" s="100"/>
      <c r="O68" s="96"/>
      <c r="P68" s="344"/>
      <c r="Q68" s="345"/>
      <c r="R68" s="100"/>
      <c r="S68" s="96"/>
      <c r="T68" s="355"/>
      <c r="U68" s="356"/>
      <c r="V68" s="100"/>
      <c r="W68" s="96"/>
      <c r="X68" s="355"/>
      <c r="Y68" s="356"/>
      <c r="Z68" s="100"/>
      <c r="AA68" s="96"/>
      <c r="AB68" s="355"/>
      <c r="AC68" s="356"/>
      <c r="AD68" s="100"/>
      <c r="AE68" s="96"/>
      <c r="AF68" s="355"/>
      <c r="AG68" s="356"/>
      <c r="AH68" s="100"/>
      <c r="AI68" s="96"/>
      <c r="AJ68" s="355"/>
      <c r="AK68" s="356"/>
      <c r="AL68" s="100"/>
      <c r="AM68" s="96"/>
      <c r="AN68" s="355"/>
      <c r="AO68" s="356"/>
      <c r="AP68" s="100"/>
      <c r="AQ68" s="96"/>
      <c r="AR68" s="344"/>
      <c r="AS68" s="345"/>
      <c r="AT68" s="100"/>
      <c r="AU68" s="96"/>
      <c r="AV68" s="344"/>
      <c r="AW68" s="345"/>
      <c r="AX68" s="100"/>
    </row>
    <row r="69" spans="1:50">
      <c r="C69" s="96"/>
      <c r="D69" s="344"/>
      <c r="E69" s="345"/>
      <c r="F69" s="98"/>
      <c r="G69" s="96"/>
      <c r="H69" s="344"/>
      <c r="I69" s="345"/>
      <c r="J69" s="100"/>
      <c r="K69" s="96"/>
      <c r="L69" s="344"/>
      <c r="M69" s="345"/>
      <c r="N69" s="100"/>
      <c r="O69" s="96"/>
      <c r="P69" s="344"/>
      <c r="Q69" s="345"/>
      <c r="R69" s="100"/>
      <c r="S69" s="96"/>
      <c r="T69" s="355"/>
      <c r="U69" s="356"/>
      <c r="V69" s="100"/>
      <c r="W69" s="96"/>
      <c r="X69" s="355"/>
      <c r="Y69" s="356"/>
      <c r="Z69" s="100"/>
      <c r="AA69" s="96"/>
      <c r="AB69" s="355"/>
      <c r="AC69" s="356"/>
      <c r="AD69" s="100"/>
      <c r="AE69" s="96"/>
      <c r="AF69" s="355"/>
      <c r="AG69" s="356"/>
      <c r="AH69" s="100"/>
      <c r="AI69" s="96"/>
      <c r="AJ69" s="355"/>
      <c r="AK69" s="356"/>
      <c r="AL69" s="100"/>
      <c r="AM69" s="96"/>
      <c r="AN69" s="355"/>
      <c r="AO69" s="356"/>
      <c r="AP69" s="100"/>
      <c r="AQ69" s="96"/>
      <c r="AR69" s="344"/>
      <c r="AS69" s="345"/>
      <c r="AT69" s="100"/>
      <c r="AU69" s="96"/>
      <c r="AV69" s="344"/>
      <c r="AW69" s="345"/>
      <c r="AX69" s="100"/>
    </row>
    <row r="70" spans="1:50">
      <c r="C70" s="96"/>
      <c r="D70" s="344"/>
      <c r="E70" s="345"/>
      <c r="F70" s="98"/>
      <c r="G70" s="96"/>
      <c r="H70" s="344"/>
      <c r="I70" s="345"/>
      <c r="J70" s="100"/>
      <c r="K70" s="96"/>
      <c r="L70" s="344"/>
      <c r="M70" s="345"/>
      <c r="N70" s="100"/>
      <c r="O70" s="96"/>
      <c r="P70" s="344"/>
      <c r="Q70" s="345"/>
      <c r="R70" s="100"/>
      <c r="S70" s="96"/>
      <c r="T70" s="344"/>
      <c r="U70" s="345"/>
      <c r="V70" s="100"/>
      <c r="W70" s="96"/>
      <c r="X70" s="344"/>
      <c r="Y70" s="345"/>
      <c r="Z70" s="100"/>
      <c r="AA70" s="96"/>
      <c r="AB70" s="355"/>
      <c r="AC70" s="356"/>
      <c r="AD70" s="100"/>
      <c r="AE70" s="96"/>
      <c r="AF70" s="355"/>
      <c r="AG70" s="356"/>
      <c r="AH70" s="100"/>
      <c r="AI70" s="96"/>
      <c r="AJ70" s="355"/>
      <c r="AK70" s="356"/>
      <c r="AL70" s="100"/>
      <c r="AM70" s="96"/>
      <c r="AN70" s="355"/>
      <c r="AO70" s="356"/>
      <c r="AP70" s="100"/>
      <c r="AQ70" s="96"/>
      <c r="AR70" s="344"/>
      <c r="AS70" s="345"/>
      <c r="AT70" s="100"/>
      <c r="AU70" s="96"/>
      <c r="AV70" s="344"/>
      <c r="AW70" s="345"/>
      <c r="AX70" s="100"/>
    </row>
    <row r="71" spans="1:50" ht="14.7" thickBot="1">
      <c r="C71" s="97"/>
      <c r="D71" s="346"/>
      <c r="E71" s="347"/>
      <c r="F71" s="99"/>
      <c r="G71" s="97"/>
      <c r="H71" s="346"/>
      <c r="I71" s="347"/>
      <c r="J71" s="101"/>
      <c r="K71" s="97"/>
      <c r="L71" s="346"/>
      <c r="M71" s="347"/>
      <c r="N71" s="101"/>
      <c r="O71" s="97"/>
      <c r="P71" s="346"/>
      <c r="Q71" s="347"/>
      <c r="R71" s="101"/>
      <c r="S71" s="97"/>
      <c r="T71" s="365"/>
      <c r="U71" s="366"/>
      <c r="V71" s="101"/>
      <c r="W71" s="97"/>
      <c r="X71" s="365"/>
      <c r="Y71" s="366"/>
      <c r="Z71" s="101"/>
      <c r="AA71" s="97"/>
      <c r="AB71" s="357"/>
      <c r="AC71" s="358"/>
      <c r="AD71" s="101"/>
      <c r="AE71" s="97"/>
      <c r="AF71" s="357"/>
      <c r="AG71" s="358"/>
      <c r="AH71" s="101"/>
      <c r="AI71" s="97"/>
      <c r="AJ71" s="357"/>
      <c r="AK71" s="358"/>
      <c r="AL71" s="101"/>
      <c r="AM71" s="97"/>
      <c r="AN71" s="357"/>
      <c r="AO71" s="358"/>
      <c r="AP71" s="101"/>
      <c r="AQ71" s="97"/>
      <c r="AR71" s="346"/>
      <c r="AS71" s="347"/>
      <c r="AT71" s="101"/>
      <c r="AU71" s="97"/>
      <c r="AV71" s="346"/>
      <c r="AW71" s="347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3839.35</v>
      </c>
      <c r="L5" s="425"/>
      <c r="M5" s="1"/>
      <c r="N5" s="1"/>
      <c r="R5" s="3"/>
    </row>
    <row r="6" spans="1:22" ht="15.6">
      <c r="A6" s="112">
        <f>'08'!A6+(B6-SUM(D6:F6))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6">
      <c r="A7" s="112">
        <f>'08'!A7+(B7-SUM(D7:F7))</f>
        <v>365.04000000000008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7236.18</v>
      </c>
      <c r="L7" s="427"/>
      <c r="M7" s="1"/>
      <c r="N7" s="1"/>
      <c r="R7" s="3"/>
    </row>
    <row r="8" spans="1:22" ht="15.6">
      <c r="A8" s="112">
        <f>'08'!A8+(B8-SUM(D8:F8))</f>
        <v>-0.19999999999998863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6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6">
      <c r="A11" s="112">
        <f>'08'!A11+(B11-SUM(D11:F11))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105+50</f>
        <v>155</v>
      </c>
      <c r="L11" s="427"/>
      <c r="M11" s="1"/>
      <c r="N11" s="1"/>
      <c r="R11" s="3"/>
    </row>
    <row r="12" spans="1:22" ht="15.6">
      <c r="A12" s="112">
        <f>'08'!A12+(B12-SUM(D12:F12))</f>
        <v>251.5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6">
      <c r="A13" s="112">
        <f>'08'!A13+(B13-SUM(D13:F13))</f>
        <v>517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5.9" thickBot="1">
      <c r="A20" s="112">
        <f>SUM(A6:A15)</f>
        <v>2014.33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2573.7399999999998</v>
      </c>
      <c r="M25" s="1"/>
      <c r="R25" s="3"/>
    </row>
    <row r="26" spans="1:18" ht="15.6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6">
      <c r="A27" s="112">
        <f>'08'!A27+(B27-SUM(D27:F27))</f>
        <v>272.15999999999985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6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6">
      <c r="A29" s="112">
        <f>'08'!A29+(B29-SUM(D29:F29))</f>
        <v>20.170000000000009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'08'!A30+(B30-SUM(D30:F30))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670</v>
      </c>
      <c r="K35" s="408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5.9" thickBot="1">
      <c r="A40" s="112">
        <f>SUM(A26:A35)</f>
        <v>1094.24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6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660</v>
      </c>
      <c r="K45" s="408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666</v>
      </c>
      <c r="H46" s="1"/>
      <c r="I46" s="405"/>
      <c r="J46" s="409" t="s">
        <v>702</v>
      </c>
      <c r="K46" s="410"/>
      <c r="L46" s="229">
        <v>100</v>
      </c>
      <c r="M46" s="1"/>
      <c r="R46" s="3"/>
    </row>
    <row r="47" spans="1:18" ht="15.6">
      <c r="A47" s="1"/>
      <c r="B47" s="134"/>
      <c r="C47" s="16" t="s">
        <v>76</v>
      </c>
      <c r="D47" s="137">
        <v>8.68</v>
      </c>
      <c r="E47" s="138"/>
      <c r="F47" s="138"/>
      <c r="G47" s="16" t="s">
        <v>671</v>
      </c>
      <c r="H47" s="1"/>
      <c r="I47" s="405"/>
      <c r="J47" s="409"/>
      <c r="K47" s="410"/>
      <c r="L47" s="229"/>
      <c r="M47" s="1"/>
      <c r="R47" s="3"/>
    </row>
    <row r="48" spans="1:18" ht="15.6">
      <c r="A48" s="1"/>
      <c r="B48" s="134"/>
      <c r="C48" s="16" t="s">
        <v>657</v>
      </c>
      <c r="D48" s="137">
        <v>67.47</v>
      </c>
      <c r="E48" s="138"/>
      <c r="F48" s="138"/>
      <c r="G48" s="16" t="s">
        <v>675</v>
      </c>
      <c r="H48" s="1">
        <f>21*8</f>
        <v>168</v>
      </c>
      <c r="I48" s="405"/>
      <c r="J48" s="409"/>
      <c r="K48" s="410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676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677</v>
      </c>
      <c r="H50" s="1"/>
      <c r="I50" s="404" t="str">
        <f>AÑO!A13</f>
        <v>Gubernamental</v>
      </c>
      <c r="J50" s="407" t="s">
        <v>668</v>
      </c>
      <c r="K50" s="408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685</v>
      </c>
      <c r="H51" s="1"/>
      <c r="I51" s="405"/>
      <c r="J51" s="409"/>
      <c r="K51" s="410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686</v>
      </c>
      <c r="H52" s="1"/>
      <c r="I52" s="405"/>
      <c r="J52" s="409"/>
      <c r="K52" s="410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694</v>
      </c>
      <c r="H53" s="1"/>
      <c r="I53" s="405"/>
      <c r="J53" s="409"/>
      <c r="K53" s="410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669</v>
      </c>
      <c r="K60" s="408"/>
      <c r="L60" s="231">
        <v>676.35</v>
      </c>
      <c r="M60" s="1">
        <f>550+103.67+22.59</f>
        <v>676.26</v>
      </c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6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6">
      <c r="A66" s="112">
        <f>'08'!A66+(B66-SUM(D66:F78))</f>
        <v>208.18000000000006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654</v>
      </c>
      <c r="H66" s="1"/>
      <c r="I66" s="405"/>
      <c r="J66" s="409"/>
      <c r="K66" s="410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655</v>
      </c>
      <c r="H67" s="1"/>
      <c r="I67" s="405"/>
      <c r="J67" s="409"/>
      <c r="K67" s="410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664</v>
      </c>
      <c r="H68" s="1"/>
      <c r="I68" s="405"/>
      <c r="J68" s="409"/>
      <c r="K68" s="410"/>
      <c r="L68" s="229"/>
      <c r="M68" s="1"/>
      <c r="R68" s="3"/>
    </row>
    <row r="69" spans="1:18" ht="15.9" thickBot="1">
      <c r="A69" s="1"/>
      <c r="B69" s="134"/>
      <c r="C69" s="16"/>
      <c r="D69" s="137">
        <v>24.3</v>
      </c>
      <c r="E69" s="138"/>
      <c r="F69" s="138"/>
      <c r="G69" s="16" t="s">
        <v>678</v>
      </c>
      <c r="H69" s="1"/>
      <c r="I69" s="406"/>
      <c r="J69" s="411"/>
      <c r="K69" s="412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681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693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'08'!A79+(B79-SUM(D79:F79))</f>
        <v>62.05</v>
      </c>
      <c r="B79" s="233">
        <f>5+100</f>
        <v>105</v>
      </c>
      <c r="C79" s="17" t="s">
        <v>701</v>
      </c>
      <c r="D79" s="135">
        <v>122.95</v>
      </c>
      <c r="E79" s="139"/>
      <c r="F79" s="139"/>
      <c r="G79" s="17" t="s">
        <v>695</v>
      </c>
      <c r="H79" s="1"/>
      <c r="M79" s="1"/>
      <c r="R79" s="3"/>
    </row>
    <row r="80" spans="1:18" ht="15.9" thickBot="1">
      <c r="A80" s="112">
        <f>SUM(A66:A79)</f>
        <v>270.23000000000008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6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150</v>
      </c>
      <c r="C86" s="19" t="s">
        <v>195</v>
      </c>
      <c r="D86" s="137">
        <v>51.07</v>
      </c>
      <c r="E86" s="138"/>
      <c r="F86" s="138"/>
      <c r="G86" s="16" t="s">
        <v>665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672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691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6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'08'!A106+(B106-SUM(D106:F106))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'08'!A107+(B107-SUM(D107:F107))</f>
        <v>0.93000000000007788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'08'!A108+(B108-SUM(D108:F108))</f>
        <v>1016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312.34999999999968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4950.9715974244991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6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D127+D128+'08'!I127</f>
        <v>95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6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563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656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204</v>
      </c>
      <c r="D187" s="137">
        <v>20.98</v>
      </c>
      <c r="E187" s="138"/>
      <c r="F187" s="138"/>
      <c r="G187" s="16" t="s">
        <v>661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683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692</v>
      </c>
      <c r="H189" s="89">
        <f>9.99+8.99+6.99+3.99+7.99</f>
        <v>37.950000000000003</v>
      </c>
      <c r="I189" s="1" t="s">
        <v>690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696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697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700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564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4.7" thickBot="1">
      <c r="B241" s="5"/>
      <c r="C241" s="3"/>
      <c r="D241" s="5"/>
      <c r="E241" s="5"/>
    </row>
    <row r="242" spans="1:9" ht="14.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9" ht="15" customHeight="1" thickBot="1">
      <c r="B243" s="419"/>
      <c r="C243" s="420"/>
      <c r="D243" s="420"/>
      <c r="E243" s="420"/>
      <c r="F243" s="420"/>
      <c r="G243" s="421"/>
    </row>
    <row r="244" spans="1:9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9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281</v>
      </c>
      <c r="D246" s="137">
        <v>105.14</v>
      </c>
      <c r="E246" s="138"/>
      <c r="F246" s="138"/>
      <c r="G246" s="16" t="s">
        <v>658</v>
      </c>
    </row>
    <row r="247" spans="1:9" ht="15" customHeight="1">
      <c r="A247" s="112"/>
      <c r="B247" s="134">
        <v>343.08</v>
      </c>
      <c r="C247" s="16" t="s">
        <v>204</v>
      </c>
      <c r="D247" s="137">
        <v>203.92</v>
      </c>
      <c r="E247" s="138"/>
      <c r="F247" s="138"/>
      <c r="G247" s="16" t="s">
        <v>682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698</v>
      </c>
      <c r="H248" s="89">
        <f>33.98+1.99</f>
        <v>35.97</v>
      </c>
      <c r="I248" s="89" t="s">
        <v>690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700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607</v>
      </c>
      <c r="D257" s="137"/>
      <c r="E257" s="138">
        <f>100.67+100.67</f>
        <v>201.34</v>
      </c>
      <c r="F257" s="138"/>
      <c r="G257" s="16" t="s">
        <v>284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5.9" thickBot="1">
      <c r="A259" s="112"/>
      <c r="B259" s="135"/>
      <c r="C259" s="17"/>
      <c r="D259" s="135"/>
      <c r="E259" s="139"/>
      <c r="F259" s="139"/>
      <c r="G259" s="17"/>
    </row>
    <row r="260" spans="1:8" ht="15.9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</row>
    <row r="262" spans="1:8" ht="14.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653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'08'!A286+(SUM(B286:B298)-SUM(D286:F298))</f>
        <v>148.01999999999973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563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680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699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'08'!A299+(B299-SUM(D299:F299))</f>
        <v>60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5.9" thickBot="1">
      <c r="A300" s="112">
        <f>SUM(A286:A299)</f>
        <v>208.01999999999973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/>
      <c r="E306" s="138"/>
      <c r="F306" s="138">
        <v>60</v>
      </c>
      <c r="G306" s="16" t="s">
        <v>673</v>
      </c>
    </row>
    <row r="307" spans="2:7">
      <c r="B307" s="134"/>
      <c r="C307" s="27"/>
      <c r="D307" s="137">
        <v>35.96</v>
      </c>
      <c r="E307" s="138"/>
      <c r="F307" s="138"/>
      <c r="G307" s="16" t="s">
        <v>674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679</v>
      </c>
    </row>
    <row r="309" spans="2:7">
      <c r="B309" s="134"/>
      <c r="C309" s="16"/>
      <c r="D309" s="137"/>
      <c r="E309" s="138"/>
      <c r="F309" s="138">
        <v>60</v>
      </c>
      <c r="G309" s="16" t="s">
        <v>703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4.7" thickBot="1"/>
    <row r="322" spans="2:9" ht="14.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9" ht="15" customHeight="1" thickBot="1">
      <c r="B323" s="436"/>
      <c r="C323" s="437"/>
      <c r="D323" s="437"/>
      <c r="E323" s="437"/>
      <c r="F323" s="437"/>
      <c r="G323" s="438"/>
    </row>
    <row r="324" spans="2:9">
      <c r="B324" s="429" t="s">
        <v>8</v>
      </c>
      <c r="C324" s="430"/>
      <c r="D324" s="429" t="s">
        <v>9</v>
      </c>
      <c r="E324" s="431"/>
      <c r="F324" s="431"/>
      <c r="G324" s="430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659</v>
      </c>
    </row>
    <row r="327" spans="2:9">
      <c r="B327" s="134">
        <v>100</v>
      </c>
      <c r="C327" s="16" t="s">
        <v>660</v>
      </c>
      <c r="D327" s="137">
        <v>15</v>
      </c>
      <c r="E327" s="138"/>
      <c r="F327" s="138"/>
      <c r="G327" s="16" t="s">
        <v>687</v>
      </c>
    </row>
    <row r="328" spans="2:9">
      <c r="B328" s="134">
        <v>155.97</v>
      </c>
      <c r="C328" s="16" t="s">
        <v>204</v>
      </c>
      <c r="D328" s="137"/>
      <c r="E328" s="138">
        <v>46.98</v>
      </c>
      <c r="F328" s="138"/>
      <c r="G328" s="16" t="s">
        <v>700</v>
      </c>
      <c r="H328" s="89">
        <f>9.99+34.99+2</f>
        <v>46.980000000000004</v>
      </c>
      <c r="I328" s="89" t="s">
        <v>690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'08'!A346+(B346-SUM(D346:F357))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5.9" thickBot="1">
      <c r="A359" s="112">
        <f>'08'!A359+(B359-SUM(D359:F359))</f>
        <v>20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5.9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662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0</v>
      </c>
      <c r="C426" s="19" t="s">
        <v>222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'08'!A466+(B466-SUM(D466:F466))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'08'!A467+(B467-SUM(D467:F467))</f>
        <v>-125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'08'!A468+(B468-SUM(D468:F468))</f>
        <v>148.19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-526.80999999999995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684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2" style="89" bestFit="1" customWidth="1"/>
    <col min="10" max="10" width="31.26171875" style="89" customWidth="1"/>
    <col min="11" max="16384" width="11.41796875" style="89"/>
  </cols>
  <sheetData>
    <row r="1" spans="1:22" ht="15.9" thickBot="1">
      <c r="A1" s="112" t="s">
        <v>217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3984.38</v>
      </c>
      <c r="L5" s="427"/>
      <c r="M5" s="1"/>
      <c r="N5" s="1"/>
      <c r="R5" s="3"/>
    </row>
    <row r="6" spans="1:22" ht="15.6">
      <c r="A6" s="112">
        <f>'09'!A6+(B6-SUM(D6:F6))</f>
        <v>784.52</v>
      </c>
      <c r="B6" s="133">
        <v>389.26</v>
      </c>
      <c r="C6" s="19" t="s">
        <v>704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6">
      <c r="A7" s="112">
        <f>'09'!A7+(B7-SUM(D7:F7))</f>
        <v>432.22000000000008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8003.5599999999995</v>
      </c>
      <c r="L7" s="427"/>
      <c r="M7" s="1"/>
      <c r="N7" s="1"/>
      <c r="R7" s="3"/>
    </row>
    <row r="8" spans="1:22" ht="15.6">
      <c r="A8" s="112">
        <f>'09'!A8+(B8-SUM(D8:F8))</f>
        <v>-98.079999999999984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157.43</v>
      </c>
      <c r="L9" s="427"/>
      <c r="M9" s="1"/>
      <c r="N9" s="1"/>
      <c r="R9" s="3"/>
    </row>
    <row r="10" spans="1:22" ht="15.6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6">
      <c r="A11" s="112">
        <f>'09'!A11+(B11-SUM(D11:F11))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60+20</f>
        <v>80</v>
      </c>
      <c r="L11" s="427"/>
      <c r="M11" s="1"/>
      <c r="N11" s="1"/>
      <c r="R11" s="3"/>
    </row>
    <row r="12" spans="1:22" ht="15.6">
      <c r="A12" s="112">
        <f>'09'!A12+(B12-SUM(D12:F12))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6">
      <c r="A13" s="112">
        <f>'09'!A13+(B13-SUM(D13:F13))</f>
        <v>523.5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30089.47</v>
      </c>
      <c r="L19" s="442"/>
      <c r="M19" s="1"/>
      <c r="N19" s="1"/>
      <c r="R19" s="3"/>
    </row>
    <row r="20" spans="1:18" ht="15.9" thickBot="1">
      <c r="A20" s="112">
        <f>SUM(A6:A15)</f>
        <v>1990.13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/>
      <c r="K25" s="408"/>
      <c r="L25" s="231">
        <v>2617.69</v>
      </c>
      <c r="M25" s="1"/>
      <c r="R25" s="3"/>
    </row>
    <row r="26" spans="1:18" ht="15.6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6">
      <c r="A27" s="112">
        <f>'09'!A27+(B27-SUM(D27:F27))</f>
        <v>276.16999999999985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6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6">
      <c r="A29" s="112">
        <f>'09'!A29+(B29-SUM(D29:F29))</f>
        <v>20.22000000000001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'09'!A30+(B30-SUM(D30:F30))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499</v>
      </c>
      <c r="K31" s="410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730</v>
      </c>
      <c r="K32" s="410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234</v>
      </c>
      <c r="K33" s="410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5.9" thickBot="1">
      <c r="A40" s="112">
        <f>SUM(A26:A35)</f>
        <v>1034.1099999999999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303</v>
      </c>
      <c r="K40" s="408"/>
      <c r="L40" s="231">
        <v>0.89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733</v>
      </c>
      <c r="K42" s="410"/>
      <c r="L42" s="229">
        <v>52.06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6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708</v>
      </c>
      <c r="H46" s="1"/>
      <c r="I46" s="405"/>
      <c r="J46" s="409"/>
      <c r="K46" s="410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711</v>
      </c>
      <c r="H47" s="1"/>
      <c r="I47" s="405"/>
      <c r="J47" s="409"/>
      <c r="K47" s="410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712</v>
      </c>
      <c r="H48" s="1"/>
      <c r="I48" s="405"/>
      <c r="J48" s="409"/>
      <c r="K48" s="410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719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726</v>
      </c>
      <c r="H50" s="1"/>
      <c r="I50" s="404" t="str">
        <f>AÑO!A13</f>
        <v>Gubernamental</v>
      </c>
      <c r="J50" s="407" t="s">
        <v>668</v>
      </c>
      <c r="K50" s="408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727</v>
      </c>
      <c r="H51" s="1"/>
      <c r="I51" s="405"/>
      <c r="J51" s="409"/>
      <c r="K51" s="410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728</v>
      </c>
      <c r="H52" s="1"/>
      <c r="I52" s="405"/>
      <c r="J52" s="409"/>
      <c r="K52" s="410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729</v>
      </c>
      <c r="H53" s="1"/>
      <c r="I53" s="405"/>
      <c r="J53" s="409"/>
      <c r="K53" s="410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731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739</v>
      </c>
      <c r="H55" s="1"/>
      <c r="I55" s="404" t="str">
        <f>AÑO!A14</f>
        <v>Mutualite/DKV</v>
      </c>
      <c r="J55" s="407" t="s">
        <v>345</v>
      </c>
      <c r="K55" s="408"/>
      <c r="L55" s="231">
        <f>14.27+14.27+14.27+14.27</f>
        <v>57.08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740</v>
      </c>
      <c r="H56" s="1"/>
      <c r="I56" s="405"/>
      <c r="J56" s="409"/>
      <c r="K56" s="410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6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6">
      <c r="A66" s="112">
        <f>'09'!A66+(B66-SUM(D66:F78))+B67</f>
        <v>263.03000000000009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710</v>
      </c>
      <c r="H66" s="1"/>
      <c r="I66" s="405"/>
      <c r="J66" s="409"/>
      <c r="K66" s="410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720</v>
      </c>
      <c r="H67" s="1"/>
      <c r="I67" s="405"/>
      <c r="J67" s="409"/>
      <c r="K67" s="410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725</v>
      </c>
      <c r="H68" s="1"/>
      <c r="I68" s="405"/>
      <c r="J68" s="409"/>
      <c r="K68" s="410"/>
      <c r="L68" s="229"/>
      <c r="M68" s="1"/>
      <c r="R68" s="3"/>
    </row>
    <row r="69" spans="1:18" ht="15.9" thickBot="1">
      <c r="A69" s="1"/>
      <c r="B69" s="134"/>
      <c r="C69" s="16"/>
      <c r="D69" s="137">
        <v>33.65</v>
      </c>
      <c r="E69" s="138"/>
      <c r="F69" s="138"/>
      <c r="G69" s="16" t="s">
        <v>757</v>
      </c>
      <c r="H69" s="1"/>
      <c r="I69" s="406"/>
      <c r="J69" s="411"/>
      <c r="K69" s="412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'09'!A79+(B79-SUM(D79:F79))</f>
        <v>23.819999999999993</v>
      </c>
      <c r="B79" s="233">
        <v>10</v>
      </c>
      <c r="C79" s="17" t="s">
        <v>223</v>
      </c>
      <c r="D79" s="135">
        <f>22.3+25.93</f>
        <v>48.230000000000004</v>
      </c>
      <c r="E79" s="139"/>
      <c r="F79" s="139"/>
      <c r="G79" s="17" t="s">
        <v>752</v>
      </c>
      <c r="H79" s="1"/>
      <c r="M79" s="1"/>
      <c r="R79" s="3"/>
    </row>
    <row r="80" spans="1:18" ht="15.9" thickBot="1">
      <c r="A80" s="112">
        <f>SUM(A66:A79)</f>
        <v>286.85000000000008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6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150</v>
      </c>
      <c r="C86" s="19" t="s">
        <v>195</v>
      </c>
      <c r="D86" s="137">
        <v>1</v>
      </c>
      <c r="E86" s="138"/>
      <c r="F86" s="138"/>
      <c r="G86" s="16" t="s">
        <v>707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716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718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737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738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741</v>
      </c>
      <c r="H91" s="1"/>
      <c r="M91" s="1"/>
      <c r="R91" s="3"/>
    </row>
    <row r="92" spans="1:18" ht="15.6">
      <c r="A92" s="1"/>
      <c r="B92" s="134"/>
      <c r="C92" s="16"/>
      <c r="D92" s="137">
        <v>44.51</v>
      </c>
      <c r="E92" s="138"/>
      <c r="F92" s="138"/>
      <c r="G92" s="16" t="s">
        <v>761</v>
      </c>
      <c r="H92" s="1"/>
      <c r="M92" s="1"/>
      <c r="R92" s="3"/>
    </row>
    <row r="93" spans="1:18" ht="15.6">
      <c r="A93" s="1"/>
      <c r="B93" s="134"/>
      <c r="C93" s="16"/>
      <c r="D93" s="137"/>
      <c r="E93" s="138">
        <v>11.9</v>
      </c>
      <c r="F93" s="138"/>
      <c r="G93" s="16" t="s">
        <v>763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6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'09'!A106+(B106-SUM(D106:F106))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'09'!A107+(B107-SUM(D107:F107))</f>
        <v>1.0200000000000813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'09'!A108+(B108-SUM(D108:F108))</f>
        <v>1066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696.21159742449754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291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733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5001.0615974244993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6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D127+D128+'09'!I127</f>
        <v>105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A130" s="112">
        <f>'09'!A130+(B130-SUM(D130:F130))</f>
        <v>-62.5</v>
      </c>
      <c r="B130" s="134">
        <v>2.5</v>
      </c>
      <c r="C130" s="16" t="s">
        <v>755</v>
      </c>
      <c r="D130" s="137">
        <v>65</v>
      </c>
      <c r="E130" s="138"/>
      <c r="F130" s="138"/>
      <c r="G130" s="16" t="s">
        <v>756</v>
      </c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6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708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713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721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724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748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749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753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281</v>
      </c>
      <c r="D246" s="137">
        <f>2.99+15.99-2.4</f>
        <v>16.580000000000002</v>
      </c>
      <c r="E246" s="138"/>
      <c r="F246" s="138"/>
      <c r="G246" s="16" t="s">
        <v>708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729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736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750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6">
      <c r="A257" s="112">
        <f>'09'!A257+(B257-SUM(D257:F257))</f>
        <v>384.11000000000007</v>
      </c>
      <c r="B257" s="134">
        <v>40</v>
      </c>
      <c r="C257" s="16" t="s">
        <v>667</v>
      </c>
      <c r="D257" s="137"/>
      <c r="E257" s="138">
        <v>100.67</v>
      </c>
      <c r="F257" s="138"/>
      <c r="G257" s="16" t="s">
        <v>284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5.9" thickBot="1">
      <c r="A259" s="112"/>
      <c r="B259" s="135"/>
      <c r="C259" s="17"/>
      <c r="D259" s="135"/>
      <c r="E259" s="139"/>
      <c r="F259" s="139"/>
      <c r="G259" s="17"/>
    </row>
    <row r="260" spans="1:9" ht="15.9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4.7" thickBot="1">
      <c r="B261" s="5"/>
      <c r="C261" s="3"/>
      <c r="D261" s="5"/>
      <c r="E261" s="5"/>
    </row>
    <row r="262" spans="1:9" ht="14.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706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'09'!A286+(SUM(B286:B298)-SUM(D286:F298))</f>
        <v>152.11999999999972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714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715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751</v>
      </c>
    </row>
    <row r="289" spans="1:8" ht="15.6">
      <c r="A289" s="112"/>
      <c r="B289" s="134"/>
      <c r="C289" s="16"/>
      <c r="D289" s="137">
        <v>9</v>
      </c>
      <c r="E289" s="138"/>
      <c r="F289" s="138"/>
      <c r="G289" s="16" t="s">
        <v>754</v>
      </c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'09'!A299+(B299-SUM(D299:F299))</f>
        <v>100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5.9" thickBot="1">
      <c r="A300" s="112">
        <f>SUM(A286:A299)</f>
        <v>252.11999999999972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>
        <f>37.5+37.5</f>
        <v>75</v>
      </c>
      <c r="E306" s="138"/>
      <c r="F306" s="138"/>
      <c r="G306" s="16" t="s">
        <v>717</v>
      </c>
    </row>
    <row r="307" spans="2:7">
      <c r="B307" s="134">
        <f>28.54*2</f>
        <v>57.08</v>
      </c>
      <c r="C307" s="27" t="s">
        <v>345</v>
      </c>
      <c r="D307" s="137"/>
      <c r="E307" s="138"/>
      <c r="F307" s="138">
        <v>50</v>
      </c>
      <c r="G307" s="16" t="s">
        <v>722</v>
      </c>
    </row>
    <row r="308" spans="2:7">
      <c r="B308" s="134"/>
      <c r="C308" s="27"/>
      <c r="D308" s="137">
        <v>35.96</v>
      </c>
      <c r="E308" s="138"/>
      <c r="F308" s="138"/>
      <c r="G308" s="16" t="s">
        <v>723</v>
      </c>
    </row>
    <row r="309" spans="2:7">
      <c r="B309" s="134"/>
      <c r="C309" s="16"/>
      <c r="D309" s="137">
        <v>16.21</v>
      </c>
      <c r="E309" s="138"/>
      <c r="F309" s="138"/>
      <c r="G309" s="16" t="s">
        <v>743</v>
      </c>
    </row>
    <row r="310" spans="2:7">
      <c r="B310" s="134"/>
      <c r="C310" s="16"/>
      <c r="D310" s="137"/>
      <c r="E310" s="138"/>
      <c r="F310" s="138">
        <v>50</v>
      </c>
      <c r="G310" s="16" t="s">
        <v>742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744</v>
      </c>
    </row>
    <row r="312" spans="2:7">
      <c r="B312" s="134"/>
      <c r="C312" s="16"/>
      <c r="D312" s="137"/>
      <c r="E312" s="138"/>
      <c r="F312" s="138">
        <v>60</v>
      </c>
      <c r="G312" s="16" t="s">
        <v>745</v>
      </c>
    </row>
    <row r="313" spans="2:7">
      <c r="B313" s="134"/>
      <c r="C313" s="16"/>
      <c r="D313" s="137">
        <v>5.3</v>
      </c>
      <c r="E313" s="138"/>
      <c r="F313" s="138"/>
      <c r="G313" s="16" t="s">
        <v>747</v>
      </c>
    </row>
    <row r="314" spans="2:7">
      <c r="B314" s="134"/>
      <c r="C314" s="16"/>
      <c r="D314" s="137">
        <v>12.95</v>
      </c>
      <c r="E314" s="138"/>
      <c r="F314" s="138"/>
      <c r="G314" s="16" t="s">
        <v>760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758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759</v>
      </c>
    </row>
    <row r="317" spans="2:7">
      <c r="B317" s="134"/>
      <c r="C317" s="16"/>
      <c r="D317" s="137"/>
      <c r="E317" s="138"/>
      <c r="F317" s="138">
        <v>4.5</v>
      </c>
      <c r="G317" s="16" t="s">
        <v>764</v>
      </c>
    </row>
    <row r="318" spans="2:7">
      <c r="B318" s="134"/>
      <c r="C318" s="16"/>
      <c r="D318" s="137"/>
      <c r="E318" s="138"/>
      <c r="F318" s="138">
        <v>84.93</v>
      </c>
      <c r="G318" s="16" t="s">
        <v>765</v>
      </c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4.7" thickBot="1"/>
    <row r="322" spans="2:7" ht="14.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709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'09'!A346+(B346-SUM(D346:F357))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5.9" thickBot="1">
      <c r="A359" s="112">
        <f>'09'!A359+(B359-SUM(D359:F359))</f>
        <v>30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5.9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291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733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705</v>
      </c>
    </row>
    <row r="407" spans="2:7">
      <c r="B407" s="134">
        <v>0.89</v>
      </c>
      <c r="C407" s="16" t="s">
        <v>303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291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733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-37.460000000000036</v>
      </c>
      <c r="C426" s="19" t="s">
        <v>222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'09'!A466+(B466-SUM(D466:F466))+(B469-550)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'09'!A467+(B467-SUM(D467:F467))+(B469-550)+B470</f>
        <v>510.50919055649229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'09'!A468+(B468-SUM(D468:F468))</f>
        <v>163.19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1100</v>
      </c>
      <c r="C469" s="16" t="s">
        <v>291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733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673.69919055649234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762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189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6">
      <c r="A6" s="112">
        <f>'10'!A6+(B6-SUM(D6:F6))</f>
        <v>1173.78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6">
      <c r="A7" s="112">
        <f>'10'!A7+(B7-SUM(D7:F7))</f>
        <v>499.40000000000009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6">
      <c r="A8" s="112">
        <f>'10'!A8+(B8-SUM(D8:F8))</f>
        <v>-0.19999999999998863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6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6">
      <c r="A11" s="112">
        <f>'10'!A11+(B11-SUM(D11:F11))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6">
      <c r="A12" s="112">
        <f>'10'!A12+(B12-SUM(D12:F12))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6">
      <c r="A13" s="112">
        <f>'10'!A13+(B13-SUM(D13:F13))</f>
        <v>530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5.9" thickBot="1">
      <c r="A20" s="112">
        <f>SUM(A6:A15)</f>
        <v>2550.96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2588.0700000000002</v>
      </c>
      <c r="M25" s="1"/>
      <c r="R25" s="3"/>
    </row>
    <row r="26" spans="1:18" ht="15.6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6">
      <c r="A27" s="112">
        <f>'10'!A27+(B27-SUM(D27:F27))</f>
        <v>280.17999999999984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6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6">
      <c r="A29" s="112">
        <f>'10'!A29+(B29-SUM(D29:F29))</f>
        <v>19.600000000000009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'10'!A30+(B30-SUM(D30:F30))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151.59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560</v>
      </c>
      <c r="K31" s="410"/>
      <c r="L31" s="229">
        <v>151.19999999999999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5.9" thickBot="1">
      <c r="A40" s="112">
        <f>SUM(A26:A35)</f>
        <v>1077.4999999999998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768</v>
      </c>
      <c r="K40" s="408"/>
      <c r="L40" s="231">
        <f>21.42+21.42</f>
        <v>42.84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6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774</v>
      </c>
      <c r="K45" s="408"/>
      <c r="L45" s="231">
        <v>30</v>
      </c>
      <c r="M45" s="1"/>
      <c r="R45" s="3"/>
    </row>
    <row r="46" spans="1:18" ht="15.6">
      <c r="A46" s="1"/>
      <c r="B46" s="133">
        <v>300</v>
      </c>
      <c r="C46" s="19"/>
      <c r="D46" s="137">
        <v>17.73</v>
      </c>
      <c r="E46" s="138"/>
      <c r="F46" s="138"/>
      <c r="G46" s="30" t="s">
        <v>773</v>
      </c>
      <c r="H46" s="1"/>
      <c r="I46" s="405"/>
      <c r="J46" s="409" t="s">
        <v>788</v>
      </c>
      <c r="K46" s="410"/>
      <c r="L46" s="229">
        <v>250</v>
      </c>
      <c r="M46" s="1"/>
      <c r="R46" s="3"/>
    </row>
    <row r="47" spans="1:18" ht="15.6">
      <c r="A47" s="1"/>
      <c r="B47" s="134"/>
      <c r="C47" s="16"/>
      <c r="D47" s="137">
        <v>37.79</v>
      </c>
      <c r="E47" s="138"/>
      <c r="F47" s="138"/>
      <c r="G47" s="16" t="s">
        <v>784</v>
      </c>
      <c r="H47" s="1"/>
      <c r="I47" s="405"/>
      <c r="J47" s="409" t="s">
        <v>789</v>
      </c>
      <c r="K47" s="410"/>
      <c r="L47" s="229">
        <v>150</v>
      </c>
      <c r="M47" s="1"/>
      <c r="R47" s="3"/>
    </row>
    <row r="48" spans="1:18" ht="15.6">
      <c r="A48" s="1"/>
      <c r="B48" s="134"/>
      <c r="C48" s="16"/>
      <c r="D48" s="137">
        <v>38.520000000000003</v>
      </c>
      <c r="E48" s="138"/>
      <c r="F48" s="138"/>
      <c r="G48" s="16" t="s">
        <v>786</v>
      </c>
      <c r="H48" s="1"/>
      <c r="I48" s="405"/>
      <c r="J48" s="409"/>
      <c r="K48" s="410"/>
      <c r="L48" s="229"/>
      <c r="M48" s="1"/>
      <c r="R48" s="3"/>
    </row>
    <row r="49" spans="1:18" ht="15.6">
      <c r="A49" s="1"/>
      <c r="B49" s="134"/>
      <c r="C49" s="16"/>
      <c r="D49" s="137">
        <v>54.99</v>
      </c>
      <c r="E49" s="138"/>
      <c r="F49" s="138"/>
      <c r="G49" s="16" t="s">
        <v>792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797</v>
      </c>
      <c r="H50" s="1"/>
      <c r="I50" s="404" t="str">
        <f>AÑO!A13</f>
        <v>Gubernamental</v>
      </c>
      <c r="J50" s="407" t="s">
        <v>779</v>
      </c>
      <c r="K50" s="408"/>
      <c r="L50" s="231">
        <v>95.8</v>
      </c>
      <c r="M50" s="1"/>
      <c r="R50" s="3"/>
    </row>
    <row r="51" spans="1:18" ht="15.6">
      <c r="A51" s="1"/>
      <c r="B51" s="134"/>
      <c r="C51" s="16"/>
      <c r="D51" s="137">
        <v>49.94</v>
      </c>
      <c r="E51" s="138"/>
      <c r="F51" s="138"/>
      <c r="G51" s="16" t="s">
        <v>801</v>
      </c>
      <c r="H51" s="1"/>
      <c r="I51" s="405"/>
      <c r="J51" s="409"/>
      <c r="K51" s="410"/>
      <c r="L51" s="229"/>
      <c r="M51" s="1"/>
      <c r="R51" s="3"/>
    </row>
    <row r="52" spans="1:18" ht="15.6">
      <c r="A52" s="1"/>
      <c r="B52" s="134"/>
      <c r="C52" s="16"/>
      <c r="D52" s="137">
        <v>71.34</v>
      </c>
      <c r="E52" s="138"/>
      <c r="F52" s="138"/>
      <c r="G52" s="16" t="s">
        <v>803</v>
      </c>
      <c r="H52" s="1"/>
      <c r="I52" s="405"/>
      <c r="J52" s="409"/>
      <c r="K52" s="410"/>
      <c r="L52" s="229"/>
      <c r="M52" s="1"/>
      <c r="R52" s="3"/>
    </row>
    <row r="53" spans="1:18" ht="15.6">
      <c r="A53" s="1"/>
      <c r="B53" s="134"/>
      <c r="C53" s="16"/>
      <c r="D53" s="137">
        <v>82.18</v>
      </c>
      <c r="E53" s="138"/>
      <c r="F53" s="138"/>
      <c r="G53" s="16" t="s">
        <v>805</v>
      </c>
      <c r="H53" s="1"/>
      <c r="I53" s="405"/>
      <c r="J53" s="409"/>
      <c r="K53" s="410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778</v>
      </c>
      <c r="K55" s="408"/>
      <c r="L55" s="231">
        <v>300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561</v>
      </c>
      <c r="K56" s="410"/>
      <c r="L56" s="229">
        <f>20.27+14.27+21.94+14.27+22.27</f>
        <v>93.02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771</v>
      </c>
      <c r="K60" s="408"/>
      <c r="L60" s="231">
        <v>647.88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6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6">
      <c r="A66" s="112">
        <f>'10'!A66+(B66-SUM(D66:F78))+B67</f>
        <v>284.8300000000001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772</v>
      </c>
      <c r="H66" s="1"/>
      <c r="I66" s="405"/>
      <c r="J66" s="409"/>
      <c r="K66" s="410"/>
      <c r="L66" s="229"/>
      <c r="M66" s="1"/>
      <c r="R66" s="3"/>
    </row>
    <row r="67" spans="1:18" ht="15.6">
      <c r="A67" s="1"/>
      <c r="B67" s="134"/>
      <c r="C67" s="16"/>
      <c r="D67" s="137">
        <v>41</v>
      </c>
      <c r="E67" s="138"/>
      <c r="F67" s="138"/>
      <c r="G67" s="31" t="s">
        <v>787</v>
      </c>
      <c r="H67" s="1"/>
      <c r="I67" s="405"/>
      <c r="J67" s="409"/>
      <c r="K67" s="410"/>
      <c r="L67" s="229"/>
      <c r="M67" s="1"/>
      <c r="R67" s="3"/>
    </row>
    <row r="68" spans="1:18" ht="15.6">
      <c r="A68" s="1"/>
      <c r="B68" s="134"/>
      <c r="C68" s="16"/>
      <c r="D68" s="137">
        <v>17.8</v>
      </c>
      <c r="E68" s="138"/>
      <c r="F68" s="138"/>
      <c r="G68" s="16" t="s">
        <v>791</v>
      </c>
      <c r="H68" s="1"/>
      <c r="I68" s="405"/>
      <c r="J68" s="409"/>
      <c r="K68" s="410"/>
      <c r="L68" s="229"/>
      <c r="M68" s="1"/>
      <c r="R68" s="3"/>
    </row>
    <row r="69" spans="1:18" ht="15.9" thickBot="1">
      <c r="A69" s="1"/>
      <c r="B69" s="134"/>
      <c r="C69" s="16"/>
      <c r="D69" s="137">
        <v>24.35</v>
      </c>
      <c r="E69" s="138"/>
      <c r="F69" s="138"/>
      <c r="G69" s="16" t="s">
        <v>799</v>
      </c>
      <c r="H69" s="1"/>
      <c r="I69" s="406"/>
      <c r="J69" s="411"/>
      <c r="K69" s="412"/>
      <c r="L69" s="232"/>
      <c r="M69" s="1"/>
      <c r="R69" s="3"/>
    </row>
    <row r="70" spans="1:18" ht="15.6">
      <c r="A70" s="1"/>
      <c r="B70" s="134"/>
      <c r="C70" s="16"/>
      <c r="D70" s="137">
        <v>25.8</v>
      </c>
      <c r="E70" s="138"/>
      <c r="F70" s="138"/>
      <c r="G70" s="16" t="s">
        <v>798</v>
      </c>
      <c r="H70" s="1"/>
      <c r="M70" s="1"/>
      <c r="R70" s="3"/>
    </row>
    <row r="71" spans="1:18" ht="15.6">
      <c r="A71" s="1"/>
      <c r="B71" s="134"/>
      <c r="C71" s="16"/>
      <c r="D71" s="137">
        <v>26.8</v>
      </c>
      <c r="E71" s="138"/>
      <c r="F71" s="138"/>
      <c r="G71" s="16" t="s">
        <v>806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'10'!A79+(B79-SUM(D79:F79))</f>
        <v>33.819999999999993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318.65000000000009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6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150</v>
      </c>
      <c r="C86" s="19" t="s">
        <v>195</v>
      </c>
      <c r="D86" s="137">
        <v>43.28</v>
      </c>
      <c r="E86" s="138"/>
      <c r="F86" s="138"/>
      <c r="G86" s="16" t="s">
        <v>807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6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'10'!A106+(B106-SUM(D106:F106))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'10'!A107+(B107-SUM(D107:F107))</f>
        <v>1.1100000000000847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'10'!A108+(B108-SUM(D108:F108))</f>
        <v>1116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776.21159742449754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5051.1515974244994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6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D127+D128+'10'!I127</f>
        <v>115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A130" s="112">
        <f>'10'!A130+(B130-SUM(D130:F130))</f>
        <v>-60</v>
      </c>
      <c r="B130" s="134">
        <v>2.5</v>
      </c>
      <c r="C130" s="16" t="s">
        <v>755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6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794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800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6">
      <c r="A257" s="112">
        <f>'10'!A257+(B257-SUM(D257:F257))</f>
        <v>424.11000000000007</v>
      </c>
      <c r="B257" s="134">
        <v>40</v>
      </c>
      <c r="C257" s="16" t="s">
        <v>735</v>
      </c>
      <c r="D257" s="137"/>
      <c r="E257" s="138"/>
      <c r="F257" s="138"/>
      <c r="G257" s="16" t="s">
        <v>284</v>
      </c>
      <c r="H257" s="89">
        <f>1208-(100.67*6)</f>
        <v>603.98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5.9" thickBot="1">
      <c r="A259" s="112"/>
      <c r="B259" s="135"/>
      <c r="C259" s="17"/>
      <c r="D259" s="135"/>
      <c r="E259" s="139"/>
      <c r="F259" s="139"/>
      <c r="G259" s="17"/>
    </row>
    <row r="260" spans="1:9" ht="15.9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4.7" thickBot="1">
      <c r="B261" s="5"/>
      <c r="C261" s="3"/>
      <c r="D261" s="5"/>
      <c r="E261" s="5"/>
    </row>
    <row r="262" spans="1:9" ht="14.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'10'!A286+(SUM(B286:B298)-SUM(D286:F298))</f>
        <v>202.11999999999972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'10'!A299+(B299-SUM(D299:F299))</f>
        <v>140</v>
      </c>
      <c r="B299" s="135">
        <v>40</v>
      </c>
      <c r="C299" s="17" t="s">
        <v>637</v>
      </c>
      <c r="D299" s="135"/>
      <c r="E299" s="139"/>
      <c r="F299" s="139"/>
      <c r="G299" s="17"/>
    </row>
    <row r="300" spans="1:8" ht="15.9" thickBot="1">
      <c r="A300" s="112">
        <f>SUM(A286:A299)</f>
        <v>342.11999999999972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594</v>
      </c>
      <c r="D306" s="137"/>
      <c r="E306" s="138"/>
      <c r="F306" s="138">
        <v>80</v>
      </c>
      <c r="G306" s="16" t="s">
        <v>777</v>
      </c>
    </row>
    <row r="307" spans="2:8">
      <c r="B307" s="134">
        <v>300</v>
      </c>
      <c r="C307" s="27" t="s">
        <v>781</v>
      </c>
      <c r="D307" s="137">
        <v>82.87</v>
      </c>
      <c r="E307" s="138"/>
      <c r="F307" s="138"/>
      <c r="G307" s="16" t="s">
        <v>780</v>
      </c>
    </row>
    <row r="308" spans="2:8">
      <c r="B308" s="134">
        <f>L56</f>
        <v>93.02</v>
      </c>
      <c r="C308" s="27" t="s">
        <v>345</v>
      </c>
      <c r="D308" s="137">
        <v>33</v>
      </c>
      <c r="E308" s="138"/>
      <c r="F308" s="138"/>
      <c r="G308" s="16" t="s">
        <v>783</v>
      </c>
    </row>
    <row r="309" spans="2:8">
      <c r="B309" s="134"/>
      <c r="C309" s="16"/>
      <c r="D309" s="137">
        <v>40.18</v>
      </c>
      <c r="E309" s="138"/>
      <c r="F309" s="138"/>
      <c r="G309" s="16" t="s">
        <v>785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790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793</v>
      </c>
    </row>
    <row r="312" spans="2:8">
      <c r="B312" s="134"/>
      <c r="C312" s="16"/>
      <c r="D312" s="137">
        <v>50</v>
      </c>
      <c r="E312" s="138"/>
      <c r="F312" s="138"/>
      <c r="G312" s="16" t="s">
        <v>796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4.7" thickBot="1">
      <c r="B319" s="135"/>
      <c r="C319" s="17"/>
      <c r="D319" s="135"/>
      <c r="E319" s="139"/>
      <c r="F319" s="139"/>
      <c r="G319" s="17"/>
    </row>
    <row r="320" spans="2:8" ht="14.7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4.7" thickBot="1"/>
    <row r="322" spans="2:7" ht="14.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776</v>
      </c>
    </row>
    <row r="327" spans="2:7">
      <c r="B327" s="134">
        <v>30</v>
      </c>
      <c r="C327" s="16" t="s">
        <v>775</v>
      </c>
      <c r="D327" s="137"/>
      <c r="E327" s="138"/>
      <c r="F327" s="138"/>
      <c r="G327" s="16"/>
    </row>
    <row r="328" spans="2:7">
      <c r="B328" s="134">
        <v>250</v>
      </c>
      <c r="C328" s="16" t="s">
        <v>788</v>
      </c>
      <c r="D328" s="137"/>
      <c r="E328" s="138"/>
      <c r="F328" s="138"/>
      <c r="G328" s="16"/>
    </row>
    <row r="329" spans="2:7">
      <c r="B329" s="134">
        <v>150</v>
      </c>
      <c r="C329" s="16" t="s">
        <v>789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'10'!A346+(B346-SUM(D346:F357))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5.9" thickBot="1">
      <c r="A359" s="112">
        <f>'10'!A359+(B359-SUM(D359:F359))</f>
        <v>-25</v>
      </c>
      <c r="B359" s="135">
        <v>10</v>
      </c>
      <c r="C359" s="17" t="s">
        <v>734</v>
      </c>
      <c r="D359" s="135">
        <v>65</v>
      </c>
      <c r="E359" s="139"/>
      <c r="F359" s="139"/>
      <c r="G359" s="17" t="s">
        <v>767</v>
      </c>
    </row>
    <row r="360" spans="1:7" ht="15.9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795</v>
      </c>
    </row>
    <row r="368" spans="1:7">
      <c r="B368" s="134"/>
      <c r="C368" s="16"/>
      <c r="D368" s="137">
        <v>34</v>
      </c>
      <c r="E368" s="138"/>
      <c r="F368" s="138"/>
      <c r="G368" s="16" t="s">
        <v>802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766</v>
      </c>
    </row>
    <row r="407" spans="2:7">
      <c r="B407" s="134">
        <v>42.84</v>
      </c>
      <c r="C407" s="16" t="s">
        <v>768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-363.34000000000015</v>
      </c>
      <c r="C426" s="19" t="s">
        <v>222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'10'!A466+(B466-SUM(D466:F466))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'10'!A467+(B467-SUM(D467:F467))</f>
        <v>581.85919055649231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6">
      <c r="A468" s="112">
        <f>'10'!A468+(B468-SUM(D468:F468))</f>
        <v>178.19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760.04919055649225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804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192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6">
      <c r="A6" s="112">
        <f>'11'!A6+(B6-SUM(D6:F6))</f>
        <v>1563.04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6">
      <c r="A7" s="112">
        <f>'11'!A7+(B7-SUM(D7:F7))</f>
        <v>566.58000000000015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6">
      <c r="A8" s="112">
        <f>'11'!A8+(B8-SUM(D8:F8))</f>
        <v>-0.19999999999998863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6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6">
      <c r="A11" s="112">
        <f>'11'!A11+(B11-SUM(D11:F11))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6">
      <c r="A12" s="112">
        <f>'11'!A12+(B12-SUM(D12:F12))</f>
        <v>-11.54000000000002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6">
      <c r="A13" s="112">
        <f>'11'!A13+(B13-SUM(D13:F13))</f>
        <v>536.5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5.9" thickBot="1">
      <c r="A20" s="112">
        <f>SUM(A6:A15)</f>
        <v>2793.1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/>
      <c r="M25" s="1"/>
      <c r="R25" s="3"/>
    </row>
    <row r="26" spans="1:18" ht="15.6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6">
      <c r="A27" s="112">
        <f>'11'!A27+(B27-SUM(D27:F27))</f>
        <v>470.17999999999984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6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6">
      <c r="A29" s="112">
        <f>'11'!A29+(B29-SUM(D29:F29))</f>
        <v>37.600000000000009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'11'!A30+(B30-SUM(D30:F30))</f>
        <v>-331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5.9" thickBot="1">
      <c r="A40" s="112">
        <f>SUM(A26:A35)</f>
        <v>2230.4999999999995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6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6">
      <c r="A46" s="1"/>
      <c r="B46" s="133">
        <v>315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779</v>
      </c>
      <c r="K50" s="408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6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6">
      <c r="A66" s="112">
        <f>'11'!A66+(B66-SUM(D66:F78))+B67</f>
        <v>459.8300000000001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'11'!A79+(B79-SUM(D79:F79))</f>
        <v>43.819999999999993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503.65000000000009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6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150</v>
      </c>
      <c r="C86" s="19" t="s">
        <v>195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6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'11'!A106+(B106-SUM(D106:F106))</f>
        <v>4192.5115974244991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'11'!A107+(B107-SUM(D107:F107))</f>
        <v>70.110000000000085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'11'!A108+(B108-SUM(D108:F108))</f>
        <v>1166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856.21159742449754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5428.6215974244988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6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D127+D128+'11'!I127</f>
        <v>115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6">
      <c r="A130" s="112">
        <f>'11'!A130+(B130-SUM(D130:F130))</f>
        <v>-42.5</v>
      </c>
      <c r="B130" s="134">
        <f>2.5+15</f>
        <v>17.5</v>
      </c>
      <c r="C130" s="16" t="s">
        <v>755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6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823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80</v>
      </c>
      <c r="C186" s="19" t="s">
        <v>809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'11'!A256+(B256-SUM(D256:F256))</f>
        <v>70</v>
      </c>
      <c r="B256" s="134">
        <f>5+15</f>
        <v>20</v>
      </c>
      <c r="C256" s="16" t="s">
        <v>288</v>
      </c>
      <c r="D256" s="137"/>
      <c r="E256" s="138"/>
      <c r="F256" s="138"/>
      <c r="G256" s="16"/>
    </row>
    <row r="257" spans="1:8" ht="15.6">
      <c r="A257" s="112">
        <f>'11'!A257+(B257-SUM(D257:F257))</f>
        <v>604.11000000000013</v>
      </c>
      <c r="B257" s="134">
        <f>40+140</f>
        <v>180</v>
      </c>
      <c r="C257" s="16" t="s">
        <v>782</v>
      </c>
      <c r="D257" s="137"/>
      <c r="E257" s="138"/>
      <c r="F257" s="138"/>
      <c r="G257" s="16" t="s">
        <v>284</v>
      </c>
      <c r="H257" s="89">
        <f>1208-(100.67*7)</f>
        <v>503.30999999999995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5.9" thickBot="1">
      <c r="A259" s="112"/>
      <c r="B259" s="135"/>
      <c r="C259" s="17"/>
      <c r="D259" s="135"/>
      <c r="E259" s="139"/>
      <c r="F259" s="139"/>
      <c r="G259" s="17"/>
    </row>
    <row r="260" spans="1:8" ht="15.9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</row>
    <row r="262" spans="1:8" ht="14.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'11'!A286+(SUM(B286:B298)-SUM(D286:F298))</f>
        <v>252.11999999999972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'11'!A299+(B299-SUM(D299:F299))</f>
        <v>185</v>
      </c>
      <c r="B299" s="135">
        <f>40+5</f>
        <v>45</v>
      </c>
      <c r="C299" s="17" t="s">
        <v>637</v>
      </c>
      <c r="D299" s="135"/>
      <c r="E299" s="139"/>
      <c r="F299" s="139"/>
      <c r="G299" s="17"/>
    </row>
    <row r="300" spans="1:8" ht="15.9" thickBot="1">
      <c r="A300" s="112">
        <f>SUM(A286:A299)</f>
        <v>437.11999999999972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4.7" thickBot="1"/>
    <row r="322" spans="2:7" ht="14.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'11'!A346+(B346-SUM(D346:F357))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'11'!A358+(B358-SUM(D358:F358))</f>
        <v>175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5.9" thickBot="1">
      <c r="A359" s="112">
        <f>'11'!A359+(B359-SUM(D359:F359))</f>
        <v>-15</v>
      </c>
      <c r="B359" s="135">
        <v>10</v>
      </c>
      <c r="C359" s="17" t="s">
        <v>734</v>
      </c>
      <c r="D359" s="135"/>
      <c r="E359" s="139"/>
      <c r="F359" s="139"/>
      <c r="G359" s="17"/>
    </row>
    <row r="360" spans="1:7" ht="15.9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-3900</v>
      </c>
      <c r="C426" s="19" t="s">
        <v>222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663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'11'!A466+(B466-SUM(D466:F466))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'11'!A467+(B467-SUM(D467:F467))</f>
        <v>716.24919055649229</v>
      </c>
      <c r="B467" s="134">
        <f>71.35+63.04</f>
        <v>134.38999999999999</v>
      </c>
      <c r="C467" s="16" t="s">
        <v>332</v>
      </c>
      <c r="D467" s="137"/>
      <c r="E467" s="138"/>
      <c r="F467" s="138"/>
      <c r="G467" s="16"/>
    </row>
    <row r="468" spans="1:7" ht="15.6">
      <c r="A468" s="112">
        <f>'11'!A468+(B468-SUM(D468:F468))</f>
        <v>188.19</v>
      </c>
      <c r="B468" s="134">
        <v>10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904.43919055649235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808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46" workbookViewId="0">
      <selection activeCell="E28" sqref="E28"/>
    </sheetView>
  </sheetViews>
  <sheetFormatPr defaultColWidth="11" defaultRowHeight="14.4"/>
  <cols>
    <col min="3" max="3" width="14.15625" customWidth="1"/>
    <col min="4" max="4" width="18" customWidth="1"/>
    <col min="5" max="5" width="12" bestFit="1" customWidth="1"/>
    <col min="7" max="7" width="11.68359375" customWidth="1"/>
    <col min="8" max="8" width="17.68359375" bestFit="1" customWidth="1"/>
    <col min="9" max="9" width="12" bestFit="1" customWidth="1"/>
    <col min="11" max="11" width="12" bestFit="1" customWidth="1"/>
  </cols>
  <sheetData>
    <row r="1" spans="1:5" ht="14.7" thickBot="1">
      <c r="A1" s="90">
        <v>258.47000000000003</v>
      </c>
      <c r="B1" s="341" t="s">
        <v>848</v>
      </c>
    </row>
    <row r="2" spans="1:5" ht="14.7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4.7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849</v>
      </c>
    </row>
    <row r="66" spans="2:7">
      <c r="C66" t="s">
        <v>828</v>
      </c>
      <c r="D66">
        <v>16420</v>
      </c>
    </row>
    <row r="67" spans="2:7">
      <c r="C67" t="s">
        <v>827</v>
      </c>
      <c r="D67">
        <f>D66*0.2</f>
        <v>3284</v>
      </c>
    </row>
    <row r="68" spans="2:7">
      <c r="B68" t="s">
        <v>819</v>
      </c>
      <c r="C68" t="s">
        <v>820</v>
      </c>
      <c r="D68" t="s">
        <v>822</v>
      </c>
      <c r="E68" t="s">
        <v>821</v>
      </c>
      <c r="F68" t="s">
        <v>93</v>
      </c>
      <c r="G68" t="s">
        <v>824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G11" sqref="G11"/>
    </sheetView>
  </sheetViews>
  <sheetFormatPr defaultColWidth="11.68359375" defaultRowHeight="14.4"/>
  <cols>
    <col min="1" max="1" width="30.15625" customWidth="1"/>
    <col min="2" max="2" width="15" customWidth="1"/>
    <col min="3" max="3" width="14.41796875" customWidth="1"/>
    <col min="4" max="4" width="29.15625" customWidth="1"/>
    <col min="5" max="5" width="24.578125" customWidth="1"/>
    <col min="6" max="6" width="13.15625" customWidth="1"/>
    <col min="7" max="7" width="8.68359375" customWidth="1"/>
    <col min="8" max="8" width="8" customWidth="1"/>
    <col min="9" max="9" width="12.26171875" customWidth="1"/>
    <col min="10" max="10" width="20.26171875" customWidth="1"/>
    <col min="11" max="11" width="13.83984375" customWidth="1"/>
    <col min="12" max="12" width="8.68359375" customWidth="1"/>
    <col min="14" max="15" width="12" bestFit="1" customWidth="1"/>
    <col min="257" max="257" width="30.15625" customWidth="1"/>
    <col min="258" max="258" width="15" customWidth="1"/>
    <col min="259" max="259" width="14.41796875" customWidth="1"/>
    <col min="260" max="260" width="29.15625" customWidth="1"/>
    <col min="261" max="261" width="24.578125" customWidth="1"/>
    <col min="262" max="262" width="13.15625" customWidth="1"/>
    <col min="263" max="263" width="8.68359375" customWidth="1"/>
    <col min="264" max="264" width="8" customWidth="1"/>
    <col min="265" max="265" width="12.26171875" customWidth="1"/>
    <col min="266" max="266" width="20.26171875" customWidth="1"/>
    <col min="267" max="267" width="13.83984375" customWidth="1"/>
    <col min="268" max="268" width="8" customWidth="1"/>
    <col min="513" max="513" width="30.15625" customWidth="1"/>
    <col min="514" max="514" width="15" customWidth="1"/>
    <col min="515" max="515" width="14.41796875" customWidth="1"/>
    <col min="516" max="516" width="29.15625" customWidth="1"/>
    <col min="517" max="517" width="24.578125" customWidth="1"/>
    <col min="518" max="518" width="13.15625" customWidth="1"/>
    <col min="519" max="519" width="8.68359375" customWidth="1"/>
    <col min="520" max="520" width="8" customWidth="1"/>
    <col min="521" max="521" width="12.26171875" customWidth="1"/>
    <col min="522" max="522" width="20.26171875" customWidth="1"/>
    <col min="523" max="523" width="13.83984375" customWidth="1"/>
    <col min="524" max="524" width="8" customWidth="1"/>
    <col min="769" max="769" width="30.15625" customWidth="1"/>
    <col min="770" max="770" width="15" customWidth="1"/>
    <col min="771" max="771" width="14.41796875" customWidth="1"/>
    <col min="772" max="772" width="29.15625" customWidth="1"/>
    <col min="773" max="773" width="24.578125" customWidth="1"/>
    <col min="774" max="774" width="13.15625" customWidth="1"/>
    <col min="775" max="775" width="8.68359375" customWidth="1"/>
    <col min="776" max="776" width="8" customWidth="1"/>
    <col min="777" max="777" width="12.26171875" customWidth="1"/>
    <col min="778" max="778" width="20.26171875" customWidth="1"/>
    <col min="779" max="779" width="13.83984375" customWidth="1"/>
    <col min="780" max="780" width="8" customWidth="1"/>
    <col min="1025" max="1025" width="30.15625" customWidth="1"/>
    <col min="1026" max="1026" width="15" customWidth="1"/>
    <col min="1027" max="1027" width="14.41796875" customWidth="1"/>
    <col min="1028" max="1028" width="29.15625" customWidth="1"/>
    <col min="1029" max="1029" width="24.578125" customWidth="1"/>
    <col min="1030" max="1030" width="13.15625" customWidth="1"/>
    <col min="1031" max="1031" width="8.68359375" customWidth="1"/>
    <col min="1032" max="1032" width="8" customWidth="1"/>
    <col min="1033" max="1033" width="12.26171875" customWidth="1"/>
    <col min="1034" max="1034" width="20.26171875" customWidth="1"/>
    <col min="1035" max="1035" width="13.83984375" customWidth="1"/>
    <col min="1036" max="1036" width="8" customWidth="1"/>
    <col min="1281" max="1281" width="30.15625" customWidth="1"/>
    <col min="1282" max="1282" width="15" customWidth="1"/>
    <col min="1283" max="1283" width="14.41796875" customWidth="1"/>
    <col min="1284" max="1284" width="29.15625" customWidth="1"/>
    <col min="1285" max="1285" width="24.578125" customWidth="1"/>
    <col min="1286" max="1286" width="13.15625" customWidth="1"/>
    <col min="1287" max="1287" width="8.68359375" customWidth="1"/>
    <col min="1288" max="1288" width="8" customWidth="1"/>
    <col min="1289" max="1289" width="12.26171875" customWidth="1"/>
    <col min="1290" max="1290" width="20.26171875" customWidth="1"/>
    <col min="1291" max="1291" width="13.83984375" customWidth="1"/>
    <col min="1292" max="1292" width="8" customWidth="1"/>
    <col min="1537" max="1537" width="30.15625" customWidth="1"/>
    <col min="1538" max="1538" width="15" customWidth="1"/>
    <col min="1539" max="1539" width="14.41796875" customWidth="1"/>
    <col min="1540" max="1540" width="29.15625" customWidth="1"/>
    <col min="1541" max="1541" width="24.578125" customWidth="1"/>
    <col min="1542" max="1542" width="13.15625" customWidth="1"/>
    <col min="1543" max="1543" width="8.68359375" customWidth="1"/>
    <col min="1544" max="1544" width="8" customWidth="1"/>
    <col min="1545" max="1545" width="12.26171875" customWidth="1"/>
    <col min="1546" max="1546" width="20.26171875" customWidth="1"/>
    <col min="1547" max="1547" width="13.83984375" customWidth="1"/>
    <col min="1548" max="1548" width="8" customWidth="1"/>
    <col min="1793" max="1793" width="30.15625" customWidth="1"/>
    <col min="1794" max="1794" width="15" customWidth="1"/>
    <col min="1795" max="1795" width="14.41796875" customWidth="1"/>
    <col min="1796" max="1796" width="29.15625" customWidth="1"/>
    <col min="1797" max="1797" width="24.578125" customWidth="1"/>
    <col min="1798" max="1798" width="13.15625" customWidth="1"/>
    <col min="1799" max="1799" width="8.68359375" customWidth="1"/>
    <col min="1800" max="1800" width="8" customWidth="1"/>
    <col min="1801" max="1801" width="12.26171875" customWidth="1"/>
    <col min="1802" max="1802" width="20.26171875" customWidth="1"/>
    <col min="1803" max="1803" width="13.83984375" customWidth="1"/>
    <col min="1804" max="1804" width="8" customWidth="1"/>
    <col min="2049" max="2049" width="30.15625" customWidth="1"/>
    <col min="2050" max="2050" width="15" customWidth="1"/>
    <col min="2051" max="2051" width="14.41796875" customWidth="1"/>
    <col min="2052" max="2052" width="29.15625" customWidth="1"/>
    <col min="2053" max="2053" width="24.578125" customWidth="1"/>
    <col min="2054" max="2054" width="13.15625" customWidth="1"/>
    <col min="2055" max="2055" width="8.68359375" customWidth="1"/>
    <col min="2056" max="2056" width="8" customWidth="1"/>
    <col min="2057" max="2057" width="12.26171875" customWidth="1"/>
    <col min="2058" max="2058" width="20.26171875" customWidth="1"/>
    <col min="2059" max="2059" width="13.83984375" customWidth="1"/>
    <col min="2060" max="2060" width="8" customWidth="1"/>
    <col min="2305" max="2305" width="30.15625" customWidth="1"/>
    <col min="2306" max="2306" width="15" customWidth="1"/>
    <col min="2307" max="2307" width="14.41796875" customWidth="1"/>
    <col min="2308" max="2308" width="29.15625" customWidth="1"/>
    <col min="2309" max="2309" width="24.578125" customWidth="1"/>
    <col min="2310" max="2310" width="13.15625" customWidth="1"/>
    <col min="2311" max="2311" width="8.68359375" customWidth="1"/>
    <col min="2312" max="2312" width="8" customWidth="1"/>
    <col min="2313" max="2313" width="12.26171875" customWidth="1"/>
    <col min="2314" max="2314" width="20.26171875" customWidth="1"/>
    <col min="2315" max="2315" width="13.83984375" customWidth="1"/>
    <col min="2316" max="2316" width="8" customWidth="1"/>
    <col min="2561" max="2561" width="30.15625" customWidth="1"/>
    <col min="2562" max="2562" width="15" customWidth="1"/>
    <col min="2563" max="2563" width="14.41796875" customWidth="1"/>
    <col min="2564" max="2564" width="29.15625" customWidth="1"/>
    <col min="2565" max="2565" width="24.578125" customWidth="1"/>
    <col min="2566" max="2566" width="13.15625" customWidth="1"/>
    <col min="2567" max="2567" width="8.68359375" customWidth="1"/>
    <col min="2568" max="2568" width="8" customWidth="1"/>
    <col min="2569" max="2569" width="12.26171875" customWidth="1"/>
    <col min="2570" max="2570" width="20.26171875" customWidth="1"/>
    <col min="2571" max="2571" width="13.83984375" customWidth="1"/>
    <col min="2572" max="2572" width="8" customWidth="1"/>
    <col min="2817" max="2817" width="30.15625" customWidth="1"/>
    <col min="2818" max="2818" width="15" customWidth="1"/>
    <col min="2819" max="2819" width="14.41796875" customWidth="1"/>
    <col min="2820" max="2820" width="29.15625" customWidth="1"/>
    <col min="2821" max="2821" width="24.578125" customWidth="1"/>
    <col min="2822" max="2822" width="13.15625" customWidth="1"/>
    <col min="2823" max="2823" width="8.68359375" customWidth="1"/>
    <col min="2824" max="2824" width="8" customWidth="1"/>
    <col min="2825" max="2825" width="12.26171875" customWidth="1"/>
    <col min="2826" max="2826" width="20.26171875" customWidth="1"/>
    <col min="2827" max="2827" width="13.83984375" customWidth="1"/>
    <col min="2828" max="2828" width="8" customWidth="1"/>
    <col min="3073" max="3073" width="30.15625" customWidth="1"/>
    <col min="3074" max="3074" width="15" customWidth="1"/>
    <col min="3075" max="3075" width="14.41796875" customWidth="1"/>
    <col min="3076" max="3076" width="29.15625" customWidth="1"/>
    <col min="3077" max="3077" width="24.578125" customWidth="1"/>
    <col min="3078" max="3078" width="13.15625" customWidth="1"/>
    <col min="3079" max="3079" width="8.68359375" customWidth="1"/>
    <col min="3080" max="3080" width="8" customWidth="1"/>
    <col min="3081" max="3081" width="12.26171875" customWidth="1"/>
    <col min="3082" max="3082" width="20.26171875" customWidth="1"/>
    <col min="3083" max="3083" width="13.83984375" customWidth="1"/>
    <col min="3084" max="3084" width="8" customWidth="1"/>
    <col min="3329" max="3329" width="30.15625" customWidth="1"/>
    <col min="3330" max="3330" width="15" customWidth="1"/>
    <col min="3331" max="3331" width="14.41796875" customWidth="1"/>
    <col min="3332" max="3332" width="29.15625" customWidth="1"/>
    <col min="3333" max="3333" width="24.578125" customWidth="1"/>
    <col min="3334" max="3334" width="13.15625" customWidth="1"/>
    <col min="3335" max="3335" width="8.68359375" customWidth="1"/>
    <col min="3336" max="3336" width="8" customWidth="1"/>
    <col min="3337" max="3337" width="12.26171875" customWidth="1"/>
    <col min="3338" max="3338" width="20.26171875" customWidth="1"/>
    <col min="3339" max="3339" width="13.83984375" customWidth="1"/>
    <col min="3340" max="3340" width="8" customWidth="1"/>
    <col min="3585" max="3585" width="30.15625" customWidth="1"/>
    <col min="3586" max="3586" width="15" customWidth="1"/>
    <col min="3587" max="3587" width="14.41796875" customWidth="1"/>
    <col min="3588" max="3588" width="29.15625" customWidth="1"/>
    <col min="3589" max="3589" width="24.578125" customWidth="1"/>
    <col min="3590" max="3590" width="13.15625" customWidth="1"/>
    <col min="3591" max="3591" width="8.68359375" customWidth="1"/>
    <col min="3592" max="3592" width="8" customWidth="1"/>
    <col min="3593" max="3593" width="12.26171875" customWidth="1"/>
    <col min="3594" max="3594" width="20.26171875" customWidth="1"/>
    <col min="3595" max="3595" width="13.83984375" customWidth="1"/>
    <col min="3596" max="3596" width="8" customWidth="1"/>
    <col min="3841" max="3841" width="30.15625" customWidth="1"/>
    <col min="3842" max="3842" width="15" customWidth="1"/>
    <col min="3843" max="3843" width="14.41796875" customWidth="1"/>
    <col min="3844" max="3844" width="29.15625" customWidth="1"/>
    <col min="3845" max="3845" width="24.578125" customWidth="1"/>
    <col min="3846" max="3846" width="13.15625" customWidth="1"/>
    <col min="3847" max="3847" width="8.68359375" customWidth="1"/>
    <col min="3848" max="3848" width="8" customWidth="1"/>
    <col min="3849" max="3849" width="12.26171875" customWidth="1"/>
    <col min="3850" max="3850" width="20.26171875" customWidth="1"/>
    <col min="3851" max="3851" width="13.83984375" customWidth="1"/>
    <col min="3852" max="3852" width="8" customWidth="1"/>
    <col min="4097" max="4097" width="30.15625" customWidth="1"/>
    <col min="4098" max="4098" width="15" customWidth="1"/>
    <col min="4099" max="4099" width="14.41796875" customWidth="1"/>
    <col min="4100" max="4100" width="29.15625" customWidth="1"/>
    <col min="4101" max="4101" width="24.578125" customWidth="1"/>
    <col min="4102" max="4102" width="13.15625" customWidth="1"/>
    <col min="4103" max="4103" width="8.68359375" customWidth="1"/>
    <col min="4104" max="4104" width="8" customWidth="1"/>
    <col min="4105" max="4105" width="12.26171875" customWidth="1"/>
    <col min="4106" max="4106" width="20.26171875" customWidth="1"/>
    <col min="4107" max="4107" width="13.83984375" customWidth="1"/>
    <col min="4108" max="4108" width="8" customWidth="1"/>
    <col min="4353" max="4353" width="30.15625" customWidth="1"/>
    <col min="4354" max="4354" width="15" customWidth="1"/>
    <col min="4355" max="4355" width="14.41796875" customWidth="1"/>
    <col min="4356" max="4356" width="29.15625" customWidth="1"/>
    <col min="4357" max="4357" width="24.578125" customWidth="1"/>
    <col min="4358" max="4358" width="13.15625" customWidth="1"/>
    <col min="4359" max="4359" width="8.68359375" customWidth="1"/>
    <col min="4360" max="4360" width="8" customWidth="1"/>
    <col min="4361" max="4361" width="12.26171875" customWidth="1"/>
    <col min="4362" max="4362" width="20.26171875" customWidth="1"/>
    <col min="4363" max="4363" width="13.83984375" customWidth="1"/>
    <col min="4364" max="4364" width="8" customWidth="1"/>
    <col min="4609" max="4609" width="30.15625" customWidth="1"/>
    <col min="4610" max="4610" width="15" customWidth="1"/>
    <col min="4611" max="4611" width="14.41796875" customWidth="1"/>
    <col min="4612" max="4612" width="29.15625" customWidth="1"/>
    <col min="4613" max="4613" width="24.578125" customWidth="1"/>
    <col min="4614" max="4614" width="13.15625" customWidth="1"/>
    <col min="4615" max="4615" width="8.68359375" customWidth="1"/>
    <col min="4616" max="4616" width="8" customWidth="1"/>
    <col min="4617" max="4617" width="12.26171875" customWidth="1"/>
    <col min="4618" max="4618" width="20.26171875" customWidth="1"/>
    <col min="4619" max="4619" width="13.83984375" customWidth="1"/>
    <col min="4620" max="4620" width="8" customWidth="1"/>
    <col min="4865" max="4865" width="30.15625" customWidth="1"/>
    <col min="4866" max="4866" width="15" customWidth="1"/>
    <col min="4867" max="4867" width="14.41796875" customWidth="1"/>
    <col min="4868" max="4868" width="29.15625" customWidth="1"/>
    <col min="4869" max="4869" width="24.578125" customWidth="1"/>
    <col min="4870" max="4870" width="13.15625" customWidth="1"/>
    <col min="4871" max="4871" width="8.68359375" customWidth="1"/>
    <col min="4872" max="4872" width="8" customWidth="1"/>
    <col min="4873" max="4873" width="12.26171875" customWidth="1"/>
    <col min="4874" max="4874" width="20.26171875" customWidth="1"/>
    <col min="4875" max="4875" width="13.83984375" customWidth="1"/>
    <col min="4876" max="4876" width="8" customWidth="1"/>
    <col min="5121" max="5121" width="30.15625" customWidth="1"/>
    <col min="5122" max="5122" width="15" customWidth="1"/>
    <col min="5123" max="5123" width="14.41796875" customWidth="1"/>
    <col min="5124" max="5124" width="29.15625" customWidth="1"/>
    <col min="5125" max="5125" width="24.578125" customWidth="1"/>
    <col min="5126" max="5126" width="13.15625" customWidth="1"/>
    <col min="5127" max="5127" width="8.68359375" customWidth="1"/>
    <col min="5128" max="5128" width="8" customWidth="1"/>
    <col min="5129" max="5129" width="12.26171875" customWidth="1"/>
    <col min="5130" max="5130" width="20.26171875" customWidth="1"/>
    <col min="5131" max="5131" width="13.83984375" customWidth="1"/>
    <col min="5132" max="5132" width="8" customWidth="1"/>
    <col min="5377" max="5377" width="30.15625" customWidth="1"/>
    <col min="5378" max="5378" width="15" customWidth="1"/>
    <col min="5379" max="5379" width="14.41796875" customWidth="1"/>
    <col min="5380" max="5380" width="29.15625" customWidth="1"/>
    <col min="5381" max="5381" width="24.578125" customWidth="1"/>
    <col min="5382" max="5382" width="13.15625" customWidth="1"/>
    <col min="5383" max="5383" width="8.68359375" customWidth="1"/>
    <col min="5384" max="5384" width="8" customWidth="1"/>
    <col min="5385" max="5385" width="12.26171875" customWidth="1"/>
    <col min="5386" max="5386" width="20.26171875" customWidth="1"/>
    <col min="5387" max="5387" width="13.83984375" customWidth="1"/>
    <col min="5388" max="5388" width="8" customWidth="1"/>
    <col min="5633" max="5633" width="30.15625" customWidth="1"/>
    <col min="5634" max="5634" width="15" customWidth="1"/>
    <col min="5635" max="5635" width="14.41796875" customWidth="1"/>
    <col min="5636" max="5636" width="29.15625" customWidth="1"/>
    <col min="5637" max="5637" width="24.578125" customWidth="1"/>
    <col min="5638" max="5638" width="13.15625" customWidth="1"/>
    <col min="5639" max="5639" width="8.68359375" customWidth="1"/>
    <col min="5640" max="5640" width="8" customWidth="1"/>
    <col min="5641" max="5641" width="12.26171875" customWidth="1"/>
    <col min="5642" max="5642" width="20.26171875" customWidth="1"/>
    <col min="5643" max="5643" width="13.83984375" customWidth="1"/>
    <col min="5644" max="5644" width="8" customWidth="1"/>
    <col min="5889" max="5889" width="30.15625" customWidth="1"/>
    <col min="5890" max="5890" width="15" customWidth="1"/>
    <col min="5891" max="5891" width="14.41796875" customWidth="1"/>
    <col min="5892" max="5892" width="29.15625" customWidth="1"/>
    <col min="5893" max="5893" width="24.578125" customWidth="1"/>
    <col min="5894" max="5894" width="13.15625" customWidth="1"/>
    <col min="5895" max="5895" width="8.68359375" customWidth="1"/>
    <col min="5896" max="5896" width="8" customWidth="1"/>
    <col min="5897" max="5897" width="12.26171875" customWidth="1"/>
    <col min="5898" max="5898" width="20.26171875" customWidth="1"/>
    <col min="5899" max="5899" width="13.83984375" customWidth="1"/>
    <col min="5900" max="5900" width="8" customWidth="1"/>
    <col min="6145" max="6145" width="30.15625" customWidth="1"/>
    <col min="6146" max="6146" width="15" customWidth="1"/>
    <col min="6147" max="6147" width="14.41796875" customWidth="1"/>
    <col min="6148" max="6148" width="29.15625" customWidth="1"/>
    <col min="6149" max="6149" width="24.578125" customWidth="1"/>
    <col min="6150" max="6150" width="13.15625" customWidth="1"/>
    <col min="6151" max="6151" width="8.68359375" customWidth="1"/>
    <col min="6152" max="6152" width="8" customWidth="1"/>
    <col min="6153" max="6153" width="12.26171875" customWidth="1"/>
    <col min="6154" max="6154" width="20.26171875" customWidth="1"/>
    <col min="6155" max="6155" width="13.83984375" customWidth="1"/>
    <col min="6156" max="6156" width="8" customWidth="1"/>
    <col min="6401" max="6401" width="30.15625" customWidth="1"/>
    <col min="6402" max="6402" width="15" customWidth="1"/>
    <col min="6403" max="6403" width="14.41796875" customWidth="1"/>
    <col min="6404" max="6404" width="29.15625" customWidth="1"/>
    <col min="6405" max="6405" width="24.578125" customWidth="1"/>
    <col min="6406" max="6406" width="13.15625" customWidth="1"/>
    <col min="6407" max="6407" width="8.68359375" customWidth="1"/>
    <col min="6408" max="6408" width="8" customWidth="1"/>
    <col min="6409" max="6409" width="12.26171875" customWidth="1"/>
    <col min="6410" max="6410" width="20.26171875" customWidth="1"/>
    <col min="6411" max="6411" width="13.83984375" customWidth="1"/>
    <col min="6412" max="6412" width="8" customWidth="1"/>
    <col min="6657" max="6657" width="30.15625" customWidth="1"/>
    <col min="6658" max="6658" width="15" customWidth="1"/>
    <col min="6659" max="6659" width="14.41796875" customWidth="1"/>
    <col min="6660" max="6660" width="29.15625" customWidth="1"/>
    <col min="6661" max="6661" width="24.578125" customWidth="1"/>
    <col min="6662" max="6662" width="13.15625" customWidth="1"/>
    <col min="6663" max="6663" width="8.68359375" customWidth="1"/>
    <col min="6664" max="6664" width="8" customWidth="1"/>
    <col min="6665" max="6665" width="12.26171875" customWidth="1"/>
    <col min="6666" max="6666" width="20.26171875" customWidth="1"/>
    <col min="6667" max="6667" width="13.83984375" customWidth="1"/>
    <col min="6668" max="6668" width="8" customWidth="1"/>
    <col min="6913" max="6913" width="30.15625" customWidth="1"/>
    <col min="6914" max="6914" width="15" customWidth="1"/>
    <col min="6915" max="6915" width="14.41796875" customWidth="1"/>
    <col min="6916" max="6916" width="29.15625" customWidth="1"/>
    <col min="6917" max="6917" width="24.578125" customWidth="1"/>
    <col min="6918" max="6918" width="13.15625" customWidth="1"/>
    <col min="6919" max="6919" width="8.68359375" customWidth="1"/>
    <col min="6920" max="6920" width="8" customWidth="1"/>
    <col min="6921" max="6921" width="12.26171875" customWidth="1"/>
    <col min="6922" max="6922" width="20.26171875" customWidth="1"/>
    <col min="6923" max="6923" width="13.83984375" customWidth="1"/>
    <col min="6924" max="6924" width="8" customWidth="1"/>
    <col min="7169" max="7169" width="30.15625" customWidth="1"/>
    <col min="7170" max="7170" width="15" customWidth="1"/>
    <col min="7171" max="7171" width="14.41796875" customWidth="1"/>
    <col min="7172" max="7172" width="29.15625" customWidth="1"/>
    <col min="7173" max="7173" width="24.578125" customWidth="1"/>
    <col min="7174" max="7174" width="13.15625" customWidth="1"/>
    <col min="7175" max="7175" width="8.68359375" customWidth="1"/>
    <col min="7176" max="7176" width="8" customWidth="1"/>
    <col min="7177" max="7177" width="12.26171875" customWidth="1"/>
    <col min="7178" max="7178" width="20.26171875" customWidth="1"/>
    <col min="7179" max="7179" width="13.83984375" customWidth="1"/>
    <col min="7180" max="7180" width="8" customWidth="1"/>
    <col min="7425" max="7425" width="30.15625" customWidth="1"/>
    <col min="7426" max="7426" width="15" customWidth="1"/>
    <col min="7427" max="7427" width="14.41796875" customWidth="1"/>
    <col min="7428" max="7428" width="29.15625" customWidth="1"/>
    <col min="7429" max="7429" width="24.578125" customWidth="1"/>
    <col min="7430" max="7430" width="13.15625" customWidth="1"/>
    <col min="7431" max="7431" width="8.68359375" customWidth="1"/>
    <col min="7432" max="7432" width="8" customWidth="1"/>
    <col min="7433" max="7433" width="12.26171875" customWidth="1"/>
    <col min="7434" max="7434" width="20.26171875" customWidth="1"/>
    <col min="7435" max="7435" width="13.83984375" customWidth="1"/>
    <col min="7436" max="7436" width="8" customWidth="1"/>
    <col min="7681" max="7681" width="30.15625" customWidth="1"/>
    <col min="7682" max="7682" width="15" customWidth="1"/>
    <col min="7683" max="7683" width="14.41796875" customWidth="1"/>
    <col min="7684" max="7684" width="29.15625" customWidth="1"/>
    <col min="7685" max="7685" width="24.578125" customWidth="1"/>
    <col min="7686" max="7686" width="13.15625" customWidth="1"/>
    <col min="7687" max="7687" width="8.68359375" customWidth="1"/>
    <col min="7688" max="7688" width="8" customWidth="1"/>
    <col min="7689" max="7689" width="12.26171875" customWidth="1"/>
    <col min="7690" max="7690" width="20.26171875" customWidth="1"/>
    <col min="7691" max="7691" width="13.83984375" customWidth="1"/>
    <col min="7692" max="7692" width="8" customWidth="1"/>
    <col min="7937" max="7937" width="30.15625" customWidth="1"/>
    <col min="7938" max="7938" width="15" customWidth="1"/>
    <col min="7939" max="7939" width="14.41796875" customWidth="1"/>
    <col min="7940" max="7940" width="29.15625" customWidth="1"/>
    <col min="7941" max="7941" width="24.578125" customWidth="1"/>
    <col min="7942" max="7942" width="13.15625" customWidth="1"/>
    <col min="7943" max="7943" width="8.68359375" customWidth="1"/>
    <col min="7944" max="7944" width="8" customWidth="1"/>
    <col min="7945" max="7945" width="12.26171875" customWidth="1"/>
    <col min="7946" max="7946" width="20.26171875" customWidth="1"/>
    <col min="7947" max="7947" width="13.83984375" customWidth="1"/>
    <col min="7948" max="7948" width="8" customWidth="1"/>
    <col min="8193" max="8193" width="30.15625" customWidth="1"/>
    <col min="8194" max="8194" width="15" customWidth="1"/>
    <col min="8195" max="8195" width="14.41796875" customWidth="1"/>
    <col min="8196" max="8196" width="29.15625" customWidth="1"/>
    <col min="8197" max="8197" width="24.578125" customWidth="1"/>
    <col min="8198" max="8198" width="13.15625" customWidth="1"/>
    <col min="8199" max="8199" width="8.68359375" customWidth="1"/>
    <col min="8200" max="8200" width="8" customWidth="1"/>
    <col min="8201" max="8201" width="12.26171875" customWidth="1"/>
    <col min="8202" max="8202" width="20.26171875" customWidth="1"/>
    <col min="8203" max="8203" width="13.83984375" customWidth="1"/>
    <col min="8204" max="8204" width="8" customWidth="1"/>
    <col min="8449" max="8449" width="30.15625" customWidth="1"/>
    <col min="8450" max="8450" width="15" customWidth="1"/>
    <col min="8451" max="8451" width="14.41796875" customWidth="1"/>
    <col min="8452" max="8452" width="29.15625" customWidth="1"/>
    <col min="8453" max="8453" width="24.578125" customWidth="1"/>
    <col min="8454" max="8454" width="13.15625" customWidth="1"/>
    <col min="8455" max="8455" width="8.68359375" customWidth="1"/>
    <col min="8456" max="8456" width="8" customWidth="1"/>
    <col min="8457" max="8457" width="12.26171875" customWidth="1"/>
    <col min="8458" max="8458" width="20.26171875" customWidth="1"/>
    <col min="8459" max="8459" width="13.83984375" customWidth="1"/>
    <col min="8460" max="8460" width="8" customWidth="1"/>
    <col min="8705" max="8705" width="30.15625" customWidth="1"/>
    <col min="8706" max="8706" width="15" customWidth="1"/>
    <col min="8707" max="8707" width="14.41796875" customWidth="1"/>
    <col min="8708" max="8708" width="29.15625" customWidth="1"/>
    <col min="8709" max="8709" width="24.578125" customWidth="1"/>
    <col min="8710" max="8710" width="13.15625" customWidth="1"/>
    <col min="8711" max="8711" width="8.68359375" customWidth="1"/>
    <col min="8712" max="8712" width="8" customWidth="1"/>
    <col min="8713" max="8713" width="12.26171875" customWidth="1"/>
    <col min="8714" max="8714" width="20.26171875" customWidth="1"/>
    <col min="8715" max="8715" width="13.83984375" customWidth="1"/>
    <col min="8716" max="8716" width="8" customWidth="1"/>
    <col min="8961" max="8961" width="30.15625" customWidth="1"/>
    <col min="8962" max="8962" width="15" customWidth="1"/>
    <col min="8963" max="8963" width="14.41796875" customWidth="1"/>
    <col min="8964" max="8964" width="29.15625" customWidth="1"/>
    <col min="8965" max="8965" width="24.578125" customWidth="1"/>
    <col min="8966" max="8966" width="13.15625" customWidth="1"/>
    <col min="8967" max="8967" width="8.68359375" customWidth="1"/>
    <col min="8968" max="8968" width="8" customWidth="1"/>
    <col min="8969" max="8969" width="12.26171875" customWidth="1"/>
    <col min="8970" max="8970" width="20.26171875" customWidth="1"/>
    <col min="8971" max="8971" width="13.83984375" customWidth="1"/>
    <col min="8972" max="8972" width="8" customWidth="1"/>
    <col min="9217" max="9217" width="30.15625" customWidth="1"/>
    <col min="9218" max="9218" width="15" customWidth="1"/>
    <col min="9219" max="9219" width="14.41796875" customWidth="1"/>
    <col min="9220" max="9220" width="29.15625" customWidth="1"/>
    <col min="9221" max="9221" width="24.578125" customWidth="1"/>
    <col min="9222" max="9222" width="13.15625" customWidth="1"/>
    <col min="9223" max="9223" width="8.68359375" customWidth="1"/>
    <col min="9224" max="9224" width="8" customWidth="1"/>
    <col min="9225" max="9225" width="12.26171875" customWidth="1"/>
    <col min="9226" max="9226" width="20.26171875" customWidth="1"/>
    <col min="9227" max="9227" width="13.83984375" customWidth="1"/>
    <col min="9228" max="9228" width="8" customWidth="1"/>
    <col min="9473" max="9473" width="30.15625" customWidth="1"/>
    <col min="9474" max="9474" width="15" customWidth="1"/>
    <col min="9475" max="9475" width="14.41796875" customWidth="1"/>
    <col min="9476" max="9476" width="29.15625" customWidth="1"/>
    <col min="9477" max="9477" width="24.578125" customWidth="1"/>
    <col min="9478" max="9478" width="13.15625" customWidth="1"/>
    <col min="9479" max="9479" width="8.68359375" customWidth="1"/>
    <col min="9480" max="9480" width="8" customWidth="1"/>
    <col min="9481" max="9481" width="12.26171875" customWidth="1"/>
    <col min="9482" max="9482" width="20.26171875" customWidth="1"/>
    <col min="9483" max="9483" width="13.83984375" customWidth="1"/>
    <col min="9484" max="9484" width="8" customWidth="1"/>
    <col min="9729" max="9729" width="30.15625" customWidth="1"/>
    <col min="9730" max="9730" width="15" customWidth="1"/>
    <col min="9731" max="9731" width="14.41796875" customWidth="1"/>
    <col min="9732" max="9732" width="29.15625" customWidth="1"/>
    <col min="9733" max="9733" width="24.578125" customWidth="1"/>
    <col min="9734" max="9734" width="13.15625" customWidth="1"/>
    <col min="9735" max="9735" width="8.68359375" customWidth="1"/>
    <col min="9736" max="9736" width="8" customWidth="1"/>
    <col min="9737" max="9737" width="12.26171875" customWidth="1"/>
    <col min="9738" max="9738" width="20.26171875" customWidth="1"/>
    <col min="9739" max="9739" width="13.83984375" customWidth="1"/>
    <col min="9740" max="9740" width="8" customWidth="1"/>
    <col min="9985" max="9985" width="30.15625" customWidth="1"/>
    <col min="9986" max="9986" width="15" customWidth="1"/>
    <col min="9987" max="9987" width="14.41796875" customWidth="1"/>
    <col min="9988" max="9988" width="29.15625" customWidth="1"/>
    <col min="9989" max="9989" width="24.578125" customWidth="1"/>
    <col min="9990" max="9990" width="13.15625" customWidth="1"/>
    <col min="9991" max="9991" width="8.68359375" customWidth="1"/>
    <col min="9992" max="9992" width="8" customWidth="1"/>
    <col min="9993" max="9993" width="12.26171875" customWidth="1"/>
    <col min="9994" max="9994" width="20.26171875" customWidth="1"/>
    <col min="9995" max="9995" width="13.83984375" customWidth="1"/>
    <col min="9996" max="9996" width="8" customWidth="1"/>
    <col min="10241" max="10241" width="30.15625" customWidth="1"/>
    <col min="10242" max="10242" width="15" customWidth="1"/>
    <col min="10243" max="10243" width="14.41796875" customWidth="1"/>
    <col min="10244" max="10244" width="29.15625" customWidth="1"/>
    <col min="10245" max="10245" width="24.578125" customWidth="1"/>
    <col min="10246" max="10246" width="13.15625" customWidth="1"/>
    <col min="10247" max="10247" width="8.68359375" customWidth="1"/>
    <col min="10248" max="10248" width="8" customWidth="1"/>
    <col min="10249" max="10249" width="12.26171875" customWidth="1"/>
    <col min="10250" max="10250" width="20.26171875" customWidth="1"/>
    <col min="10251" max="10251" width="13.83984375" customWidth="1"/>
    <col min="10252" max="10252" width="8" customWidth="1"/>
    <col min="10497" max="10497" width="30.15625" customWidth="1"/>
    <col min="10498" max="10498" width="15" customWidth="1"/>
    <col min="10499" max="10499" width="14.41796875" customWidth="1"/>
    <col min="10500" max="10500" width="29.15625" customWidth="1"/>
    <col min="10501" max="10501" width="24.578125" customWidth="1"/>
    <col min="10502" max="10502" width="13.15625" customWidth="1"/>
    <col min="10503" max="10503" width="8.68359375" customWidth="1"/>
    <col min="10504" max="10504" width="8" customWidth="1"/>
    <col min="10505" max="10505" width="12.26171875" customWidth="1"/>
    <col min="10506" max="10506" width="20.26171875" customWidth="1"/>
    <col min="10507" max="10507" width="13.83984375" customWidth="1"/>
    <col min="10508" max="10508" width="8" customWidth="1"/>
    <col min="10753" max="10753" width="30.15625" customWidth="1"/>
    <col min="10754" max="10754" width="15" customWidth="1"/>
    <col min="10755" max="10755" width="14.41796875" customWidth="1"/>
    <col min="10756" max="10756" width="29.15625" customWidth="1"/>
    <col min="10757" max="10757" width="24.578125" customWidth="1"/>
    <col min="10758" max="10758" width="13.15625" customWidth="1"/>
    <col min="10759" max="10759" width="8.68359375" customWidth="1"/>
    <col min="10760" max="10760" width="8" customWidth="1"/>
    <col min="10761" max="10761" width="12.26171875" customWidth="1"/>
    <col min="10762" max="10762" width="20.26171875" customWidth="1"/>
    <col min="10763" max="10763" width="13.83984375" customWidth="1"/>
    <col min="10764" max="10764" width="8" customWidth="1"/>
    <col min="11009" max="11009" width="30.15625" customWidth="1"/>
    <col min="11010" max="11010" width="15" customWidth="1"/>
    <col min="11011" max="11011" width="14.41796875" customWidth="1"/>
    <col min="11012" max="11012" width="29.15625" customWidth="1"/>
    <col min="11013" max="11013" width="24.578125" customWidth="1"/>
    <col min="11014" max="11014" width="13.15625" customWidth="1"/>
    <col min="11015" max="11015" width="8.68359375" customWidth="1"/>
    <col min="11016" max="11016" width="8" customWidth="1"/>
    <col min="11017" max="11017" width="12.26171875" customWidth="1"/>
    <col min="11018" max="11018" width="20.26171875" customWidth="1"/>
    <col min="11019" max="11019" width="13.83984375" customWidth="1"/>
    <col min="11020" max="11020" width="8" customWidth="1"/>
    <col min="11265" max="11265" width="30.15625" customWidth="1"/>
    <col min="11266" max="11266" width="15" customWidth="1"/>
    <col min="11267" max="11267" width="14.41796875" customWidth="1"/>
    <col min="11268" max="11268" width="29.15625" customWidth="1"/>
    <col min="11269" max="11269" width="24.578125" customWidth="1"/>
    <col min="11270" max="11270" width="13.15625" customWidth="1"/>
    <col min="11271" max="11271" width="8.68359375" customWidth="1"/>
    <col min="11272" max="11272" width="8" customWidth="1"/>
    <col min="11273" max="11273" width="12.26171875" customWidth="1"/>
    <col min="11274" max="11274" width="20.26171875" customWidth="1"/>
    <col min="11275" max="11275" width="13.83984375" customWidth="1"/>
    <col min="11276" max="11276" width="8" customWidth="1"/>
    <col min="11521" max="11521" width="30.15625" customWidth="1"/>
    <col min="11522" max="11522" width="15" customWidth="1"/>
    <col min="11523" max="11523" width="14.41796875" customWidth="1"/>
    <col min="11524" max="11524" width="29.15625" customWidth="1"/>
    <col min="11525" max="11525" width="24.578125" customWidth="1"/>
    <col min="11526" max="11526" width="13.15625" customWidth="1"/>
    <col min="11527" max="11527" width="8.68359375" customWidth="1"/>
    <col min="11528" max="11528" width="8" customWidth="1"/>
    <col min="11529" max="11529" width="12.26171875" customWidth="1"/>
    <col min="11530" max="11530" width="20.26171875" customWidth="1"/>
    <col min="11531" max="11531" width="13.83984375" customWidth="1"/>
    <col min="11532" max="11532" width="8" customWidth="1"/>
    <col min="11777" max="11777" width="30.15625" customWidth="1"/>
    <col min="11778" max="11778" width="15" customWidth="1"/>
    <col min="11779" max="11779" width="14.41796875" customWidth="1"/>
    <col min="11780" max="11780" width="29.15625" customWidth="1"/>
    <col min="11781" max="11781" width="24.578125" customWidth="1"/>
    <col min="11782" max="11782" width="13.15625" customWidth="1"/>
    <col min="11783" max="11783" width="8.68359375" customWidth="1"/>
    <col min="11784" max="11784" width="8" customWidth="1"/>
    <col min="11785" max="11785" width="12.26171875" customWidth="1"/>
    <col min="11786" max="11786" width="20.26171875" customWidth="1"/>
    <col min="11787" max="11787" width="13.83984375" customWidth="1"/>
    <col min="11788" max="11788" width="8" customWidth="1"/>
    <col min="12033" max="12033" width="30.15625" customWidth="1"/>
    <col min="12034" max="12034" width="15" customWidth="1"/>
    <col min="12035" max="12035" width="14.41796875" customWidth="1"/>
    <col min="12036" max="12036" width="29.15625" customWidth="1"/>
    <col min="12037" max="12037" width="24.578125" customWidth="1"/>
    <col min="12038" max="12038" width="13.15625" customWidth="1"/>
    <col min="12039" max="12039" width="8.68359375" customWidth="1"/>
    <col min="12040" max="12040" width="8" customWidth="1"/>
    <col min="12041" max="12041" width="12.26171875" customWidth="1"/>
    <col min="12042" max="12042" width="20.26171875" customWidth="1"/>
    <col min="12043" max="12043" width="13.83984375" customWidth="1"/>
    <col min="12044" max="12044" width="8" customWidth="1"/>
    <col min="12289" max="12289" width="30.15625" customWidth="1"/>
    <col min="12290" max="12290" width="15" customWidth="1"/>
    <col min="12291" max="12291" width="14.41796875" customWidth="1"/>
    <col min="12292" max="12292" width="29.15625" customWidth="1"/>
    <col min="12293" max="12293" width="24.578125" customWidth="1"/>
    <col min="12294" max="12294" width="13.15625" customWidth="1"/>
    <col min="12295" max="12295" width="8.68359375" customWidth="1"/>
    <col min="12296" max="12296" width="8" customWidth="1"/>
    <col min="12297" max="12297" width="12.26171875" customWidth="1"/>
    <col min="12298" max="12298" width="20.26171875" customWidth="1"/>
    <col min="12299" max="12299" width="13.83984375" customWidth="1"/>
    <col min="12300" max="12300" width="8" customWidth="1"/>
    <col min="12545" max="12545" width="30.15625" customWidth="1"/>
    <col min="12546" max="12546" width="15" customWidth="1"/>
    <col min="12547" max="12547" width="14.41796875" customWidth="1"/>
    <col min="12548" max="12548" width="29.15625" customWidth="1"/>
    <col min="12549" max="12549" width="24.578125" customWidth="1"/>
    <col min="12550" max="12550" width="13.15625" customWidth="1"/>
    <col min="12551" max="12551" width="8.68359375" customWidth="1"/>
    <col min="12552" max="12552" width="8" customWidth="1"/>
    <col min="12553" max="12553" width="12.26171875" customWidth="1"/>
    <col min="12554" max="12554" width="20.26171875" customWidth="1"/>
    <col min="12555" max="12555" width="13.83984375" customWidth="1"/>
    <col min="12556" max="12556" width="8" customWidth="1"/>
    <col min="12801" max="12801" width="30.15625" customWidth="1"/>
    <col min="12802" max="12802" width="15" customWidth="1"/>
    <col min="12803" max="12803" width="14.41796875" customWidth="1"/>
    <col min="12804" max="12804" width="29.15625" customWidth="1"/>
    <col min="12805" max="12805" width="24.578125" customWidth="1"/>
    <col min="12806" max="12806" width="13.15625" customWidth="1"/>
    <col min="12807" max="12807" width="8.68359375" customWidth="1"/>
    <col min="12808" max="12808" width="8" customWidth="1"/>
    <col min="12809" max="12809" width="12.26171875" customWidth="1"/>
    <col min="12810" max="12810" width="20.26171875" customWidth="1"/>
    <col min="12811" max="12811" width="13.83984375" customWidth="1"/>
    <col min="12812" max="12812" width="8" customWidth="1"/>
    <col min="13057" max="13057" width="30.15625" customWidth="1"/>
    <col min="13058" max="13058" width="15" customWidth="1"/>
    <col min="13059" max="13059" width="14.41796875" customWidth="1"/>
    <col min="13060" max="13060" width="29.15625" customWidth="1"/>
    <col min="13061" max="13061" width="24.578125" customWidth="1"/>
    <col min="13062" max="13062" width="13.15625" customWidth="1"/>
    <col min="13063" max="13063" width="8.68359375" customWidth="1"/>
    <col min="13064" max="13064" width="8" customWidth="1"/>
    <col min="13065" max="13065" width="12.26171875" customWidth="1"/>
    <col min="13066" max="13066" width="20.26171875" customWidth="1"/>
    <col min="13067" max="13067" width="13.83984375" customWidth="1"/>
    <col min="13068" max="13068" width="8" customWidth="1"/>
    <col min="13313" max="13313" width="30.15625" customWidth="1"/>
    <col min="13314" max="13314" width="15" customWidth="1"/>
    <col min="13315" max="13315" width="14.41796875" customWidth="1"/>
    <col min="13316" max="13316" width="29.15625" customWidth="1"/>
    <col min="13317" max="13317" width="24.578125" customWidth="1"/>
    <col min="13318" max="13318" width="13.15625" customWidth="1"/>
    <col min="13319" max="13319" width="8.68359375" customWidth="1"/>
    <col min="13320" max="13320" width="8" customWidth="1"/>
    <col min="13321" max="13321" width="12.26171875" customWidth="1"/>
    <col min="13322" max="13322" width="20.26171875" customWidth="1"/>
    <col min="13323" max="13323" width="13.83984375" customWidth="1"/>
    <col min="13324" max="13324" width="8" customWidth="1"/>
    <col min="13569" max="13569" width="30.15625" customWidth="1"/>
    <col min="13570" max="13570" width="15" customWidth="1"/>
    <col min="13571" max="13571" width="14.41796875" customWidth="1"/>
    <col min="13572" max="13572" width="29.15625" customWidth="1"/>
    <col min="13573" max="13573" width="24.578125" customWidth="1"/>
    <col min="13574" max="13574" width="13.15625" customWidth="1"/>
    <col min="13575" max="13575" width="8.68359375" customWidth="1"/>
    <col min="13576" max="13576" width="8" customWidth="1"/>
    <col min="13577" max="13577" width="12.26171875" customWidth="1"/>
    <col min="13578" max="13578" width="20.26171875" customWidth="1"/>
    <col min="13579" max="13579" width="13.83984375" customWidth="1"/>
    <col min="13580" max="13580" width="8" customWidth="1"/>
    <col min="13825" max="13825" width="30.15625" customWidth="1"/>
    <col min="13826" max="13826" width="15" customWidth="1"/>
    <col min="13827" max="13827" width="14.41796875" customWidth="1"/>
    <col min="13828" max="13828" width="29.15625" customWidth="1"/>
    <col min="13829" max="13829" width="24.578125" customWidth="1"/>
    <col min="13830" max="13830" width="13.15625" customWidth="1"/>
    <col min="13831" max="13831" width="8.68359375" customWidth="1"/>
    <col min="13832" max="13832" width="8" customWidth="1"/>
    <col min="13833" max="13833" width="12.26171875" customWidth="1"/>
    <col min="13834" max="13834" width="20.26171875" customWidth="1"/>
    <col min="13835" max="13835" width="13.83984375" customWidth="1"/>
    <col min="13836" max="13836" width="8" customWidth="1"/>
    <col min="14081" max="14081" width="30.15625" customWidth="1"/>
    <col min="14082" max="14082" width="15" customWidth="1"/>
    <col min="14083" max="14083" width="14.41796875" customWidth="1"/>
    <col min="14084" max="14084" width="29.15625" customWidth="1"/>
    <col min="14085" max="14085" width="24.578125" customWidth="1"/>
    <col min="14086" max="14086" width="13.15625" customWidth="1"/>
    <col min="14087" max="14087" width="8.68359375" customWidth="1"/>
    <col min="14088" max="14088" width="8" customWidth="1"/>
    <col min="14089" max="14089" width="12.26171875" customWidth="1"/>
    <col min="14090" max="14090" width="20.26171875" customWidth="1"/>
    <col min="14091" max="14091" width="13.83984375" customWidth="1"/>
    <col min="14092" max="14092" width="8" customWidth="1"/>
    <col min="14337" max="14337" width="30.15625" customWidth="1"/>
    <col min="14338" max="14338" width="15" customWidth="1"/>
    <col min="14339" max="14339" width="14.41796875" customWidth="1"/>
    <col min="14340" max="14340" width="29.15625" customWidth="1"/>
    <col min="14341" max="14341" width="24.578125" customWidth="1"/>
    <col min="14342" max="14342" width="13.15625" customWidth="1"/>
    <col min="14343" max="14343" width="8.68359375" customWidth="1"/>
    <col min="14344" max="14344" width="8" customWidth="1"/>
    <col min="14345" max="14345" width="12.26171875" customWidth="1"/>
    <col min="14346" max="14346" width="20.26171875" customWidth="1"/>
    <col min="14347" max="14347" width="13.83984375" customWidth="1"/>
    <col min="14348" max="14348" width="8" customWidth="1"/>
    <col min="14593" max="14593" width="30.15625" customWidth="1"/>
    <col min="14594" max="14594" width="15" customWidth="1"/>
    <col min="14595" max="14595" width="14.41796875" customWidth="1"/>
    <col min="14596" max="14596" width="29.15625" customWidth="1"/>
    <col min="14597" max="14597" width="24.578125" customWidth="1"/>
    <col min="14598" max="14598" width="13.15625" customWidth="1"/>
    <col min="14599" max="14599" width="8.68359375" customWidth="1"/>
    <col min="14600" max="14600" width="8" customWidth="1"/>
    <col min="14601" max="14601" width="12.26171875" customWidth="1"/>
    <col min="14602" max="14602" width="20.26171875" customWidth="1"/>
    <col min="14603" max="14603" width="13.83984375" customWidth="1"/>
    <col min="14604" max="14604" width="8" customWidth="1"/>
    <col min="14849" max="14849" width="30.15625" customWidth="1"/>
    <col min="14850" max="14850" width="15" customWidth="1"/>
    <col min="14851" max="14851" width="14.41796875" customWidth="1"/>
    <col min="14852" max="14852" width="29.15625" customWidth="1"/>
    <col min="14853" max="14853" width="24.578125" customWidth="1"/>
    <col min="14854" max="14854" width="13.15625" customWidth="1"/>
    <col min="14855" max="14855" width="8.68359375" customWidth="1"/>
    <col min="14856" max="14856" width="8" customWidth="1"/>
    <col min="14857" max="14857" width="12.26171875" customWidth="1"/>
    <col min="14858" max="14858" width="20.26171875" customWidth="1"/>
    <col min="14859" max="14859" width="13.83984375" customWidth="1"/>
    <col min="14860" max="14860" width="8" customWidth="1"/>
    <col min="15105" max="15105" width="30.15625" customWidth="1"/>
    <col min="15106" max="15106" width="15" customWidth="1"/>
    <col min="15107" max="15107" width="14.41796875" customWidth="1"/>
    <col min="15108" max="15108" width="29.15625" customWidth="1"/>
    <col min="15109" max="15109" width="24.578125" customWidth="1"/>
    <col min="15110" max="15110" width="13.15625" customWidth="1"/>
    <col min="15111" max="15111" width="8.68359375" customWidth="1"/>
    <col min="15112" max="15112" width="8" customWidth="1"/>
    <col min="15113" max="15113" width="12.26171875" customWidth="1"/>
    <col min="15114" max="15114" width="20.26171875" customWidth="1"/>
    <col min="15115" max="15115" width="13.83984375" customWidth="1"/>
    <col min="15116" max="15116" width="8" customWidth="1"/>
    <col min="15361" max="15361" width="30.15625" customWidth="1"/>
    <col min="15362" max="15362" width="15" customWidth="1"/>
    <col min="15363" max="15363" width="14.41796875" customWidth="1"/>
    <col min="15364" max="15364" width="29.15625" customWidth="1"/>
    <col min="15365" max="15365" width="24.578125" customWidth="1"/>
    <col min="15366" max="15366" width="13.15625" customWidth="1"/>
    <col min="15367" max="15367" width="8.68359375" customWidth="1"/>
    <col min="15368" max="15368" width="8" customWidth="1"/>
    <col min="15369" max="15369" width="12.26171875" customWidth="1"/>
    <col min="15370" max="15370" width="20.26171875" customWidth="1"/>
    <col min="15371" max="15371" width="13.83984375" customWidth="1"/>
    <col min="15372" max="15372" width="8" customWidth="1"/>
    <col min="15617" max="15617" width="30.15625" customWidth="1"/>
    <col min="15618" max="15618" width="15" customWidth="1"/>
    <col min="15619" max="15619" width="14.41796875" customWidth="1"/>
    <col min="15620" max="15620" width="29.15625" customWidth="1"/>
    <col min="15621" max="15621" width="24.578125" customWidth="1"/>
    <col min="15622" max="15622" width="13.15625" customWidth="1"/>
    <col min="15623" max="15623" width="8.68359375" customWidth="1"/>
    <col min="15624" max="15624" width="8" customWidth="1"/>
    <col min="15625" max="15625" width="12.26171875" customWidth="1"/>
    <col min="15626" max="15626" width="20.26171875" customWidth="1"/>
    <col min="15627" max="15627" width="13.83984375" customWidth="1"/>
    <col min="15628" max="15628" width="8" customWidth="1"/>
    <col min="15873" max="15873" width="30.15625" customWidth="1"/>
    <col min="15874" max="15874" width="15" customWidth="1"/>
    <col min="15875" max="15875" width="14.41796875" customWidth="1"/>
    <col min="15876" max="15876" width="29.15625" customWidth="1"/>
    <col min="15877" max="15877" width="24.578125" customWidth="1"/>
    <col min="15878" max="15878" width="13.15625" customWidth="1"/>
    <col min="15879" max="15879" width="8.68359375" customWidth="1"/>
    <col min="15880" max="15880" width="8" customWidth="1"/>
    <col min="15881" max="15881" width="12.26171875" customWidth="1"/>
    <col min="15882" max="15882" width="20.26171875" customWidth="1"/>
    <col min="15883" max="15883" width="13.83984375" customWidth="1"/>
    <col min="15884" max="15884" width="8" customWidth="1"/>
    <col min="16129" max="16129" width="30.15625" customWidth="1"/>
    <col min="16130" max="16130" width="15" customWidth="1"/>
    <col min="16131" max="16131" width="14.41796875" customWidth="1"/>
    <col min="16132" max="16132" width="29.15625" customWidth="1"/>
    <col min="16133" max="16133" width="24.578125" customWidth="1"/>
    <col min="16134" max="16134" width="13.15625" customWidth="1"/>
    <col min="16135" max="16135" width="8.68359375" customWidth="1"/>
    <col min="16136" max="16136" width="8" customWidth="1"/>
    <col min="16137" max="16137" width="12.26171875" customWidth="1"/>
    <col min="16138" max="16138" width="20.26171875" customWidth="1"/>
    <col min="16139" max="16139" width="13.839843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635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178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229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4.4"/>
  <cols>
    <col min="1" max="2" width="19.578125" customWidth="1"/>
    <col min="3" max="3" width="13.26171875" customWidth="1"/>
    <col min="4" max="4" width="8.26171875" customWidth="1"/>
    <col min="5" max="5" width="12.68359375" customWidth="1"/>
    <col min="6" max="6" width="8" customWidth="1"/>
    <col min="7" max="7" width="12" customWidth="1"/>
    <col min="8" max="8" width="8.41796875" bestFit="1" customWidth="1"/>
    <col min="9" max="9" width="24.83984375" customWidth="1"/>
    <col min="10" max="10" width="13.83984375" customWidth="1"/>
    <col min="11" max="11" width="11.15625" customWidth="1"/>
    <col min="12" max="12" width="19.83984375" customWidth="1"/>
    <col min="13" max="13" width="12.68359375" customWidth="1"/>
    <col min="14" max="14" width="11.26171875" customWidth="1"/>
    <col min="258" max="258" width="19.578125" customWidth="1"/>
    <col min="259" max="259" width="13.26171875" customWidth="1"/>
    <col min="260" max="260" width="8" customWidth="1"/>
    <col min="261" max="261" width="12.68359375" customWidth="1"/>
    <col min="262" max="262" width="8" customWidth="1"/>
    <col min="263" max="263" width="12" customWidth="1"/>
    <col min="265" max="265" width="24.83984375" customWidth="1"/>
    <col min="266" max="266" width="13.83984375" customWidth="1"/>
    <col min="267" max="267" width="11.15625" customWidth="1"/>
    <col min="268" max="268" width="19.83984375" customWidth="1"/>
    <col min="269" max="269" width="12.68359375" customWidth="1"/>
    <col min="514" max="514" width="19.578125" customWidth="1"/>
    <col min="515" max="515" width="13.26171875" customWidth="1"/>
    <col min="516" max="516" width="8" customWidth="1"/>
    <col min="517" max="517" width="12.68359375" customWidth="1"/>
    <col min="518" max="518" width="8" customWidth="1"/>
    <col min="519" max="519" width="12" customWidth="1"/>
    <col min="521" max="521" width="24.83984375" customWidth="1"/>
    <col min="522" max="522" width="13.83984375" customWidth="1"/>
    <col min="523" max="523" width="11.15625" customWidth="1"/>
    <col min="524" max="524" width="19.83984375" customWidth="1"/>
    <col min="525" max="525" width="12.68359375" customWidth="1"/>
    <col min="770" max="770" width="19.578125" customWidth="1"/>
    <col min="771" max="771" width="13.26171875" customWidth="1"/>
    <col min="772" max="772" width="8" customWidth="1"/>
    <col min="773" max="773" width="12.68359375" customWidth="1"/>
    <col min="774" max="774" width="8" customWidth="1"/>
    <col min="775" max="775" width="12" customWidth="1"/>
    <col min="777" max="777" width="24.83984375" customWidth="1"/>
    <col min="778" max="778" width="13.83984375" customWidth="1"/>
    <col min="779" max="779" width="11.15625" customWidth="1"/>
    <col min="780" max="780" width="19.83984375" customWidth="1"/>
    <col min="781" max="781" width="12.68359375" customWidth="1"/>
    <col min="1026" max="1026" width="19.578125" customWidth="1"/>
    <col min="1027" max="1027" width="13.26171875" customWidth="1"/>
    <col min="1028" max="1028" width="8" customWidth="1"/>
    <col min="1029" max="1029" width="12.68359375" customWidth="1"/>
    <col min="1030" max="1030" width="8" customWidth="1"/>
    <col min="1031" max="1031" width="12" customWidth="1"/>
    <col min="1033" max="1033" width="24.83984375" customWidth="1"/>
    <col min="1034" max="1034" width="13.83984375" customWidth="1"/>
    <col min="1035" max="1035" width="11.15625" customWidth="1"/>
    <col min="1036" max="1036" width="19.83984375" customWidth="1"/>
    <col min="1037" max="1037" width="12.68359375" customWidth="1"/>
    <col min="1282" max="1282" width="19.578125" customWidth="1"/>
    <col min="1283" max="1283" width="13.26171875" customWidth="1"/>
    <col min="1284" max="1284" width="8" customWidth="1"/>
    <col min="1285" max="1285" width="12.68359375" customWidth="1"/>
    <col min="1286" max="1286" width="8" customWidth="1"/>
    <col min="1287" max="1287" width="12" customWidth="1"/>
    <col min="1289" max="1289" width="24.83984375" customWidth="1"/>
    <col min="1290" max="1290" width="13.83984375" customWidth="1"/>
    <col min="1291" max="1291" width="11.15625" customWidth="1"/>
    <col min="1292" max="1292" width="19.83984375" customWidth="1"/>
    <col min="1293" max="1293" width="12.68359375" customWidth="1"/>
    <col min="1538" max="1538" width="19.578125" customWidth="1"/>
    <col min="1539" max="1539" width="13.26171875" customWidth="1"/>
    <col min="1540" max="1540" width="8" customWidth="1"/>
    <col min="1541" max="1541" width="12.68359375" customWidth="1"/>
    <col min="1542" max="1542" width="8" customWidth="1"/>
    <col min="1543" max="1543" width="12" customWidth="1"/>
    <col min="1545" max="1545" width="24.83984375" customWidth="1"/>
    <col min="1546" max="1546" width="13.83984375" customWidth="1"/>
    <col min="1547" max="1547" width="11.15625" customWidth="1"/>
    <col min="1548" max="1548" width="19.83984375" customWidth="1"/>
    <col min="1549" max="1549" width="12.68359375" customWidth="1"/>
    <col min="1794" max="1794" width="19.578125" customWidth="1"/>
    <col min="1795" max="1795" width="13.26171875" customWidth="1"/>
    <col min="1796" max="1796" width="8" customWidth="1"/>
    <col min="1797" max="1797" width="12.68359375" customWidth="1"/>
    <col min="1798" max="1798" width="8" customWidth="1"/>
    <col min="1799" max="1799" width="12" customWidth="1"/>
    <col min="1801" max="1801" width="24.83984375" customWidth="1"/>
    <col min="1802" max="1802" width="13.83984375" customWidth="1"/>
    <col min="1803" max="1803" width="11.15625" customWidth="1"/>
    <col min="1804" max="1804" width="19.83984375" customWidth="1"/>
    <col min="1805" max="1805" width="12.68359375" customWidth="1"/>
    <col min="2050" max="2050" width="19.578125" customWidth="1"/>
    <col min="2051" max="2051" width="13.26171875" customWidth="1"/>
    <col min="2052" max="2052" width="8" customWidth="1"/>
    <col min="2053" max="2053" width="12.68359375" customWidth="1"/>
    <col min="2054" max="2054" width="8" customWidth="1"/>
    <col min="2055" max="2055" width="12" customWidth="1"/>
    <col min="2057" max="2057" width="24.83984375" customWidth="1"/>
    <col min="2058" max="2058" width="13.83984375" customWidth="1"/>
    <col min="2059" max="2059" width="11.15625" customWidth="1"/>
    <col min="2060" max="2060" width="19.83984375" customWidth="1"/>
    <col min="2061" max="2061" width="12.68359375" customWidth="1"/>
    <col min="2306" max="2306" width="19.578125" customWidth="1"/>
    <col min="2307" max="2307" width="13.26171875" customWidth="1"/>
    <col min="2308" max="2308" width="8" customWidth="1"/>
    <col min="2309" max="2309" width="12.68359375" customWidth="1"/>
    <col min="2310" max="2310" width="8" customWidth="1"/>
    <col min="2311" max="2311" width="12" customWidth="1"/>
    <col min="2313" max="2313" width="24.83984375" customWidth="1"/>
    <col min="2314" max="2314" width="13.83984375" customWidth="1"/>
    <col min="2315" max="2315" width="11.15625" customWidth="1"/>
    <col min="2316" max="2316" width="19.83984375" customWidth="1"/>
    <col min="2317" max="2317" width="12.68359375" customWidth="1"/>
    <col min="2562" max="2562" width="19.578125" customWidth="1"/>
    <col min="2563" max="2563" width="13.26171875" customWidth="1"/>
    <col min="2564" max="2564" width="8" customWidth="1"/>
    <col min="2565" max="2565" width="12.68359375" customWidth="1"/>
    <col min="2566" max="2566" width="8" customWidth="1"/>
    <col min="2567" max="2567" width="12" customWidth="1"/>
    <col min="2569" max="2569" width="24.83984375" customWidth="1"/>
    <col min="2570" max="2570" width="13.83984375" customWidth="1"/>
    <col min="2571" max="2571" width="11.15625" customWidth="1"/>
    <col min="2572" max="2572" width="19.83984375" customWidth="1"/>
    <col min="2573" max="2573" width="12.68359375" customWidth="1"/>
    <col min="2818" max="2818" width="19.578125" customWidth="1"/>
    <col min="2819" max="2819" width="13.26171875" customWidth="1"/>
    <col min="2820" max="2820" width="8" customWidth="1"/>
    <col min="2821" max="2821" width="12.68359375" customWidth="1"/>
    <col min="2822" max="2822" width="8" customWidth="1"/>
    <col min="2823" max="2823" width="12" customWidth="1"/>
    <col min="2825" max="2825" width="24.83984375" customWidth="1"/>
    <col min="2826" max="2826" width="13.83984375" customWidth="1"/>
    <col min="2827" max="2827" width="11.15625" customWidth="1"/>
    <col min="2828" max="2828" width="19.83984375" customWidth="1"/>
    <col min="2829" max="2829" width="12.68359375" customWidth="1"/>
    <col min="3074" max="3074" width="19.578125" customWidth="1"/>
    <col min="3075" max="3075" width="13.26171875" customWidth="1"/>
    <col min="3076" max="3076" width="8" customWidth="1"/>
    <col min="3077" max="3077" width="12.68359375" customWidth="1"/>
    <col min="3078" max="3078" width="8" customWidth="1"/>
    <col min="3079" max="3079" width="12" customWidth="1"/>
    <col min="3081" max="3081" width="24.83984375" customWidth="1"/>
    <col min="3082" max="3082" width="13.83984375" customWidth="1"/>
    <col min="3083" max="3083" width="11.15625" customWidth="1"/>
    <col min="3084" max="3084" width="19.83984375" customWidth="1"/>
    <col min="3085" max="3085" width="12.68359375" customWidth="1"/>
    <col min="3330" max="3330" width="19.578125" customWidth="1"/>
    <col min="3331" max="3331" width="13.26171875" customWidth="1"/>
    <col min="3332" max="3332" width="8" customWidth="1"/>
    <col min="3333" max="3333" width="12.68359375" customWidth="1"/>
    <col min="3334" max="3334" width="8" customWidth="1"/>
    <col min="3335" max="3335" width="12" customWidth="1"/>
    <col min="3337" max="3337" width="24.83984375" customWidth="1"/>
    <col min="3338" max="3338" width="13.83984375" customWidth="1"/>
    <col min="3339" max="3339" width="11.15625" customWidth="1"/>
    <col min="3340" max="3340" width="19.83984375" customWidth="1"/>
    <col min="3341" max="3341" width="12.68359375" customWidth="1"/>
    <col min="3586" max="3586" width="19.578125" customWidth="1"/>
    <col min="3587" max="3587" width="13.26171875" customWidth="1"/>
    <col min="3588" max="3588" width="8" customWidth="1"/>
    <col min="3589" max="3589" width="12.68359375" customWidth="1"/>
    <col min="3590" max="3590" width="8" customWidth="1"/>
    <col min="3591" max="3591" width="12" customWidth="1"/>
    <col min="3593" max="3593" width="24.83984375" customWidth="1"/>
    <col min="3594" max="3594" width="13.83984375" customWidth="1"/>
    <col min="3595" max="3595" width="11.15625" customWidth="1"/>
    <col min="3596" max="3596" width="19.83984375" customWidth="1"/>
    <col min="3597" max="3597" width="12.68359375" customWidth="1"/>
    <col min="3842" max="3842" width="19.578125" customWidth="1"/>
    <col min="3843" max="3843" width="13.26171875" customWidth="1"/>
    <col min="3844" max="3844" width="8" customWidth="1"/>
    <col min="3845" max="3845" width="12.68359375" customWidth="1"/>
    <col min="3846" max="3846" width="8" customWidth="1"/>
    <col min="3847" max="3847" width="12" customWidth="1"/>
    <col min="3849" max="3849" width="24.83984375" customWidth="1"/>
    <col min="3850" max="3850" width="13.83984375" customWidth="1"/>
    <col min="3851" max="3851" width="11.15625" customWidth="1"/>
    <col min="3852" max="3852" width="19.83984375" customWidth="1"/>
    <col min="3853" max="3853" width="12.68359375" customWidth="1"/>
    <col min="4098" max="4098" width="19.578125" customWidth="1"/>
    <col min="4099" max="4099" width="13.26171875" customWidth="1"/>
    <col min="4100" max="4100" width="8" customWidth="1"/>
    <col min="4101" max="4101" width="12.68359375" customWidth="1"/>
    <col min="4102" max="4102" width="8" customWidth="1"/>
    <col min="4103" max="4103" width="12" customWidth="1"/>
    <col min="4105" max="4105" width="24.83984375" customWidth="1"/>
    <col min="4106" max="4106" width="13.83984375" customWidth="1"/>
    <col min="4107" max="4107" width="11.15625" customWidth="1"/>
    <col min="4108" max="4108" width="19.83984375" customWidth="1"/>
    <col min="4109" max="4109" width="12.68359375" customWidth="1"/>
    <col min="4354" max="4354" width="19.578125" customWidth="1"/>
    <col min="4355" max="4355" width="13.26171875" customWidth="1"/>
    <col min="4356" max="4356" width="8" customWidth="1"/>
    <col min="4357" max="4357" width="12.68359375" customWidth="1"/>
    <col min="4358" max="4358" width="8" customWidth="1"/>
    <col min="4359" max="4359" width="12" customWidth="1"/>
    <col min="4361" max="4361" width="24.83984375" customWidth="1"/>
    <col min="4362" max="4362" width="13.83984375" customWidth="1"/>
    <col min="4363" max="4363" width="11.15625" customWidth="1"/>
    <col min="4364" max="4364" width="19.83984375" customWidth="1"/>
    <col min="4365" max="4365" width="12.68359375" customWidth="1"/>
    <col min="4610" max="4610" width="19.578125" customWidth="1"/>
    <col min="4611" max="4611" width="13.26171875" customWidth="1"/>
    <col min="4612" max="4612" width="8" customWidth="1"/>
    <col min="4613" max="4613" width="12.68359375" customWidth="1"/>
    <col min="4614" max="4614" width="8" customWidth="1"/>
    <col min="4615" max="4615" width="12" customWidth="1"/>
    <col min="4617" max="4617" width="24.83984375" customWidth="1"/>
    <col min="4618" max="4618" width="13.83984375" customWidth="1"/>
    <col min="4619" max="4619" width="11.15625" customWidth="1"/>
    <col min="4620" max="4620" width="19.83984375" customWidth="1"/>
    <col min="4621" max="4621" width="12.68359375" customWidth="1"/>
    <col min="4866" max="4866" width="19.578125" customWidth="1"/>
    <col min="4867" max="4867" width="13.26171875" customWidth="1"/>
    <col min="4868" max="4868" width="8" customWidth="1"/>
    <col min="4869" max="4869" width="12.68359375" customWidth="1"/>
    <col min="4870" max="4870" width="8" customWidth="1"/>
    <col min="4871" max="4871" width="12" customWidth="1"/>
    <col min="4873" max="4873" width="24.83984375" customWidth="1"/>
    <col min="4874" max="4874" width="13.83984375" customWidth="1"/>
    <col min="4875" max="4875" width="11.15625" customWidth="1"/>
    <col min="4876" max="4876" width="19.83984375" customWidth="1"/>
    <col min="4877" max="4877" width="12.68359375" customWidth="1"/>
    <col min="5122" max="5122" width="19.578125" customWidth="1"/>
    <col min="5123" max="5123" width="13.26171875" customWidth="1"/>
    <col min="5124" max="5124" width="8" customWidth="1"/>
    <col min="5125" max="5125" width="12.68359375" customWidth="1"/>
    <col min="5126" max="5126" width="8" customWidth="1"/>
    <col min="5127" max="5127" width="12" customWidth="1"/>
    <col min="5129" max="5129" width="24.83984375" customWidth="1"/>
    <col min="5130" max="5130" width="13.83984375" customWidth="1"/>
    <col min="5131" max="5131" width="11.15625" customWidth="1"/>
    <col min="5132" max="5132" width="19.83984375" customWidth="1"/>
    <col min="5133" max="5133" width="12.68359375" customWidth="1"/>
    <col min="5378" max="5378" width="19.578125" customWidth="1"/>
    <col min="5379" max="5379" width="13.26171875" customWidth="1"/>
    <col min="5380" max="5380" width="8" customWidth="1"/>
    <col min="5381" max="5381" width="12.68359375" customWidth="1"/>
    <col min="5382" max="5382" width="8" customWidth="1"/>
    <col min="5383" max="5383" width="12" customWidth="1"/>
    <col min="5385" max="5385" width="24.83984375" customWidth="1"/>
    <col min="5386" max="5386" width="13.83984375" customWidth="1"/>
    <col min="5387" max="5387" width="11.15625" customWidth="1"/>
    <col min="5388" max="5388" width="19.83984375" customWidth="1"/>
    <col min="5389" max="5389" width="12.68359375" customWidth="1"/>
    <col min="5634" max="5634" width="19.578125" customWidth="1"/>
    <col min="5635" max="5635" width="13.26171875" customWidth="1"/>
    <col min="5636" max="5636" width="8" customWidth="1"/>
    <col min="5637" max="5637" width="12.68359375" customWidth="1"/>
    <col min="5638" max="5638" width="8" customWidth="1"/>
    <col min="5639" max="5639" width="12" customWidth="1"/>
    <col min="5641" max="5641" width="24.83984375" customWidth="1"/>
    <col min="5642" max="5642" width="13.83984375" customWidth="1"/>
    <col min="5643" max="5643" width="11.15625" customWidth="1"/>
    <col min="5644" max="5644" width="19.83984375" customWidth="1"/>
    <col min="5645" max="5645" width="12.68359375" customWidth="1"/>
    <col min="5890" max="5890" width="19.578125" customWidth="1"/>
    <col min="5891" max="5891" width="13.26171875" customWidth="1"/>
    <col min="5892" max="5892" width="8" customWidth="1"/>
    <col min="5893" max="5893" width="12.68359375" customWidth="1"/>
    <col min="5894" max="5894" width="8" customWidth="1"/>
    <col min="5895" max="5895" width="12" customWidth="1"/>
    <col min="5897" max="5897" width="24.83984375" customWidth="1"/>
    <col min="5898" max="5898" width="13.83984375" customWidth="1"/>
    <col min="5899" max="5899" width="11.15625" customWidth="1"/>
    <col min="5900" max="5900" width="19.83984375" customWidth="1"/>
    <col min="5901" max="5901" width="12.68359375" customWidth="1"/>
    <col min="6146" max="6146" width="19.578125" customWidth="1"/>
    <col min="6147" max="6147" width="13.26171875" customWidth="1"/>
    <col min="6148" max="6148" width="8" customWidth="1"/>
    <col min="6149" max="6149" width="12.68359375" customWidth="1"/>
    <col min="6150" max="6150" width="8" customWidth="1"/>
    <col min="6151" max="6151" width="12" customWidth="1"/>
    <col min="6153" max="6153" width="24.83984375" customWidth="1"/>
    <col min="6154" max="6154" width="13.83984375" customWidth="1"/>
    <col min="6155" max="6155" width="11.15625" customWidth="1"/>
    <col min="6156" max="6156" width="19.83984375" customWidth="1"/>
    <col min="6157" max="6157" width="12.68359375" customWidth="1"/>
    <col min="6402" max="6402" width="19.578125" customWidth="1"/>
    <col min="6403" max="6403" width="13.26171875" customWidth="1"/>
    <col min="6404" max="6404" width="8" customWidth="1"/>
    <col min="6405" max="6405" width="12.68359375" customWidth="1"/>
    <col min="6406" max="6406" width="8" customWidth="1"/>
    <col min="6407" max="6407" width="12" customWidth="1"/>
    <col min="6409" max="6409" width="24.83984375" customWidth="1"/>
    <col min="6410" max="6410" width="13.83984375" customWidth="1"/>
    <col min="6411" max="6411" width="11.15625" customWidth="1"/>
    <col min="6412" max="6412" width="19.83984375" customWidth="1"/>
    <col min="6413" max="6413" width="12.68359375" customWidth="1"/>
    <col min="6658" max="6658" width="19.578125" customWidth="1"/>
    <col min="6659" max="6659" width="13.26171875" customWidth="1"/>
    <col min="6660" max="6660" width="8" customWidth="1"/>
    <col min="6661" max="6661" width="12.68359375" customWidth="1"/>
    <col min="6662" max="6662" width="8" customWidth="1"/>
    <col min="6663" max="6663" width="12" customWidth="1"/>
    <col min="6665" max="6665" width="24.83984375" customWidth="1"/>
    <col min="6666" max="6666" width="13.83984375" customWidth="1"/>
    <col min="6667" max="6667" width="11.15625" customWidth="1"/>
    <col min="6668" max="6668" width="19.83984375" customWidth="1"/>
    <col min="6669" max="6669" width="12.68359375" customWidth="1"/>
    <col min="6914" max="6914" width="19.578125" customWidth="1"/>
    <col min="6915" max="6915" width="13.26171875" customWidth="1"/>
    <col min="6916" max="6916" width="8" customWidth="1"/>
    <col min="6917" max="6917" width="12.68359375" customWidth="1"/>
    <col min="6918" max="6918" width="8" customWidth="1"/>
    <col min="6919" max="6919" width="12" customWidth="1"/>
    <col min="6921" max="6921" width="24.83984375" customWidth="1"/>
    <col min="6922" max="6922" width="13.83984375" customWidth="1"/>
    <col min="6923" max="6923" width="11.15625" customWidth="1"/>
    <col min="6924" max="6924" width="19.83984375" customWidth="1"/>
    <col min="6925" max="6925" width="12.68359375" customWidth="1"/>
    <col min="7170" max="7170" width="19.578125" customWidth="1"/>
    <col min="7171" max="7171" width="13.26171875" customWidth="1"/>
    <col min="7172" max="7172" width="8" customWidth="1"/>
    <col min="7173" max="7173" width="12.68359375" customWidth="1"/>
    <col min="7174" max="7174" width="8" customWidth="1"/>
    <col min="7175" max="7175" width="12" customWidth="1"/>
    <col min="7177" max="7177" width="24.83984375" customWidth="1"/>
    <col min="7178" max="7178" width="13.83984375" customWidth="1"/>
    <col min="7179" max="7179" width="11.15625" customWidth="1"/>
    <col min="7180" max="7180" width="19.83984375" customWidth="1"/>
    <col min="7181" max="7181" width="12.68359375" customWidth="1"/>
    <col min="7426" max="7426" width="19.578125" customWidth="1"/>
    <col min="7427" max="7427" width="13.26171875" customWidth="1"/>
    <col min="7428" max="7428" width="8" customWidth="1"/>
    <col min="7429" max="7429" width="12.68359375" customWidth="1"/>
    <col min="7430" max="7430" width="8" customWidth="1"/>
    <col min="7431" max="7431" width="12" customWidth="1"/>
    <col min="7433" max="7433" width="24.83984375" customWidth="1"/>
    <col min="7434" max="7434" width="13.83984375" customWidth="1"/>
    <col min="7435" max="7435" width="11.15625" customWidth="1"/>
    <col min="7436" max="7436" width="19.83984375" customWidth="1"/>
    <col min="7437" max="7437" width="12.68359375" customWidth="1"/>
    <col min="7682" max="7682" width="19.578125" customWidth="1"/>
    <col min="7683" max="7683" width="13.26171875" customWidth="1"/>
    <col min="7684" max="7684" width="8" customWidth="1"/>
    <col min="7685" max="7685" width="12.68359375" customWidth="1"/>
    <col min="7686" max="7686" width="8" customWidth="1"/>
    <col min="7687" max="7687" width="12" customWidth="1"/>
    <col min="7689" max="7689" width="24.83984375" customWidth="1"/>
    <col min="7690" max="7690" width="13.83984375" customWidth="1"/>
    <col min="7691" max="7691" width="11.15625" customWidth="1"/>
    <col min="7692" max="7692" width="19.83984375" customWidth="1"/>
    <col min="7693" max="7693" width="12.68359375" customWidth="1"/>
    <col min="7938" max="7938" width="19.578125" customWidth="1"/>
    <col min="7939" max="7939" width="13.26171875" customWidth="1"/>
    <col min="7940" max="7940" width="8" customWidth="1"/>
    <col min="7941" max="7941" width="12.68359375" customWidth="1"/>
    <col min="7942" max="7942" width="8" customWidth="1"/>
    <col min="7943" max="7943" width="12" customWidth="1"/>
    <col min="7945" max="7945" width="24.83984375" customWidth="1"/>
    <col min="7946" max="7946" width="13.83984375" customWidth="1"/>
    <col min="7947" max="7947" width="11.15625" customWidth="1"/>
    <col min="7948" max="7948" width="19.83984375" customWidth="1"/>
    <col min="7949" max="7949" width="12.68359375" customWidth="1"/>
    <col min="8194" max="8194" width="19.578125" customWidth="1"/>
    <col min="8195" max="8195" width="13.26171875" customWidth="1"/>
    <col min="8196" max="8196" width="8" customWidth="1"/>
    <col min="8197" max="8197" width="12.68359375" customWidth="1"/>
    <col min="8198" max="8198" width="8" customWidth="1"/>
    <col min="8199" max="8199" width="12" customWidth="1"/>
    <col min="8201" max="8201" width="24.83984375" customWidth="1"/>
    <col min="8202" max="8202" width="13.83984375" customWidth="1"/>
    <col min="8203" max="8203" width="11.15625" customWidth="1"/>
    <col min="8204" max="8204" width="19.83984375" customWidth="1"/>
    <col min="8205" max="8205" width="12.68359375" customWidth="1"/>
    <col min="8450" max="8450" width="19.578125" customWidth="1"/>
    <col min="8451" max="8451" width="13.26171875" customWidth="1"/>
    <col min="8452" max="8452" width="8" customWidth="1"/>
    <col min="8453" max="8453" width="12.68359375" customWidth="1"/>
    <col min="8454" max="8454" width="8" customWidth="1"/>
    <col min="8455" max="8455" width="12" customWidth="1"/>
    <col min="8457" max="8457" width="24.83984375" customWidth="1"/>
    <col min="8458" max="8458" width="13.83984375" customWidth="1"/>
    <col min="8459" max="8459" width="11.15625" customWidth="1"/>
    <col min="8460" max="8460" width="19.83984375" customWidth="1"/>
    <col min="8461" max="8461" width="12.68359375" customWidth="1"/>
    <col min="8706" max="8706" width="19.578125" customWidth="1"/>
    <col min="8707" max="8707" width="13.26171875" customWidth="1"/>
    <col min="8708" max="8708" width="8" customWidth="1"/>
    <col min="8709" max="8709" width="12.68359375" customWidth="1"/>
    <col min="8710" max="8710" width="8" customWidth="1"/>
    <col min="8711" max="8711" width="12" customWidth="1"/>
    <col min="8713" max="8713" width="24.83984375" customWidth="1"/>
    <col min="8714" max="8714" width="13.83984375" customWidth="1"/>
    <col min="8715" max="8715" width="11.15625" customWidth="1"/>
    <col min="8716" max="8716" width="19.83984375" customWidth="1"/>
    <col min="8717" max="8717" width="12.68359375" customWidth="1"/>
    <col min="8962" max="8962" width="19.578125" customWidth="1"/>
    <col min="8963" max="8963" width="13.26171875" customWidth="1"/>
    <col min="8964" max="8964" width="8" customWidth="1"/>
    <col min="8965" max="8965" width="12.68359375" customWidth="1"/>
    <col min="8966" max="8966" width="8" customWidth="1"/>
    <col min="8967" max="8967" width="12" customWidth="1"/>
    <col min="8969" max="8969" width="24.83984375" customWidth="1"/>
    <col min="8970" max="8970" width="13.83984375" customWidth="1"/>
    <col min="8971" max="8971" width="11.15625" customWidth="1"/>
    <col min="8972" max="8972" width="19.83984375" customWidth="1"/>
    <col min="8973" max="8973" width="12.68359375" customWidth="1"/>
    <col min="9218" max="9218" width="19.578125" customWidth="1"/>
    <col min="9219" max="9219" width="13.26171875" customWidth="1"/>
    <col min="9220" max="9220" width="8" customWidth="1"/>
    <col min="9221" max="9221" width="12.68359375" customWidth="1"/>
    <col min="9222" max="9222" width="8" customWidth="1"/>
    <col min="9223" max="9223" width="12" customWidth="1"/>
    <col min="9225" max="9225" width="24.83984375" customWidth="1"/>
    <col min="9226" max="9226" width="13.83984375" customWidth="1"/>
    <col min="9227" max="9227" width="11.15625" customWidth="1"/>
    <col min="9228" max="9228" width="19.83984375" customWidth="1"/>
    <col min="9229" max="9229" width="12.68359375" customWidth="1"/>
    <col min="9474" max="9474" width="19.578125" customWidth="1"/>
    <col min="9475" max="9475" width="13.26171875" customWidth="1"/>
    <col min="9476" max="9476" width="8" customWidth="1"/>
    <col min="9477" max="9477" width="12.68359375" customWidth="1"/>
    <col min="9478" max="9478" width="8" customWidth="1"/>
    <col min="9479" max="9479" width="12" customWidth="1"/>
    <col min="9481" max="9481" width="24.83984375" customWidth="1"/>
    <col min="9482" max="9482" width="13.83984375" customWidth="1"/>
    <col min="9483" max="9483" width="11.15625" customWidth="1"/>
    <col min="9484" max="9484" width="19.83984375" customWidth="1"/>
    <col min="9485" max="9485" width="12.68359375" customWidth="1"/>
    <col min="9730" max="9730" width="19.578125" customWidth="1"/>
    <col min="9731" max="9731" width="13.26171875" customWidth="1"/>
    <col min="9732" max="9732" width="8" customWidth="1"/>
    <col min="9733" max="9733" width="12.68359375" customWidth="1"/>
    <col min="9734" max="9734" width="8" customWidth="1"/>
    <col min="9735" max="9735" width="12" customWidth="1"/>
    <col min="9737" max="9737" width="24.83984375" customWidth="1"/>
    <col min="9738" max="9738" width="13.83984375" customWidth="1"/>
    <col min="9739" max="9739" width="11.15625" customWidth="1"/>
    <col min="9740" max="9740" width="19.83984375" customWidth="1"/>
    <col min="9741" max="9741" width="12.68359375" customWidth="1"/>
    <col min="9986" max="9986" width="19.578125" customWidth="1"/>
    <col min="9987" max="9987" width="13.26171875" customWidth="1"/>
    <col min="9988" max="9988" width="8" customWidth="1"/>
    <col min="9989" max="9989" width="12.68359375" customWidth="1"/>
    <col min="9990" max="9990" width="8" customWidth="1"/>
    <col min="9991" max="9991" width="12" customWidth="1"/>
    <col min="9993" max="9993" width="24.83984375" customWidth="1"/>
    <col min="9994" max="9994" width="13.83984375" customWidth="1"/>
    <col min="9995" max="9995" width="11.15625" customWidth="1"/>
    <col min="9996" max="9996" width="19.83984375" customWidth="1"/>
    <col min="9997" max="9997" width="12.68359375" customWidth="1"/>
    <col min="10242" max="10242" width="19.578125" customWidth="1"/>
    <col min="10243" max="10243" width="13.26171875" customWidth="1"/>
    <col min="10244" max="10244" width="8" customWidth="1"/>
    <col min="10245" max="10245" width="12.68359375" customWidth="1"/>
    <col min="10246" max="10246" width="8" customWidth="1"/>
    <col min="10247" max="10247" width="12" customWidth="1"/>
    <col min="10249" max="10249" width="24.83984375" customWidth="1"/>
    <col min="10250" max="10250" width="13.83984375" customWidth="1"/>
    <col min="10251" max="10251" width="11.15625" customWidth="1"/>
    <col min="10252" max="10252" width="19.83984375" customWidth="1"/>
    <col min="10253" max="10253" width="12.68359375" customWidth="1"/>
    <col min="10498" max="10498" width="19.578125" customWidth="1"/>
    <col min="10499" max="10499" width="13.26171875" customWidth="1"/>
    <col min="10500" max="10500" width="8" customWidth="1"/>
    <col min="10501" max="10501" width="12.68359375" customWidth="1"/>
    <col min="10502" max="10502" width="8" customWidth="1"/>
    <col min="10503" max="10503" width="12" customWidth="1"/>
    <col min="10505" max="10505" width="24.83984375" customWidth="1"/>
    <col min="10506" max="10506" width="13.83984375" customWidth="1"/>
    <col min="10507" max="10507" width="11.15625" customWidth="1"/>
    <col min="10508" max="10508" width="19.83984375" customWidth="1"/>
    <col min="10509" max="10509" width="12.68359375" customWidth="1"/>
    <col min="10754" max="10754" width="19.578125" customWidth="1"/>
    <col min="10755" max="10755" width="13.26171875" customWidth="1"/>
    <col min="10756" max="10756" width="8" customWidth="1"/>
    <col min="10757" max="10757" width="12.68359375" customWidth="1"/>
    <col min="10758" max="10758" width="8" customWidth="1"/>
    <col min="10759" max="10759" width="12" customWidth="1"/>
    <col min="10761" max="10761" width="24.83984375" customWidth="1"/>
    <col min="10762" max="10762" width="13.83984375" customWidth="1"/>
    <col min="10763" max="10763" width="11.15625" customWidth="1"/>
    <col min="10764" max="10764" width="19.83984375" customWidth="1"/>
    <col min="10765" max="10765" width="12.68359375" customWidth="1"/>
    <col min="11010" max="11010" width="19.578125" customWidth="1"/>
    <col min="11011" max="11011" width="13.26171875" customWidth="1"/>
    <col min="11012" max="11012" width="8" customWidth="1"/>
    <col min="11013" max="11013" width="12.68359375" customWidth="1"/>
    <col min="11014" max="11014" width="8" customWidth="1"/>
    <col min="11015" max="11015" width="12" customWidth="1"/>
    <col min="11017" max="11017" width="24.83984375" customWidth="1"/>
    <col min="11018" max="11018" width="13.83984375" customWidth="1"/>
    <col min="11019" max="11019" width="11.15625" customWidth="1"/>
    <col min="11020" max="11020" width="19.83984375" customWidth="1"/>
    <col min="11021" max="11021" width="12.68359375" customWidth="1"/>
    <col min="11266" max="11266" width="19.578125" customWidth="1"/>
    <col min="11267" max="11267" width="13.26171875" customWidth="1"/>
    <col min="11268" max="11268" width="8" customWidth="1"/>
    <col min="11269" max="11269" width="12.68359375" customWidth="1"/>
    <col min="11270" max="11270" width="8" customWidth="1"/>
    <col min="11271" max="11271" width="12" customWidth="1"/>
    <col min="11273" max="11273" width="24.83984375" customWidth="1"/>
    <col min="11274" max="11274" width="13.83984375" customWidth="1"/>
    <col min="11275" max="11275" width="11.15625" customWidth="1"/>
    <col min="11276" max="11276" width="19.83984375" customWidth="1"/>
    <col min="11277" max="11277" width="12.68359375" customWidth="1"/>
    <col min="11522" max="11522" width="19.578125" customWidth="1"/>
    <col min="11523" max="11523" width="13.26171875" customWidth="1"/>
    <col min="11524" max="11524" width="8" customWidth="1"/>
    <col min="11525" max="11525" width="12.68359375" customWidth="1"/>
    <col min="11526" max="11526" width="8" customWidth="1"/>
    <col min="11527" max="11527" width="12" customWidth="1"/>
    <col min="11529" max="11529" width="24.83984375" customWidth="1"/>
    <col min="11530" max="11530" width="13.83984375" customWidth="1"/>
    <col min="11531" max="11531" width="11.15625" customWidth="1"/>
    <col min="11532" max="11532" width="19.83984375" customWidth="1"/>
    <col min="11533" max="11533" width="12.68359375" customWidth="1"/>
    <col min="11778" max="11778" width="19.578125" customWidth="1"/>
    <col min="11779" max="11779" width="13.26171875" customWidth="1"/>
    <col min="11780" max="11780" width="8" customWidth="1"/>
    <col min="11781" max="11781" width="12.68359375" customWidth="1"/>
    <col min="11782" max="11782" width="8" customWidth="1"/>
    <col min="11783" max="11783" width="12" customWidth="1"/>
    <col min="11785" max="11785" width="24.83984375" customWidth="1"/>
    <col min="11786" max="11786" width="13.83984375" customWidth="1"/>
    <col min="11787" max="11787" width="11.15625" customWidth="1"/>
    <col min="11788" max="11788" width="19.83984375" customWidth="1"/>
    <col min="11789" max="11789" width="12.68359375" customWidth="1"/>
    <col min="12034" max="12034" width="19.578125" customWidth="1"/>
    <col min="12035" max="12035" width="13.26171875" customWidth="1"/>
    <col min="12036" max="12036" width="8" customWidth="1"/>
    <col min="12037" max="12037" width="12.68359375" customWidth="1"/>
    <col min="12038" max="12038" width="8" customWidth="1"/>
    <col min="12039" max="12039" width="12" customWidth="1"/>
    <col min="12041" max="12041" width="24.83984375" customWidth="1"/>
    <col min="12042" max="12042" width="13.83984375" customWidth="1"/>
    <col min="12043" max="12043" width="11.15625" customWidth="1"/>
    <col min="12044" max="12044" width="19.83984375" customWidth="1"/>
    <col min="12045" max="12045" width="12.68359375" customWidth="1"/>
    <col min="12290" max="12290" width="19.578125" customWidth="1"/>
    <col min="12291" max="12291" width="13.26171875" customWidth="1"/>
    <col min="12292" max="12292" width="8" customWidth="1"/>
    <col min="12293" max="12293" width="12.68359375" customWidth="1"/>
    <col min="12294" max="12294" width="8" customWidth="1"/>
    <col min="12295" max="12295" width="12" customWidth="1"/>
    <col min="12297" max="12297" width="24.83984375" customWidth="1"/>
    <col min="12298" max="12298" width="13.83984375" customWidth="1"/>
    <col min="12299" max="12299" width="11.15625" customWidth="1"/>
    <col min="12300" max="12300" width="19.83984375" customWidth="1"/>
    <col min="12301" max="12301" width="12.68359375" customWidth="1"/>
    <col min="12546" max="12546" width="19.578125" customWidth="1"/>
    <col min="12547" max="12547" width="13.26171875" customWidth="1"/>
    <col min="12548" max="12548" width="8" customWidth="1"/>
    <col min="12549" max="12549" width="12.68359375" customWidth="1"/>
    <col min="12550" max="12550" width="8" customWidth="1"/>
    <col min="12551" max="12551" width="12" customWidth="1"/>
    <col min="12553" max="12553" width="24.83984375" customWidth="1"/>
    <col min="12554" max="12554" width="13.83984375" customWidth="1"/>
    <col min="12555" max="12555" width="11.15625" customWidth="1"/>
    <col min="12556" max="12556" width="19.83984375" customWidth="1"/>
    <col min="12557" max="12557" width="12.68359375" customWidth="1"/>
    <col min="12802" max="12802" width="19.578125" customWidth="1"/>
    <col min="12803" max="12803" width="13.26171875" customWidth="1"/>
    <col min="12804" max="12804" width="8" customWidth="1"/>
    <col min="12805" max="12805" width="12.68359375" customWidth="1"/>
    <col min="12806" max="12806" width="8" customWidth="1"/>
    <col min="12807" max="12807" width="12" customWidth="1"/>
    <col min="12809" max="12809" width="24.83984375" customWidth="1"/>
    <col min="12810" max="12810" width="13.83984375" customWidth="1"/>
    <col min="12811" max="12811" width="11.15625" customWidth="1"/>
    <col min="12812" max="12812" width="19.83984375" customWidth="1"/>
    <col min="12813" max="12813" width="12.68359375" customWidth="1"/>
    <col min="13058" max="13058" width="19.578125" customWidth="1"/>
    <col min="13059" max="13059" width="13.26171875" customWidth="1"/>
    <col min="13060" max="13060" width="8" customWidth="1"/>
    <col min="13061" max="13061" width="12.68359375" customWidth="1"/>
    <col min="13062" max="13062" width="8" customWidth="1"/>
    <col min="13063" max="13063" width="12" customWidth="1"/>
    <col min="13065" max="13065" width="24.83984375" customWidth="1"/>
    <col min="13066" max="13066" width="13.83984375" customWidth="1"/>
    <col min="13067" max="13067" width="11.15625" customWidth="1"/>
    <col min="13068" max="13068" width="19.83984375" customWidth="1"/>
    <col min="13069" max="13069" width="12.68359375" customWidth="1"/>
    <col min="13314" max="13314" width="19.578125" customWidth="1"/>
    <col min="13315" max="13315" width="13.26171875" customWidth="1"/>
    <col min="13316" max="13316" width="8" customWidth="1"/>
    <col min="13317" max="13317" width="12.68359375" customWidth="1"/>
    <col min="13318" max="13318" width="8" customWidth="1"/>
    <col min="13319" max="13319" width="12" customWidth="1"/>
    <col min="13321" max="13321" width="24.83984375" customWidth="1"/>
    <col min="13322" max="13322" width="13.83984375" customWidth="1"/>
    <col min="13323" max="13323" width="11.15625" customWidth="1"/>
    <col min="13324" max="13324" width="19.83984375" customWidth="1"/>
    <col min="13325" max="13325" width="12.68359375" customWidth="1"/>
    <col min="13570" max="13570" width="19.578125" customWidth="1"/>
    <col min="13571" max="13571" width="13.26171875" customWidth="1"/>
    <col min="13572" max="13572" width="8" customWidth="1"/>
    <col min="13573" max="13573" width="12.68359375" customWidth="1"/>
    <col min="13574" max="13574" width="8" customWidth="1"/>
    <col min="13575" max="13575" width="12" customWidth="1"/>
    <col min="13577" max="13577" width="24.83984375" customWidth="1"/>
    <col min="13578" max="13578" width="13.83984375" customWidth="1"/>
    <col min="13579" max="13579" width="11.15625" customWidth="1"/>
    <col min="13580" max="13580" width="19.83984375" customWidth="1"/>
    <col min="13581" max="13581" width="12.68359375" customWidth="1"/>
    <col min="13826" max="13826" width="19.578125" customWidth="1"/>
    <col min="13827" max="13827" width="13.26171875" customWidth="1"/>
    <col min="13828" max="13828" width="8" customWidth="1"/>
    <col min="13829" max="13829" width="12.68359375" customWidth="1"/>
    <col min="13830" max="13830" width="8" customWidth="1"/>
    <col min="13831" max="13831" width="12" customWidth="1"/>
    <col min="13833" max="13833" width="24.83984375" customWidth="1"/>
    <col min="13834" max="13834" width="13.83984375" customWidth="1"/>
    <col min="13835" max="13835" width="11.15625" customWidth="1"/>
    <col min="13836" max="13836" width="19.83984375" customWidth="1"/>
    <col min="13837" max="13837" width="12.68359375" customWidth="1"/>
    <col min="14082" max="14082" width="19.578125" customWidth="1"/>
    <col min="14083" max="14083" width="13.26171875" customWidth="1"/>
    <col min="14084" max="14084" width="8" customWidth="1"/>
    <col min="14085" max="14085" width="12.68359375" customWidth="1"/>
    <col min="14086" max="14086" width="8" customWidth="1"/>
    <col min="14087" max="14087" width="12" customWidth="1"/>
    <col min="14089" max="14089" width="24.83984375" customWidth="1"/>
    <col min="14090" max="14090" width="13.83984375" customWidth="1"/>
    <col min="14091" max="14091" width="11.15625" customWidth="1"/>
    <col min="14092" max="14092" width="19.83984375" customWidth="1"/>
    <col min="14093" max="14093" width="12.68359375" customWidth="1"/>
    <col min="14338" max="14338" width="19.578125" customWidth="1"/>
    <col min="14339" max="14339" width="13.26171875" customWidth="1"/>
    <col min="14340" max="14340" width="8" customWidth="1"/>
    <col min="14341" max="14341" width="12.68359375" customWidth="1"/>
    <col min="14342" max="14342" width="8" customWidth="1"/>
    <col min="14343" max="14343" width="12" customWidth="1"/>
    <col min="14345" max="14345" width="24.83984375" customWidth="1"/>
    <col min="14346" max="14346" width="13.83984375" customWidth="1"/>
    <col min="14347" max="14347" width="11.15625" customWidth="1"/>
    <col min="14348" max="14348" width="19.83984375" customWidth="1"/>
    <col min="14349" max="14349" width="12.68359375" customWidth="1"/>
    <col min="14594" max="14594" width="19.578125" customWidth="1"/>
    <col min="14595" max="14595" width="13.26171875" customWidth="1"/>
    <col min="14596" max="14596" width="8" customWidth="1"/>
    <col min="14597" max="14597" width="12.68359375" customWidth="1"/>
    <col min="14598" max="14598" width="8" customWidth="1"/>
    <col min="14599" max="14599" width="12" customWidth="1"/>
    <col min="14601" max="14601" width="24.83984375" customWidth="1"/>
    <col min="14602" max="14602" width="13.83984375" customWidth="1"/>
    <col min="14603" max="14603" width="11.15625" customWidth="1"/>
    <col min="14604" max="14604" width="19.83984375" customWidth="1"/>
    <col min="14605" max="14605" width="12.68359375" customWidth="1"/>
    <col min="14850" max="14850" width="19.578125" customWidth="1"/>
    <col min="14851" max="14851" width="13.26171875" customWidth="1"/>
    <col min="14852" max="14852" width="8" customWidth="1"/>
    <col min="14853" max="14853" width="12.68359375" customWidth="1"/>
    <col min="14854" max="14854" width="8" customWidth="1"/>
    <col min="14855" max="14855" width="12" customWidth="1"/>
    <col min="14857" max="14857" width="24.83984375" customWidth="1"/>
    <col min="14858" max="14858" width="13.83984375" customWidth="1"/>
    <col min="14859" max="14859" width="11.15625" customWidth="1"/>
    <col min="14860" max="14860" width="19.83984375" customWidth="1"/>
    <col min="14861" max="14861" width="12.68359375" customWidth="1"/>
    <col min="15106" max="15106" width="19.578125" customWidth="1"/>
    <col min="15107" max="15107" width="13.26171875" customWidth="1"/>
    <col min="15108" max="15108" width="8" customWidth="1"/>
    <col min="15109" max="15109" width="12.68359375" customWidth="1"/>
    <col min="15110" max="15110" width="8" customWidth="1"/>
    <col min="15111" max="15111" width="12" customWidth="1"/>
    <col min="15113" max="15113" width="24.83984375" customWidth="1"/>
    <col min="15114" max="15114" width="13.83984375" customWidth="1"/>
    <col min="15115" max="15115" width="11.15625" customWidth="1"/>
    <col min="15116" max="15116" width="19.83984375" customWidth="1"/>
    <col min="15117" max="15117" width="12.68359375" customWidth="1"/>
    <col min="15362" max="15362" width="19.578125" customWidth="1"/>
    <col min="15363" max="15363" width="13.26171875" customWidth="1"/>
    <col min="15364" max="15364" width="8" customWidth="1"/>
    <col min="15365" max="15365" width="12.68359375" customWidth="1"/>
    <col min="15366" max="15366" width="8" customWidth="1"/>
    <col min="15367" max="15367" width="12" customWidth="1"/>
    <col min="15369" max="15369" width="24.83984375" customWidth="1"/>
    <col min="15370" max="15370" width="13.83984375" customWidth="1"/>
    <col min="15371" max="15371" width="11.15625" customWidth="1"/>
    <col min="15372" max="15372" width="19.83984375" customWidth="1"/>
    <col min="15373" max="15373" width="12.68359375" customWidth="1"/>
    <col min="15618" max="15618" width="19.578125" customWidth="1"/>
    <col min="15619" max="15619" width="13.26171875" customWidth="1"/>
    <col min="15620" max="15620" width="8" customWidth="1"/>
    <col min="15621" max="15621" width="12.68359375" customWidth="1"/>
    <col min="15622" max="15622" width="8" customWidth="1"/>
    <col min="15623" max="15623" width="12" customWidth="1"/>
    <col min="15625" max="15625" width="24.83984375" customWidth="1"/>
    <col min="15626" max="15626" width="13.83984375" customWidth="1"/>
    <col min="15627" max="15627" width="11.15625" customWidth="1"/>
    <col min="15628" max="15628" width="19.83984375" customWidth="1"/>
    <col min="15629" max="15629" width="12.68359375" customWidth="1"/>
    <col min="15874" max="15874" width="19.578125" customWidth="1"/>
    <col min="15875" max="15875" width="13.26171875" customWidth="1"/>
    <col min="15876" max="15876" width="8" customWidth="1"/>
    <col min="15877" max="15877" width="12.68359375" customWidth="1"/>
    <col min="15878" max="15878" width="8" customWidth="1"/>
    <col min="15879" max="15879" width="12" customWidth="1"/>
    <col min="15881" max="15881" width="24.83984375" customWidth="1"/>
    <col min="15882" max="15882" width="13.83984375" customWidth="1"/>
    <col min="15883" max="15883" width="11.15625" customWidth="1"/>
    <col min="15884" max="15884" width="19.83984375" customWidth="1"/>
    <col min="15885" max="15885" width="12.68359375" customWidth="1"/>
    <col min="16130" max="16130" width="19.578125" customWidth="1"/>
    <col min="16131" max="16131" width="13.26171875" customWidth="1"/>
    <col min="16132" max="16132" width="8" customWidth="1"/>
    <col min="16133" max="16133" width="12.68359375" customWidth="1"/>
    <col min="16134" max="16134" width="8" customWidth="1"/>
    <col min="16135" max="16135" width="12" customWidth="1"/>
    <col min="16137" max="16137" width="24.83984375" customWidth="1"/>
    <col min="16138" max="16138" width="13.83984375" customWidth="1"/>
    <col min="16139" max="16139" width="11.15625" customWidth="1"/>
    <col min="16140" max="16140" width="19.83984375" customWidth="1"/>
    <col min="16141" max="16141" width="12.68359375" customWidth="1"/>
  </cols>
  <sheetData>
    <row r="1" spans="1:13" ht="13.5" customHeight="1" thickBot="1">
      <c r="A1" s="61" t="s">
        <v>114</v>
      </c>
      <c r="B1" s="115" t="s">
        <v>177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A19" workbookViewId="0">
      <selection activeCell="S38" sqref="S38"/>
    </sheetView>
  </sheetViews>
  <sheetFormatPr defaultColWidth="11.41796875" defaultRowHeight="14.4"/>
  <cols>
    <col min="3" max="3" width="19.15625" customWidth="1"/>
    <col min="4" max="4" width="14.15625" style="46" customWidth="1"/>
    <col min="5" max="5" width="20.15625" customWidth="1"/>
    <col min="6" max="6" width="18.26171875" customWidth="1"/>
    <col min="7" max="7" width="17" customWidth="1"/>
    <col min="8" max="8" width="16" customWidth="1"/>
    <col min="9" max="9" width="17.26171875" customWidth="1"/>
    <col min="10" max="10" width="14.41796875" customWidth="1"/>
    <col min="11" max="11" width="18.26171875" customWidth="1"/>
    <col min="12" max="12" width="16.68359375" customWidth="1"/>
    <col min="13" max="13" width="17" customWidth="1"/>
    <col min="14" max="14" width="13.68359375" customWidth="1"/>
    <col min="18" max="18" width="12.83984375" customWidth="1"/>
    <col min="19" max="19" width="34.41796875" customWidth="1"/>
    <col min="20" max="20" width="23.83984375" customWidth="1"/>
    <col min="21" max="21" width="15.15625" customWidth="1"/>
    <col min="22" max="22" width="24.15625" customWidth="1"/>
    <col min="23" max="23" width="12" bestFit="1" customWidth="1"/>
    <col min="24" max="24" width="14.68359375" customWidth="1"/>
    <col min="25" max="25" width="16" customWidth="1"/>
    <col min="28" max="28" width="12.68359375" bestFit="1" customWidth="1"/>
    <col min="29" max="29" width="16.15625" customWidth="1"/>
    <col min="30" max="30" width="15.26171875" customWidth="1"/>
    <col min="31" max="31" width="12.68359375" bestFit="1" customWidth="1"/>
  </cols>
  <sheetData>
    <row r="1" spans="1:27">
      <c r="A1" s="240" t="s">
        <v>379</v>
      </c>
      <c r="B1" s="240"/>
      <c r="C1" s="241"/>
      <c r="D1" s="319"/>
      <c r="E1" s="242"/>
      <c r="F1" s="243" t="s">
        <v>380</v>
      </c>
      <c r="G1" s="244"/>
      <c r="H1" s="244"/>
      <c r="I1" s="244"/>
      <c r="J1" s="244"/>
      <c r="K1" s="245" t="s">
        <v>381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382</v>
      </c>
      <c r="B2" s="252" t="s">
        <v>383</v>
      </c>
      <c r="C2" s="252" t="s">
        <v>384</v>
      </c>
      <c r="D2" s="320" t="s">
        <v>439</v>
      </c>
      <c r="E2" s="252" t="s">
        <v>385</v>
      </c>
      <c r="F2" s="253" t="s">
        <v>386</v>
      </c>
      <c r="G2" s="254" t="s">
        <v>387</v>
      </c>
      <c r="H2" s="254" t="s">
        <v>388</v>
      </c>
      <c r="I2" s="254" t="s">
        <v>389</v>
      </c>
      <c r="J2" s="254" t="s">
        <v>7</v>
      </c>
      <c r="K2" s="255" t="s">
        <v>386</v>
      </c>
      <c r="L2" s="256" t="s">
        <v>387</v>
      </c>
      <c r="M2" s="256" t="s">
        <v>389</v>
      </c>
      <c r="N2" s="257" t="s">
        <v>7</v>
      </c>
      <c r="O2" s="258" t="s">
        <v>7</v>
      </c>
      <c r="P2" s="259" t="s">
        <v>390</v>
      </c>
      <c r="Q2" s="259" t="s">
        <v>732</v>
      </c>
      <c r="R2" s="259" t="s">
        <v>93</v>
      </c>
      <c r="S2" s="260" t="s">
        <v>391</v>
      </c>
      <c r="T2" s="261"/>
    </row>
    <row r="3" spans="1:27">
      <c r="A3" s="262" t="s">
        <v>392</v>
      </c>
      <c r="B3" s="262" t="s">
        <v>393</v>
      </c>
      <c r="C3" s="263">
        <v>5600</v>
      </c>
      <c r="D3" s="321">
        <f ca="1">_xlfn.DAYS(K3,F3)</f>
        <v>1642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43851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413</v>
      </c>
    </row>
    <row r="4" spans="1:27">
      <c r="A4" s="262" t="s">
        <v>394</v>
      </c>
      <c r="B4" s="262" t="s">
        <v>291</v>
      </c>
      <c r="C4" s="263">
        <v>4090</v>
      </c>
      <c r="D4" s="321">
        <f ca="1">_xlfn.DAYS(K4,F4)</f>
        <v>246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43851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413</v>
      </c>
      <c r="T4" s="339"/>
    </row>
    <row r="5" spans="1:27">
      <c r="A5" s="262" t="s">
        <v>394</v>
      </c>
      <c r="B5" s="262" t="s">
        <v>395</v>
      </c>
      <c r="C5" s="263">
        <v>5100</v>
      </c>
      <c r="D5" s="321">
        <f ca="1">_xlfn.DAYS(K5,F5)</f>
        <v>697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43851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413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396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382</v>
      </c>
      <c r="B12" s="290" t="s">
        <v>383</v>
      </c>
      <c r="C12" s="290" t="s">
        <v>384</v>
      </c>
      <c r="D12" s="323" t="s">
        <v>439</v>
      </c>
      <c r="E12" s="290" t="s">
        <v>385</v>
      </c>
      <c r="F12" s="291" t="s">
        <v>386</v>
      </c>
      <c r="G12" s="292" t="s">
        <v>387</v>
      </c>
      <c r="H12" s="292" t="s">
        <v>388</v>
      </c>
      <c r="I12" s="292" t="s">
        <v>389</v>
      </c>
      <c r="J12" s="292" t="s">
        <v>7</v>
      </c>
      <c r="K12" s="293" t="s">
        <v>386</v>
      </c>
      <c r="L12" s="294" t="s">
        <v>387</v>
      </c>
      <c r="M12" s="294" t="s">
        <v>389</v>
      </c>
      <c r="N12" s="295" t="s">
        <v>7</v>
      </c>
      <c r="O12" s="296" t="s">
        <v>7</v>
      </c>
      <c r="P12" s="297" t="s">
        <v>390</v>
      </c>
      <c r="Q12" s="297" t="s">
        <v>732</v>
      </c>
      <c r="R12" s="297" t="s">
        <v>93</v>
      </c>
      <c r="S12" s="298" t="s">
        <v>391</v>
      </c>
      <c r="T12" s="338" t="s">
        <v>478</v>
      </c>
      <c r="U12" s="338" t="s">
        <v>651</v>
      </c>
      <c r="X12" s="329" t="s">
        <v>409</v>
      </c>
      <c r="Y12" s="329" t="s">
        <v>410</v>
      </c>
      <c r="Z12" s="329" t="s">
        <v>411</v>
      </c>
      <c r="AA12" s="329" t="s">
        <v>412</v>
      </c>
    </row>
    <row r="13" spans="1:27">
      <c r="A13" s="262" t="s">
        <v>392</v>
      </c>
      <c r="B13" s="262" t="s">
        <v>397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397</v>
      </c>
      <c r="T13" s="59">
        <f>R13+R14</f>
        <v>-4.7120556421087471E-2</v>
      </c>
      <c r="X13" s="39">
        <f t="shared" ref="X13:X41" ca="1" si="1">D13/D$43</f>
        <v>3.4890264490714688E-2</v>
      </c>
      <c r="Y13" s="119">
        <f ca="1">X13*E13</f>
        <v>140.23335672481713</v>
      </c>
      <c r="Z13" s="38"/>
    </row>
    <row r="14" spans="1:27">
      <c r="A14" s="262" t="s">
        <v>392</v>
      </c>
      <c r="B14" s="262" t="s">
        <v>397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398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392</v>
      </c>
      <c r="B15" s="262" t="s">
        <v>399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399</v>
      </c>
      <c r="X15" s="39">
        <f t="shared" ca="1" si="1"/>
        <v>3.0951041080472707E-2</v>
      </c>
      <c r="Y15" s="119">
        <f t="shared" ca="1" si="3"/>
        <v>0</v>
      </c>
    </row>
    <row r="16" spans="1:27">
      <c r="A16" s="262" t="s">
        <v>392</v>
      </c>
      <c r="B16" s="262" t="s">
        <v>400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400</v>
      </c>
      <c r="X16" s="39">
        <f t="shared" ca="1" si="1"/>
        <v>7.878446820483961E-3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401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402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392</v>
      </c>
      <c r="B19" s="262" t="s">
        <v>400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400</v>
      </c>
      <c r="T19" s="59">
        <f>R19+R21+R24</f>
        <v>0.24013324659263452</v>
      </c>
      <c r="X19" s="39">
        <f t="shared" ca="1" si="1"/>
        <v>0.48902644907146875</v>
      </c>
      <c r="Y19" s="119">
        <f t="shared" ca="1" si="3"/>
        <v>2163.1595557006194</v>
      </c>
    </row>
    <row r="20" spans="1:25">
      <c r="A20" s="262" t="s">
        <v>392</v>
      </c>
      <c r="B20" s="262" t="s">
        <v>400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440</v>
      </c>
      <c r="X20" s="39">
        <f t="shared" ca="1" si="1"/>
        <v>0.35565559932470459</v>
      </c>
      <c r="Y20" s="119">
        <f t="shared" ca="1" si="3"/>
        <v>213.60675295441757</v>
      </c>
    </row>
    <row r="21" spans="1:25">
      <c r="A21" s="262" t="s">
        <v>392</v>
      </c>
      <c r="B21" s="262" t="s">
        <v>400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403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401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404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392</v>
      </c>
      <c r="B24" s="262" t="s">
        <v>400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405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392</v>
      </c>
      <c r="B25" s="262" t="s">
        <v>400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400</v>
      </c>
      <c r="X25" s="39">
        <f t="shared" ca="1" si="1"/>
        <v>0.16207090602138435</v>
      </c>
      <c r="Y25" s="119">
        <f t="shared" ca="1" si="3"/>
        <v>98.533150865503657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406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406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394</v>
      </c>
      <c r="B28" s="262" t="s">
        <v>395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395</v>
      </c>
      <c r="T28" s="59">
        <f>R28+R29+R30+R34</f>
        <v>0.15363527784681297</v>
      </c>
      <c r="U28" s="59">
        <f>(L28/L5)-1</f>
        <v>0</v>
      </c>
      <c r="X28" s="39">
        <f t="shared" ca="1" si="1"/>
        <v>0.36916150815981991</v>
      </c>
      <c r="Y28" s="119">
        <f t="shared" ca="1" si="3"/>
        <v>1900.4777317276307</v>
      </c>
    </row>
    <row r="29" spans="1:25">
      <c r="A29" s="262" t="s">
        <v>394</v>
      </c>
      <c r="B29" s="262" t="s">
        <v>395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351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394</v>
      </c>
      <c r="B30" s="262" t="s">
        <v>395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351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394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407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394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408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394</v>
      </c>
      <c r="B33" s="262" t="s">
        <v>291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291</v>
      </c>
      <c r="X33" s="39">
        <f t="shared" ca="1" si="1"/>
        <v>1.2380416432189083E-2</v>
      </c>
      <c r="Y33" s="119">
        <f t="shared" ca="1" si="3"/>
        <v>51.120301857062465</v>
      </c>
    </row>
    <row r="34" spans="1:27">
      <c r="A34" s="262" t="s">
        <v>394</v>
      </c>
      <c r="B34" s="262" t="s">
        <v>395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351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394</v>
      </c>
      <c r="B35" s="262" t="s">
        <v>291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291</v>
      </c>
      <c r="U35" s="59"/>
      <c r="X35" s="39">
        <f t="shared" ca="1" si="1"/>
        <v>8.384918401800788E-2</v>
      </c>
      <c r="Y35" s="119">
        <f t="shared" ca="1" si="3"/>
        <v>342.83808786719192</v>
      </c>
    </row>
    <row r="36" spans="1:27">
      <c r="A36" s="262" t="s">
        <v>394</v>
      </c>
      <c r="B36" s="262" t="s">
        <v>395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351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847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1.5458638154192457</v>
      </c>
      <c r="Y42" s="327">
        <f ca="1">SUM(Y13:Y41)</f>
        <v>4909.9689376972419</v>
      </c>
      <c r="Z42" s="328">
        <f ca="1">P42/Y42</f>
        <v>0.89590894337980509</v>
      </c>
      <c r="AA42" s="328">
        <f ca="1">Z42/(D$43/365)</f>
        <v>0.1840218144815019</v>
      </c>
    </row>
    <row r="43" spans="1:27">
      <c r="C43" s="119" t="s">
        <v>442</v>
      </c>
      <c r="D43" s="46">
        <f ca="1">_xlfn.DAYS(TODAY(),F13)</f>
        <v>1777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414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415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416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417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418</v>
      </c>
      <c r="U62" s="41" t="s">
        <v>419</v>
      </c>
      <c r="V62" s="38"/>
    </row>
    <row r="63" spans="3:29" ht="15.3">
      <c r="G63" s="38"/>
      <c r="S63" t="s">
        <v>420</v>
      </c>
      <c r="T63" s="308" t="s">
        <v>421</v>
      </c>
      <c r="U63" s="309"/>
      <c r="V63" s="38"/>
    </row>
    <row r="64" spans="3:29">
      <c r="F64" s="38"/>
      <c r="G64" s="38"/>
      <c r="S64" t="s">
        <v>422</v>
      </c>
      <c r="T64" s="308" t="s">
        <v>423</v>
      </c>
      <c r="U64" t="s">
        <v>424</v>
      </c>
    </row>
    <row r="65" spans="6:22">
      <c r="F65" s="38"/>
      <c r="G65" s="38"/>
      <c r="H65" s="38"/>
      <c r="K65" t="s">
        <v>425</v>
      </c>
      <c r="T65" s="38"/>
      <c r="U65" t="s">
        <v>426</v>
      </c>
      <c r="V65" s="38"/>
    </row>
    <row r="66" spans="6:22">
      <c r="K66" s="310">
        <v>43587</v>
      </c>
      <c r="T66" s="305"/>
    </row>
    <row r="67" spans="6:22">
      <c r="K67" t="s">
        <v>427</v>
      </c>
      <c r="T67" s="311"/>
    </row>
    <row r="68" spans="6:22">
      <c r="K68" t="s">
        <v>428</v>
      </c>
      <c r="M68" t="s">
        <v>146</v>
      </c>
      <c r="T68" s="308"/>
      <c r="U68">
        <f>5000/12</f>
        <v>416.66666666666669</v>
      </c>
    </row>
    <row r="69" spans="6:22">
      <c r="K69" t="s">
        <v>429</v>
      </c>
      <c r="U69">
        <f>2.2/U68</f>
        <v>5.28E-3</v>
      </c>
    </row>
    <row r="70" spans="6:22">
      <c r="K70" t="s">
        <v>430</v>
      </c>
      <c r="U70">
        <f>100*U69</f>
        <v>0.52800000000000002</v>
      </c>
    </row>
    <row r="71" spans="6:22">
      <c r="K71" t="s">
        <v>431</v>
      </c>
      <c r="U71">
        <f>2.2*12</f>
        <v>26.400000000000002</v>
      </c>
    </row>
    <row r="72" spans="6:22">
      <c r="K72" t="s">
        <v>432</v>
      </c>
    </row>
    <row r="73" spans="6:22">
      <c r="K73" t="s">
        <v>433</v>
      </c>
    </row>
    <row r="74" spans="6:22">
      <c r="K74" t="s">
        <v>434</v>
      </c>
    </row>
    <row r="75" spans="6:22">
      <c r="K75" t="s">
        <v>435</v>
      </c>
    </row>
    <row r="76" spans="6:22">
      <c r="K76" t="s">
        <v>436</v>
      </c>
    </row>
    <row r="77" spans="6:22">
      <c r="K77" t="s">
        <v>437</v>
      </c>
    </row>
    <row r="78" spans="6:22">
      <c r="K78" t="s">
        <v>438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4" workbookViewId="0">
      <selection activeCell="F5" sqref="F5"/>
    </sheetView>
  </sheetViews>
  <sheetFormatPr defaultColWidth="8.83984375" defaultRowHeight="14.4"/>
  <cols>
    <col min="1" max="1" width="18" customWidth="1"/>
    <col min="2" max="2" width="12" customWidth="1"/>
    <col min="3" max="3" width="11.15625" customWidth="1"/>
    <col min="4" max="4" width="26" customWidth="1"/>
    <col min="5" max="5" width="13.15625" customWidth="1"/>
  </cols>
  <sheetData>
    <row r="1" spans="1:5">
      <c r="A1" s="449" t="s">
        <v>448</v>
      </c>
      <c r="B1" s="449"/>
      <c r="C1" s="449"/>
      <c r="D1" s="449"/>
      <c r="E1" s="449"/>
    </row>
    <row r="2" spans="1:5">
      <c r="A2" s="331" t="s">
        <v>444</v>
      </c>
      <c r="B2" s="332" t="s">
        <v>86</v>
      </c>
      <c r="C2" s="332" t="s">
        <v>445</v>
      </c>
      <c r="D2" s="332" t="s">
        <v>446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447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477</v>
      </c>
      <c r="B15" s="447"/>
      <c r="C15" s="447"/>
      <c r="D15" s="447"/>
      <c r="E15" s="447"/>
    </row>
    <row r="17" spans="1:4">
      <c r="A17" s="330" t="s">
        <v>449</v>
      </c>
    </row>
    <row r="19" spans="1:4">
      <c r="A19" t="s">
        <v>450</v>
      </c>
    </row>
    <row r="20" spans="1:4">
      <c r="A20" t="s">
        <v>451</v>
      </c>
    </row>
    <row r="21" spans="1:4">
      <c r="A21" t="s">
        <v>452</v>
      </c>
    </row>
    <row r="22" spans="1:4">
      <c r="A22" t="s">
        <v>453</v>
      </c>
    </row>
    <row r="23" spans="1:4">
      <c r="A23" t="s">
        <v>454</v>
      </c>
    </row>
    <row r="24" spans="1:4">
      <c r="A24" t="s">
        <v>455</v>
      </c>
    </row>
    <row r="25" spans="1:4">
      <c r="A25" t="s">
        <v>456</v>
      </c>
    </row>
    <row r="26" spans="1:4">
      <c r="A26" t="s">
        <v>817</v>
      </c>
    </row>
    <row r="27" spans="1:4">
      <c r="A27" t="s">
        <v>818</v>
      </c>
    </row>
    <row r="30" spans="1:4">
      <c r="A30" s="330" t="s">
        <v>457</v>
      </c>
      <c r="B30" s="330" t="s">
        <v>458</v>
      </c>
      <c r="C30" s="330" t="s">
        <v>459</v>
      </c>
      <c r="D30" s="330" t="s">
        <v>460</v>
      </c>
    </row>
    <row r="32" spans="1:4">
      <c r="A32" t="s">
        <v>461</v>
      </c>
      <c r="B32" t="s">
        <v>462</v>
      </c>
      <c r="C32" t="s">
        <v>463</v>
      </c>
      <c r="D32" t="s">
        <v>464</v>
      </c>
    </row>
    <row r="33" spans="1:4">
      <c r="A33" t="s">
        <v>465</v>
      </c>
      <c r="B33" t="s">
        <v>466</v>
      </c>
      <c r="C33" t="s">
        <v>467</v>
      </c>
      <c r="D33" t="s">
        <v>462</v>
      </c>
    </row>
    <row r="34" spans="1:4">
      <c r="A34" t="s">
        <v>468</v>
      </c>
      <c r="B34" t="s">
        <v>469</v>
      </c>
      <c r="C34" t="s">
        <v>470</v>
      </c>
      <c r="D34" t="s">
        <v>464</v>
      </c>
    </row>
    <row r="35" spans="1:4">
      <c r="A35" t="s">
        <v>471</v>
      </c>
      <c r="B35" t="s">
        <v>462</v>
      </c>
      <c r="C35" t="s">
        <v>467</v>
      </c>
      <c r="D35" t="s">
        <v>472</v>
      </c>
    </row>
    <row r="36" spans="1:4">
      <c r="A36" t="s">
        <v>303</v>
      </c>
      <c r="B36" t="s">
        <v>462</v>
      </c>
      <c r="C36" t="s">
        <v>463</v>
      </c>
      <c r="D36" t="s">
        <v>472</v>
      </c>
    </row>
    <row r="37" spans="1:4">
      <c r="A37" t="s">
        <v>473</v>
      </c>
      <c r="B37" t="s">
        <v>464</v>
      </c>
      <c r="C37" t="s">
        <v>470</v>
      </c>
      <c r="D37" t="s">
        <v>469</v>
      </c>
    </row>
    <row r="38" spans="1:4">
      <c r="A38" t="s">
        <v>474</v>
      </c>
      <c r="B38" t="s">
        <v>462</v>
      </c>
      <c r="C38" t="s">
        <v>470</v>
      </c>
      <c r="D38" t="s">
        <v>462</v>
      </c>
    </row>
    <row r="39" spans="1:4">
      <c r="A39" t="s">
        <v>475</v>
      </c>
      <c r="B39" t="s">
        <v>464</v>
      </c>
      <c r="C39" t="s">
        <v>463</v>
      </c>
      <c r="D39" t="s">
        <v>462</v>
      </c>
    </row>
    <row r="40" spans="1:4">
      <c r="A40" t="s">
        <v>476</v>
      </c>
      <c r="B40" t="s">
        <v>464</v>
      </c>
      <c r="C40" t="s">
        <v>463</v>
      </c>
      <c r="D40" t="s">
        <v>469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40" workbookViewId="0">
      <selection activeCell="N46" sqref="N46"/>
    </sheetView>
  </sheetViews>
  <sheetFormatPr defaultColWidth="8" defaultRowHeight="14.4"/>
  <cols>
    <col min="1" max="1" width="15.15625" customWidth="1"/>
    <col min="2" max="2" width="12.26171875" customWidth="1"/>
    <col min="3" max="5" width="8" customWidth="1"/>
    <col min="6" max="6" width="12.26171875" customWidth="1"/>
    <col min="7" max="7" width="9" customWidth="1"/>
    <col min="9" max="9" width="9.26171875" bestFit="1" customWidth="1"/>
    <col min="257" max="257" width="8" customWidth="1"/>
    <col min="258" max="258" width="12.26171875" customWidth="1"/>
    <col min="259" max="261" width="8" customWidth="1"/>
    <col min="262" max="262" width="12.26171875" customWidth="1"/>
    <col min="263" max="263" width="9" customWidth="1"/>
    <col min="513" max="513" width="8" customWidth="1"/>
    <col min="514" max="514" width="12.26171875" customWidth="1"/>
    <col min="515" max="517" width="8" customWidth="1"/>
    <col min="518" max="518" width="12.26171875" customWidth="1"/>
    <col min="519" max="519" width="9" customWidth="1"/>
    <col min="769" max="769" width="8" customWidth="1"/>
    <col min="770" max="770" width="12.26171875" customWidth="1"/>
    <col min="771" max="773" width="8" customWidth="1"/>
    <col min="774" max="774" width="12.26171875" customWidth="1"/>
    <col min="775" max="775" width="9" customWidth="1"/>
    <col min="1025" max="1025" width="8" customWidth="1"/>
    <col min="1026" max="1026" width="12.26171875" customWidth="1"/>
    <col min="1027" max="1029" width="8" customWidth="1"/>
    <col min="1030" max="1030" width="12.26171875" customWidth="1"/>
    <col min="1031" max="1031" width="9" customWidth="1"/>
    <col min="1281" max="1281" width="8" customWidth="1"/>
    <col min="1282" max="1282" width="12.26171875" customWidth="1"/>
    <col min="1283" max="1285" width="8" customWidth="1"/>
    <col min="1286" max="1286" width="12.26171875" customWidth="1"/>
    <col min="1287" max="1287" width="9" customWidth="1"/>
    <col min="1537" max="1537" width="8" customWidth="1"/>
    <col min="1538" max="1538" width="12.26171875" customWidth="1"/>
    <col min="1539" max="1541" width="8" customWidth="1"/>
    <col min="1542" max="1542" width="12.26171875" customWidth="1"/>
    <col min="1543" max="1543" width="9" customWidth="1"/>
    <col min="1793" max="1793" width="8" customWidth="1"/>
    <col min="1794" max="1794" width="12.26171875" customWidth="1"/>
    <col min="1795" max="1797" width="8" customWidth="1"/>
    <col min="1798" max="1798" width="12.26171875" customWidth="1"/>
    <col min="1799" max="1799" width="9" customWidth="1"/>
    <col min="2049" max="2049" width="8" customWidth="1"/>
    <col min="2050" max="2050" width="12.26171875" customWidth="1"/>
    <col min="2051" max="2053" width="8" customWidth="1"/>
    <col min="2054" max="2054" width="12.26171875" customWidth="1"/>
    <col min="2055" max="2055" width="9" customWidth="1"/>
    <col min="2305" max="2305" width="8" customWidth="1"/>
    <col min="2306" max="2306" width="12.26171875" customWidth="1"/>
    <col min="2307" max="2309" width="8" customWidth="1"/>
    <col min="2310" max="2310" width="12.26171875" customWidth="1"/>
    <col min="2311" max="2311" width="9" customWidth="1"/>
    <col min="2561" max="2561" width="8" customWidth="1"/>
    <col min="2562" max="2562" width="12.26171875" customWidth="1"/>
    <col min="2563" max="2565" width="8" customWidth="1"/>
    <col min="2566" max="2566" width="12.26171875" customWidth="1"/>
    <col min="2567" max="2567" width="9" customWidth="1"/>
    <col min="2817" max="2817" width="8" customWidth="1"/>
    <col min="2818" max="2818" width="12.26171875" customWidth="1"/>
    <col min="2819" max="2821" width="8" customWidth="1"/>
    <col min="2822" max="2822" width="12.26171875" customWidth="1"/>
    <col min="2823" max="2823" width="9" customWidth="1"/>
    <col min="3073" max="3073" width="8" customWidth="1"/>
    <col min="3074" max="3074" width="12.26171875" customWidth="1"/>
    <col min="3075" max="3077" width="8" customWidth="1"/>
    <col min="3078" max="3078" width="12.26171875" customWidth="1"/>
    <col min="3079" max="3079" width="9" customWidth="1"/>
    <col min="3329" max="3329" width="8" customWidth="1"/>
    <col min="3330" max="3330" width="12.26171875" customWidth="1"/>
    <col min="3331" max="3333" width="8" customWidth="1"/>
    <col min="3334" max="3334" width="12.26171875" customWidth="1"/>
    <col min="3335" max="3335" width="9" customWidth="1"/>
    <col min="3585" max="3585" width="8" customWidth="1"/>
    <col min="3586" max="3586" width="12.26171875" customWidth="1"/>
    <col min="3587" max="3589" width="8" customWidth="1"/>
    <col min="3590" max="3590" width="12.26171875" customWidth="1"/>
    <col min="3591" max="3591" width="9" customWidth="1"/>
    <col min="3841" max="3841" width="8" customWidth="1"/>
    <col min="3842" max="3842" width="12.26171875" customWidth="1"/>
    <col min="3843" max="3845" width="8" customWidth="1"/>
    <col min="3846" max="3846" width="12.26171875" customWidth="1"/>
    <col min="3847" max="3847" width="9" customWidth="1"/>
    <col min="4097" max="4097" width="8" customWidth="1"/>
    <col min="4098" max="4098" width="12.26171875" customWidth="1"/>
    <col min="4099" max="4101" width="8" customWidth="1"/>
    <col min="4102" max="4102" width="12.26171875" customWidth="1"/>
    <col min="4103" max="4103" width="9" customWidth="1"/>
    <col min="4353" max="4353" width="8" customWidth="1"/>
    <col min="4354" max="4354" width="12.26171875" customWidth="1"/>
    <col min="4355" max="4357" width="8" customWidth="1"/>
    <col min="4358" max="4358" width="12.26171875" customWidth="1"/>
    <col min="4359" max="4359" width="9" customWidth="1"/>
    <col min="4609" max="4609" width="8" customWidth="1"/>
    <col min="4610" max="4610" width="12.26171875" customWidth="1"/>
    <col min="4611" max="4613" width="8" customWidth="1"/>
    <col min="4614" max="4614" width="12.26171875" customWidth="1"/>
    <col min="4615" max="4615" width="9" customWidth="1"/>
    <col min="4865" max="4865" width="8" customWidth="1"/>
    <col min="4866" max="4866" width="12.26171875" customWidth="1"/>
    <col min="4867" max="4869" width="8" customWidth="1"/>
    <col min="4870" max="4870" width="12.26171875" customWidth="1"/>
    <col min="4871" max="4871" width="9" customWidth="1"/>
    <col min="5121" max="5121" width="8" customWidth="1"/>
    <col min="5122" max="5122" width="12.26171875" customWidth="1"/>
    <col min="5123" max="5125" width="8" customWidth="1"/>
    <col min="5126" max="5126" width="12.26171875" customWidth="1"/>
    <col min="5127" max="5127" width="9" customWidth="1"/>
    <col min="5377" max="5377" width="8" customWidth="1"/>
    <col min="5378" max="5378" width="12.26171875" customWidth="1"/>
    <col min="5379" max="5381" width="8" customWidth="1"/>
    <col min="5382" max="5382" width="12.26171875" customWidth="1"/>
    <col min="5383" max="5383" width="9" customWidth="1"/>
    <col min="5633" max="5633" width="8" customWidth="1"/>
    <col min="5634" max="5634" width="12.26171875" customWidth="1"/>
    <col min="5635" max="5637" width="8" customWidth="1"/>
    <col min="5638" max="5638" width="12.26171875" customWidth="1"/>
    <col min="5639" max="5639" width="9" customWidth="1"/>
    <col min="5889" max="5889" width="8" customWidth="1"/>
    <col min="5890" max="5890" width="12.26171875" customWidth="1"/>
    <col min="5891" max="5893" width="8" customWidth="1"/>
    <col min="5894" max="5894" width="12.26171875" customWidth="1"/>
    <col min="5895" max="5895" width="9" customWidth="1"/>
    <col min="6145" max="6145" width="8" customWidth="1"/>
    <col min="6146" max="6146" width="12.26171875" customWidth="1"/>
    <col min="6147" max="6149" width="8" customWidth="1"/>
    <col min="6150" max="6150" width="12.26171875" customWidth="1"/>
    <col min="6151" max="6151" width="9" customWidth="1"/>
    <col min="6401" max="6401" width="8" customWidth="1"/>
    <col min="6402" max="6402" width="12.26171875" customWidth="1"/>
    <col min="6403" max="6405" width="8" customWidth="1"/>
    <col min="6406" max="6406" width="12.26171875" customWidth="1"/>
    <col min="6407" max="6407" width="9" customWidth="1"/>
    <col min="6657" max="6657" width="8" customWidth="1"/>
    <col min="6658" max="6658" width="12.26171875" customWidth="1"/>
    <col min="6659" max="6661" width="8" customWidth="1"/>
    <col min="6662" max="6662" width="12.26171875" customWidth="1"/>
    <col min="6663" max="6663" width="9" customWidth="1"/>
    <col min="6913" max="6913" width="8" customWidth="1"/>
    <col min="6914" max="6914" width="12.26171875" customWidth="1"/>
    <col min="6915" max="6917" width="8" customWidth="1"/>
    <col min="6918" max="6918" width="12.26171875" customWidth="1"/>
    <col min="6919" max="6919" width="9" customWidth="1"/>
    <col min="7169" max="7169" width="8" customWidth="1"/>
    <col min="7170" max="7170" width="12.26171875" customWidth="1"/>
    <col min="7171" max="7173" width="8" customWidth="1"/>
    <col min="7174" max="7174" width="12.26171875" customWidth="1"/>
    <col min="7175" max="7175" width="9" customWidth="1"/>
    <col min="7425" max="7425" width="8" customWidth="1"/>
    <col min="7426" max="7426" width="12.26171875" customWidth="1"/>
    <col min="7427" max="7429" width="8" customWidth="1"/>
    <col min="7430" max="7430" width="12.26171875" customWidth="1"/>
    <col min="7431" max="7431" width="9" customWidth="1"/>
    <col min="7681" max="7681" width="8" customWidth="1"/>
    <col min="7682" max="7682" width="12.26171875" customWidth="1"/>
    <col min="7683" max="7685" width="8" customWidth="1"/>
    <col min="7686" max="7686" width="12.26171875" customWidth="1"/>
    <col min="7687" max="7687" width="9" customWidth="1"/>
    <col min="7937" max="7937" width="8" customWidth="1"/>
    <col min="7938" max="7938" width="12.26171875" customWidth="1"/>
    <col min="7939" max="7941" width="8" customWidth="1"/>
    <col min="7942" max="7942" width="12.26171875" customWidth="1"/>
    <col min="7943" max="7943" width="9" customWidth="1"/>
    <col min="8193" max="8193" width="8" customWidth="1"/>
    <col min="8194" max="8194" width="12.26171875" customWidth="1"/>
    <col min="8195" max="8197" width="8" customWidth="1"/>
    <col min="8198" max="8198" width="12.26171875" customWidth="1"/>
    <col min="8199" max="8199" width="9" customWidth="1"/>
    <col min="8449" max="8449" width="8" customWidth="1"/>
    <col min="8450" max="8450" width="12.26171875" customWidth="1"/>
    <col min="8451" max="8453" width="8" customWidth="1"/>
    <col min="8454" max="8454" width="12.26171875" customWidth="1"/>
    <col min="8455" max="8455" width="9" customWidth="1"/>
    <col min="8705" max="8705" width="8" customWidth="1"/>
    <col min="8706" max="8706" width="12.26171875" customWidth="1"/>
    <col min="8707" max="8709" width="8" customWidth="1"/>
    <col min="8710" max="8710" width="12.26171875" customWidth="1"/>
    <col min="8711" max="8711" width="9" customWidth="1"/>
    <col min="8961" max="8961" width="8" customWidth="1"/>
    <col min="8962" max="8962" width="12.26171875" customWidth="1"/>
    <col min="8963" max="8965" width="8" customWidth="1"/>
    <col min="8966" max="8966" width="12.26171875" customWidth="1"/>
    <col min="8967" max="8967" width="9" customWidth="1"/>
    <col min="9217" max="9217" width="8" customWidth="1"/>
    <col min="9218" max="9218" width="12.26171875" customWidth="1"/>
    <col min="9219" max="9221" width="8" customWidth="1"/>
    <col min="9222" max="9222" width="12.26171875" customWidth="1"/>
    <col min="9223" max="9223" width="9" customWidth="1"/>
    <col min="9473" max="9473" width="8" customWidth="1"/>
    <col min="9474" max="9474" width="12.26171875" customWidth="1"/>
    <col min="9475" max="9477" width="8" customWidth="1"/>
    <col min="9478" max="9478" width="12.26171875" customWidth="1"/>
    <col min="9479" max="9479" width="9" customWidth="1"/>
    <col min="9729" max="9729" width="8" customWidth="1"/>
    <col min="9730" max="9730" width="12.26171875" customWidth="1"/>
    <col min="9731" max="9733" width="8" customWidth="1"/>
    <col min="9734" max="9734" width="12.26171875" customWidth="1"/>
    <col min="9735" max="9735" width="9" customWidth="1"/>
    <col min="9985" max="9985" width="8" customWidth="1"/>
    <col min="9986" max="9986" width="12.26171875" customWidth="1"/>
    <col min="9987" max="9989" width="8" customWidth="1"/>
    <col min="9990" max="9990" width="12.26171875" customWidth="1"/>
    <col min="9991" max="9991" width="9" customWidth="1"/>
    <col min="10241" max="10241" width="8" customWidth="1"/>
    <col min="10242" max="10242" width="12.26171875" customWidth="1"/>
    <col min="10243" max="10245" width="8" customWidth="1"/>
    <col min="10246" max="10246" width="12.26171875" customWidth="1"/>
    <col min="10247" max="10247" width="9" customWidth="1"/>
    <col min="10497" max="10497" width="8" customWidth="1"/>
    <col min="10498" max="10498" width="12.26171875" customWidth="1"/>
    <col min="10499" max="10501" width="8" customWidth="1"/>
    <col min="10502" max="10502" width="12.26171875" customWidth="1"/>
    <col min="10503" max="10503" width="9" customWidth="1"/>
    <col min="10753" max="10753" width="8" customWidth="1"/>
    <col min="10754" max="10754" width="12.26171875" customWidth="1"/>
    <col min="10755" max="10757" width="8" customWidth="1"/>
    <col min="10758" max="10758" width="12.26171875" customWidth="1"/>
    <col min="10759" max="10759" width="9" customWidth="1"/>
    <col min="11009" max="11009" width="8" customWidth="1"/>
    <col min="11010" max="11010" width="12.26171875" customWidth="1"/>
    <col min="11011" max="11013" width="8" customWidth="1"/>
    <col min="11014" max="11014" width="12.26171875" customWidth="1"/>
    <col min="11015" max="11015" width="9" customWidth="1"/>
    <col min="11265" max="11265" width="8" customWidth="1"/>
    <col min="11266" max="11266" width="12.26171875" customWidth="1"/>
    <col min="11267" max="11269" width="8" customWidth="1"/>
    <col min="11270" max="11270" width="12.26171875" customWidth="1"/>
    <col min="11271" max="11271" width="9" customWidth="1"/>
    <col min="11521" max="11521" width="8" customWidth="1"/>
    <col min="11522" max="11522" width="12.26171875" customWidth="1"/>
    <col min="11523" max="11525" width="8" customWidth="1"/>
    <col min="11526" max="11526" width="12.26171875" customWidth="1"/>
    <col min="11527" max="11527" width="9" customWidth="1"/>
    <col min="11777" max="11777" width="8" customWidth="1"/>
    <col min="11778" max="11778" width="12.26171875" customWidth="1"/>
    <col min="11779" max="11781" width="8" customWidth="1"/>
    <col min="11782" max="11782" width="12.26171875" customWidth="1"/>
    <col min="11783" max="11783" width="9" customWidth="1"/>
    <col min="12033" max="12033" width="8" customWidth="1"/>
    <col min="12034" max="12034" width="12.26171875" customWidth="1"/>
    <col min="12035" max="12037" width="8" customWidth="1"/>
    <col min="12038" max="12038" width="12.26171875" customWidth="1"/>
    <col min="12039" max="12039" width="9" customWidth="1"/>
    <col min="12289" max="12289" width="8" customWidth="1"/>
    <col min="12290" max="12290" width="12.26171875" customWidth="1"/>
    <col min="12291" max="12293" width="8" customWidth="1"/>
    <col min="12294" max="12294" width="12.26171875" customWidth="1"/>
    <col min="12295" max="12295" width="9" customWidth="1"/>
    <col min="12545" max="12545" width="8" customWidth="1"/>
    <col min="12546" max="12546" width="12.26171875" customWidth="1"/>
    <col min="12547" max="12549" width="8" customWidth="1"/>
    <col min="12550" max="12550" width="12.26171875" customWidth="1"/>
    <col min="12551" max="12551" width="9" customWidth="1"/>
    <col min="12801" max="12801" width="8" customWidth="1"/>
    <col min="12802" max="12802" width="12.26171875" customWidth="1"/>
    <col min="12803" max="12805" width="8" customWidth="1"/>
    <col min="12806" max="12806" width="12.26171875" customWidth="1"/>
    <col min="12807" max="12807" width="9" customWidth="1"/>
    <col min="13057" max="13057" width="8" customWidth="1"/>
    <col min="13058" max="13058" width="12.26171875" customWidth="1"/>
    <col min="13059" max="13061" width="8" customWidth="1"/>
    <col min="13062" max="13062" width="12.26171875" customWidth="1"/>
    <col min="13063" max="13063" width="9" customWidth="1"/>
    <col min="13313" max="13313" width="8" customWidth="1"/>
    <col min="13314" max="13314" width="12.26171875" customWidth="1"/>
    <col min="13315" max="13317" width="8" customWidth="1"/>
    <col min="13318" max="13318" width="12.26171875" customWidth="1"/>
    <col min="13319" max="13319" width="9" customWidth="1"/>
    <col min="13569" max="13569" width="8" customWidth="1"/>
    <col min="13570" max="13570" width="12.26171875" customWidth="1"/>
    <col min="13571" max="13573" width="8" customWidth="1"/>
    <col min="13574" max="13574" width="12.26171875" customWidth="1"/>
    <col min="13575" max="13575" width="9" customWidth="1"/>
    <col min="13825" max="13825" width="8" customWidth="1"/>
    <col min="13826" max="13826" width="12.26171875" customWidth="1"/>
    <col min="13827" max="13829" width="8" customWidth="1"/>
    <col min="13830" max="13830" width="12.26171875" customWidth="1"/>
    <col min="13831" max="13831" width="9" customWidth="1"/>
    <col min="14081" max="14081" width="8" customWidth="1"/>
    <col min="14082" max="14082" width="12.26171875" customWidth="1"/>
    <col min="14083" max="14085" width="8" customWidth="1"/>
    <col min="14086" max="14086" width="12.26171875" customWidth="1"/>
    <col min="14087" max="14087" width="9" customWidth="1"/>
    <col min="14337" max="14337" width="8" customWidth="1"/>
    <col min="14338" max="14338" width="12.26171875" customWidth="1"/>
    <col min="14339" max="14341" width="8" customWidth="1"/>
    <col min="14342" max="14342" width="12.26171875" customWidth="1"/>
    <col min="14343" max="14343" width="9" customWidth="1"/>
    <col min="14593" max="14593" width="8" customWidth="1"/>
    <col min="14594" max="14594" width="12.26171875" customWidth="1"/>
    <col min="14595" max="14597" width="8" customWidth="1"/>
    <col min="14598" max="14598" width="12.26171875" customWidth="1"/>
    <col min="14599" max="14599" width="9" customWidth="1"/>
    <col min="14849" max="14849" width="8" customWidth="1"/>
    <col min="14850" max="14850" width="12.26171875" customWidth="1"/>
    <col min="14851" max="14853" width="8" customWidth="1"/>
    <col min="14854" max="14854" width="12.26171875" customWidth="1"/>
    <col min="14855" max="14855" width="9" customWidth="1"/>
    <col min="15105" max="15105" width="8" customWidth="1"/>
    <col min="15106" max="15106" width="12.26171875" customWidth="1"/>
    <col min="15107" max="15109" width="8" customWidth="1"/>
    <col min="15110" max="15110" width="12.26171875" customWidth="1"/>
    <col min="15111" max="15111" width="9" customWidth="1"/>
    <col min="15361" max="15361" width="8" customWidth="1"/>
    <col min="15362" max="15362" width="12.26171875" customWidth="1"/>
    <col min="15363" max="15365" width="8" customWidth="1"/>
    <col min="15366" max="15366" width="12.26171875" customWidth="1"/>
    <col min="15367" max="15367" width="9" customWidth="1"/>
    <col min="15617" max="15617" width="8" customWidth="1"/>
    <col min="15618" max="15618" width="12.26171875" customWidth="1"/>
    <col min="15619" max="15621" width="8" customWidth="1"/>
    <col min="15622" max="15622" width="12.26171875" customWidth="1"/>
    <col min="15623" max="15623" width="9" customWidth="1"/>
    <col min="15873" max="15873" width="8" customWidth="1"/>
    <col min="15874" max="15874" width="12.26171875" customWidth="1"/>
    <col min="15875" max="15877" width="8" customWidth="1"/>
    <col min="15878" max="15878" width="12.26171875" customWidth="1"/>
    <col min="15879" max="15879" width="9" customWidth="1"/>
    <col min="16129" max="16129" width="8" customWidth="1"/>
    <col min="16130" max="16130" width="12.26171875" customWidth="1"/>
    <col min="16131" max="16133" width="8" customWidth="1"/>
    <col min="16134" max="16134" width="12.2617187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235</v>
      </c>
      <c r="I7" t="s">
        <v>236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239</v>
      </c>
      <c r="I10" t="s">
        <v>240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188</v>
      </c>
      <c r="B51" t="s">
        <v>165</v>
      </c>
    </row>
    <row r="52" spans="1:3">
      <c r="A52" t="s">
        <v>196</v>
      </c>
      <c r="B52" t="s">
        <v>878</v>
      </c>
    </row>
    <row r="53" spans="1:3">
      <c r="A53" t="s">
        <v>198</v>
      </c>
      <c r="B53" t="s">
        <v>199</v>
      </c>
    </row>
    <row r="54" spans="1:3">
      <c r="A54" t="s">
        <v>33</v>
      </c>
      <c r="B54" t="s">
        <v>166</v>
      </c>
    </row>
    <row r="55" spans="1:3">
      <c r="A55" t="s">
        <v>688</v>
      </c>
      <c r="B55" t="s">
        <v>689</v>
      </c>
    </row>
    <row r="56" spans="1:3">
      <c r="A56" t="s">
        <v>816</v>
      </c>
      <c r="B56" t="s">
        <v>166</v>
      </c>
    </row>
    <row r="58" spans="1:3">
      <c r="A58" t="s">
        <v>769</v>
      </c>
      <c r="B58" t="s">
        <v>770</v>
      </c>
    </row>
    <row r="59" spans="1:3">
      <c r="A59" t="s">
        <v>851</v>
      </c>
      <c r="B59" t="s">
        <v>853</v>
      </c>
      <c r="C59" t="s">
        <v>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B98" workbookViewId="0">
      <selection activeCell="J114" sqref="J114"/>
    </sheetView>
  </sheetViews>
  <sheetFormatPr defaultColWidth="11.41796875" defaultRowHeight="14.4"/>
  <cols>
    <col min="1" max="1" width="11.41796875" style="89"/>
    <col min="2" max="2" width="10.578125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2019</v>
      </c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179</v>
      </c>
      <c r="I5" s="106" t="s">
        <v>58</v>
      </c>
      <c r="J5" s="107" t="s">
        <v>59</v>
      </c>
      <c r="K5" s="424">
        <f>6296.48-M5</f>
        <v>5153.62</v>
      </c>
      <c r="L5" s="425"/>
      <c r="M5" s="1">
        <f>571.43*2</f>
        <v>1142.8599999999999</v>
      </c>
      <c r="N5" s="1" t="s">
        <v>157</v>
      </c>
      <c r="R5" s="3"/>
    </row>
    <row r="6" spans="1:22" ht="15.6">
      <c r="A6" s="112">
        <f>H6+(B6-SUM(D6:F6))</f>
        <v>395.26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6">
      <c r="A7" s="112">
        <f t="shared" ref="A7:A15" si="0">H7+(B7-SUM(D7:F7))</f>
        <v>573.11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6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6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6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6">
      <c r="A12" s="112">
        <f t="shared" si="0"/>
        <v>70</v>
      </c>
      <c r="B12" s="134">
        <v>6.5</v>
      </c>
      <c r="C12" s="16" t="s">
        <v>232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6">
      <c r="A13" s="112">
        <f t="shared" si="0"/>
        <v>550</v>
      </c>
      <c r="B13" s="134">
        <v>0</v>
      </c>
      <c r="C13" s="16" t="s">
        <v>238</v>
      </c>
      <c r="D13" s="137"/>
      <c r="E13" s="138"/>
      <c r="F13" s="138"/>
      <c r="G13" s="16"/>
      <c r="H13" s="112">
        <v>550</v>
      </c>
      <c r="I13" s="108"/>
      <c r="J13" s="107"/>
      <c r="K13" s="426"/>
      <c r="L13" s="427"/>
      <c r="M13" s="1"/>
      <c r="N13" s="1"/>
      <c r="R13" s="3"/>
    </row>
    <row r="14" spans="1:22" ht="15.6">
      <c r="A14" s="112">
        <f t="shared" si="0"/>
        <v>1199.9991905564923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12">
        <v>1129.9991905564923</v>
      </c>
      <c r="I14" s="108"/>
      <c r="J14" s="107"/>
      <c r="K14" s="426"/>
      <c r="L14" s="427"/>
      <c r="M14" s="1"/>
      <c r="N14" s="1"/>
      <c r="R14" s="3"/>
    </row>
    <row r="15" spans="1:22" ht="15.6">
      <c r="A15" s="112">
        <f t="shared" si="0"/>
        <v>300</v>
      </c>
      <c r="B15" s="134">
        <v>1.6</v>
      </c>
      <c r="C15" s="16" t="s">
        <v>181</v>
      </c>
      <c r="D15" s="137"/>
      <c r="E15" s="138"/>
      <c r="F15" s="138"/>
      <c r="G15" s="16"/>
      <c r="H15" s="112">
        <v>298.39999999999998</v>
      </c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2">
        <f>SUM(K5:K18)</f>
        <v>33579</v>
      </c>
      <c r="L19" s="433"/>
      <c r="M19" s="1"/>
      <c r="N19" s="1"/>
      <c r="R19" s="3"/>
    </row>
    <row r="20" spans="1:18" ht="15.9" thickBot="1">
      <c r="A20" s="112">
        <f>SUM(A6:A15)</f>
        <v>3018.2991905564922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6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179</v>
      </c>
      <c r="I25" s="404" t="str">
        <f>AÑO!A8</f>
        <v>Manolo Salario</v>
      </c>
      <c r="J25" s="407" t="s">
        <v>280</v>
      </c>
      <c r="K25" s="408"/>
      <c r="L25" s="198"/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05"/>
      <c r="J26" s="409"/>
      <c r="K26" s="410"/>
      <c r="L26" s="229"/>
      <c r="M26" s="1"/>
      <c r="R26" s="3"/>
    </row>
    <row r="27" spans="1:18" ht="15.6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05"/>
      <c r="J27" s="409"/>
      <c r="K27" s="410"/>
      <c r="L27" s="229"/>
      <c r="M27" s="1"/>
      <c r="R27" s="3"/>
    </row>
    <row r="28" spans="1:18" ht="15.6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05"/>
      <c r="J28" s="409"/>
      <c r="K28" s="410"/>
      <c r="L28" s="229"/>
      <c r="M28" s="1"/>
      <c r="R28" s="3"/>
    </row>
    <row r="29" spans="1:18" ht="15.6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4" t="str">
        <f>AÑO!A9</f>
        <v>Rocío Salario</v>
      </c>
      <c r="J30" s="407" t="s">
        <v>309</v>
      </c>
      <c r="K30" s="408"/>
      <c r="L30" s="231">
        <v>70.400000000000006</v>
      </c>
      <c r="M30" s="1"/>
      <c r="R30" s="3"/>
    </row>
    <row r="31" spans="1:18" ht="15.6">
      <c r="A31" s="112">
        <f>H31+(B31-SUM(D31:F31))</f>
        <v>45</v>
      </c>
      <c r="B31" s="134">
        <v>10</v>
      </c>
      <c r="C31" s="16" t="s">
        <v>734</v>
      </c>
      <c r="D31" s="137"/>
      <c r="E31" s="138"/>
      <c r="F31" s="138"/>
      <c r="G31" s="16"/>
      <c r="H31" s="112">
        <v>35</v>
      </c>
      <c r="I31" s="405"/>
      <c r="J31" s="409"/>
      <c r="K31" s="410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05"/>
      <c r="J32" s="409"/>
      <c r="K32" s="410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04" t="s">
        <v>207</v>
      </c>
      <c r="J35" s="407"/>
      <c r="K35" s="408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5.9" thickBot="1">
      <c r="A40" s="112">
        <f>SUM(A26:A35)</f>
        <v>360.11999999999989</v>
      </c>
      <c r="B40" s="135">
        <f>SUM(B26:B39)</f>
        <v>1164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4" t="str">
        <f>AÑO!A11</f>
        <v>Finanazas</v>
      </c>
      <c r="J40" s="407" t="s">
        <v>303</v>
      </c>
      <c r="K40" s="408"/>
      <c r="L40" s="231">
        <v>0.63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831</v>
      </c>
      <c r="K41" s="410"/>
      <c r="L41" s="229">
        <v>1.98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12"/>
      <c r="I42" s="405"/>
      <c r="J42" s="409" t="s">
        <v>883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5"/>
      <c r="J43" s="409"/>
      <c r="K43" s="410"/>
      <c r="L43" s="229"/>
      <c r="M43" s="1"/>
      <c r="R43" s="3"/>
    </row>
    <row r="44" spans="1:18" ht="15.6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3"/>
      <c r="J44" s="414"/>
      <c r="K44" s="415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4" t="str">
        <f>AÑO!A12</f>
        <v>Regalos</v>
      </c>
      <c r="J45" s="407" t="s">
        <v>850</v>
      </c>
      <c r="K45" s="408"/>
      <c r="L45" s="231">
        <v>1142.8599999999999</v>
      </c>
      <c r="M45" s="112" t="s">
        <v>861</v>
      </c>
      <c r="N45" s="113">
        <f>L45-B187</f>
        <v>1077.9099999999999</v>
      </c>
      <c r="R45" s="3"/>
    </row>
    <row r="46" spans="1:18" ht="15.6">
      <c r="A46" s="1"/>
      <c r="B46" s="133">
        <v>395</v>
      </c>
      <c r="C46" s="19"/>
      <c r="D46" s="137">
        <v>56.91</v>
      </c>
      <c r="E46" s="138"/>
      <c r="F46" s="138"/>
      <c r="G46" s="30" t="s">
        <v>859</v>
      </c>
      <c r="H46" s="112"/>
      <c r="I46" s="405"/>
      <c r="J46" s="409"/>
      <c r="K46" s="410"/>
      <c r="L46" s="229"/>
      <c r="M46" s="1"/>
      <c r="R46" s="3"/>
    </row>
    <row r="47" spans="1:18" ht="15.6">
      <c r="A47" s="1"/>
      <c r="B47" s="134"/>
      <c r="C47" s="16"/>
      <c r="D47" s="137">
        <v>34.68</v>
      </c>
      <c r="E47" s="138"/>
      <c r="F47" s="138"/>
      <c r="G47" s="16" t="s">
        <v>870</v>
      </c>
      <c r="H47" s="112"/>
      <c r="I47" s="405"/>
      <c r="J47" s="409"/>
      <c r="K47" s="410"/>
      <c r="L47" s="229"/>
      <c r="M47" s="1"/>
      <c r="R47" s="3"/>
    </row>
    <row r="48" spans="1:18" ht="15.6">
      <c r="A48" s="1"/>
      <c r="B48" s="134"/>
      <c r="C48" s="16"/>
      <c r="D48" s="137">
        <v>45.05</v>
      </c>
      <c r="E48" s="138"/>
      <c r="F48" s="138"/>
      <c r="G48" s="16" t="s">
        <v>873</v>
      </c>
      <c r="H48" s="112"/>
      <c r="I48" s="405"/>
      <c r="J48" s="409"/>
      <c r="K48" s="410"/>
      <c r="L48" s="229"/>
      <c r="M48" s="1"/>
      <c r="R48" s="3"/>
    </row>
    <row r="49" spans="1:18" ht="15.6">
      <c r="A49" s="1"/>
      <c r="B49" s="134"/>
      <c r="C49" s="16"/>
      <c r="D49" s="137">
        <v>38.119999999999997</v>
      </c>
      <c r="E49" s="138"/>
      <c r="F49" s="138"/>
      <c r="G49" s="16" t="s">
        <v>874</v>
      </c>
      <c r="H49" s="112"/>
      <c r="I49" s="413"/>
      <c r="J49" s="414"/>
      <c r="K49" s="415"/>
      <c r="L49" s="230"/>
      <c r="M49" s="1"/>
      <c r="R49" s="3"/>
    </row>
    <row r="50" spans="1:18" ht="15.6">
      <c r="A50" s="1"/>
      <c r="B50" s="134"/>
      <c r="C50" s="16"/>
      <c r="D50" s="137">
        <v>17.059999999999999</v>
      </c>
      <c r="E50" s="138"/>
      <c r="F50" s="138"/>
      <c r="G50" s="16" t="s">
        <v>875</v>
      </c>
      <c r="H50" s="112"/>
      <c r="I50" s="404" t="str">
        <f>AÑO!A13</f>
        <v>Gubernamental</v>
      </c>
      <c r="J50" s="407" t="s">
        <v>779</v>
      </c>
      <c r="K50" s="408"/>
      <c r="L50" s="231">
        <v>273.07</v>
      </c>
      <c r="M50" s="1"/>
      <c r="R50" s="3"/>
    </row>
    <row r="51" spans="1:18" ht="15.6">
      <c r="A51" s="1"/>
      <c r="B51" s="134"/>
      <c r="C51" s="16"/>
      <c r="D51" s="137">
        <v>28.47</v>
      </c>
      <c r="E51" s="138"/>
      <c r="F51" s="138"/>
      <c r="G51" s="16" t="s">
        <v>890</v>
      </c>
      <c r="H51" s="112"/>
      <c r="I51" s="405"/>
      <c r="J51" s="409"/>
      <c r="K51" s="410"/>
      <c r="L51" s="229"/>
      <c r="M51" s="1"/>
      <c r="R51" s="3"/>
    </row>
    <row r="52" spans="1:18" ht="15.6">
      <c r="A52" s="1"/>
      <c r="B52" s="134"/>
      <c r="C52" s="16"/>
      <c r="D52" s="137">
        <v>78.069999999999993</v>
      </c>
      <c r="E52" s="138"/>
      <c r="F52" s="138"/>
      <c r="G52" s="16" t="s">
        <v>891</v>
      </c>
      <c r="H52" s="112"/>
      <c r="I52" s="405"/>
      <c r="J52" s="409"/>
      <c r="K52" s="410"/>
      <c r="L52" s="229"/>
      <c r="M52" s="1"/>
      <c r="R52" s="3"/>
    </row>
    <row r="53" spans="1:18" ht="15.6">
      <c r="A53" s="1"/>
      <c r="B53" s="134"/>
      <c r="C53" s="16"/>
      <c r="D53" s="137">
        <v>52.47</v>
      </c>
      <c r="E53" s="138"/>
      <c r="F53" s="138"/>
      <c r="G53" s="16" t="s">
        <v>896</v>
      </c>
      <c r="H53" s="112"/>
      <c r="I53" s="405"/>
      <c r="J53" s="409"/>
      <c r="K53" s="410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12"/>
      <c r="I54" s="413"/>
      <c r="J54" s="414"/>
      <c r="K54" s="415"/>
      <c r="L54" s="230"/>
      <c r="M54" s="1"/>
      <c r="R54" s="3"/>
    </row>
    <row r="55" spans="1:18" ht="15.6">
      <c r="A55" s="1"/>
      <c r="B55" s="134"/>
      <c r="C55" s="16"/>
      <c r="D55" s="137"/>
      <c r="E55" s="138"/>
      <c r="F55" s="138"/>
      <c r="G55" s="16"/>
      <c r="H55" s="112"/>
      <c r="I55" s="404" t="str">
        <f>AÑO!A14</f>
        <v>Mutualite/DKV</v>
      </c>
      <c r="J55" s="407" t="s">
        <v>871</v>
      </c>
      <c r="K55" s="408"/>
      <c r="L55" s="231">
        <v>146.94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12"/>
      <c r="I56" s="405"/>
      <c r="J56" s="409" t="s">
        <v>345</v>
      </c>
      <c r="K56" s="410"/>
      <c r="L56" s="229">
        <f>21.94</f>
        <v>21.94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12"/>
      <c r="I57" s="405"/>
      <c r="J57" s="409"/>
      <c r="K57" s="410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12"/>
      <c r="I58" s="405"/>
      <c r="J58" s="409"/>
      <c r="K58" s="410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5.9" thickBot="1">
      <c r="A60" s="1"/>
      <c r="B60" s="135">
        <f>SUM(B46:B59)</f>
        <v>395</v>
      </c>
      <c r="C60" s="17" t="s">
        <v>51</v>
      </c>
      <c r="D60" s="135">
        <f>SUM(D46:D59)</f>
        <v>350.83000000000004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5"/>
      <c r="J63" s="409"/>
      <c r="K63" s="410"/>
      <c r="L63" s="229"/>
      <c r="M63" s="1"/>
      <c r="R63" s="3"/>
    </row>
    <row r="64" spans="1:18" ht="15.6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3"/>
      <c r="J64" s="414"/>
      <c r="K64" s="415"/>
      <c r="L64" s="230"/>
      <c r="M64" s="1"/>
      <c r="R64" s="3"/>
    </row>
    <row r="65" spans="1:18" ht="15.6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4" t="str">
        <f>AÑO!A16</f>
        <v>Otros</v>
      </c>
      <c r="J65" s="407" t="s">
        <v>867</v>
      </c>
      <c r="K65" s="408"/>
      <c r="L65" s="231">
        <v>87.95</v>
      </c>
      <c r="M65" s="1"/>
      <c r="R65" s="3"/>
    </row>
    <row r="66" spans="1:18" ht="15.6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856</v>
      </c>
      <c r="H66" s="112"/>
      <c r="I66" s="405"/>
      <c r="J66" s="409"/>
      <c r="K66" s="410"/>
      <c r="L66" s="229"/>
      <c r="M66" s="1"/>
      <c r="R66" s="3"/>
    </row>
    <row r="67" spans="1:18" ht="15.6">
      <c r="A67" s="112"/>
      <c r="B67" s="134"/>
      <c r="C67" s="16"/>
      <c r="D67" s="137">
        <v>6.9</v>
      </c>
      <c r="E67" s="138"/>
      <c r="F67" s="138"/>
      <c r="G67" s="31" t="s">
        <v>858</v>
      </c>
      <c r="H67" s="112"/>
      <c r="I67" s="405"/>
      <c r="J67" s="409"/>
      <c r="K67" s="410"/>
      <c r="L67" s="229"/>
      <c r="M67" s="1"/>
      <c r="R67" s="3"/>
    </row>
    <row r="68" spans="1:18" ht="15.6">
      <c r="A68" s="112"/>
      <c r="B68" s="134"/>
      <c r="C68" s="16"/>
      <c r="D68" s="137"/>
      <c r="E68" s="138"/>
      <c r="F68" s="138">
        <v>17</v>
      </c>
      <c r="G68" s="16" t="s">
        <v>894</v>
      </c>
      <c r="H68" s="112"/>
      <c r="I68" s="405"/>
      <c r="J68" s="409"/>
      <c r="K68" s="410"/>
      <c r="L68" s="229"/>
      <c r="M68" s="1"/>
      <c r="R68" s="3"/>
    </row>
    <row r="69" spans="1:18" ht="15.9" thickBot="1">
      <c r="A69" s="112"/>
      <c r="B69" s="134"/>
      <c r="C69" s="16"/>
      <c r="D69" s="137">
        <v>32.85</v>
      </c>
      <c r="E69" s="138"/>
      <c r="F69" s="138"/>
      <c r="G69" s="16" t="s">
        <v>893</v>
      </c>
      <c r="H69" s="112"/>
      <c r="I69" s="406"/>
      <c r="J69" s="411"/>
      <c r="K69" s="412"/>
      <c r="L69" s="232"/>
      <c r="M69" s="1"/>
      <c r="R69" s="3"/>
    </row>
    <row r="70" spans="1:18" ht="15.6">
      <c r="A70" s="112"/>
      <c r="B70" s="134"/>
      <c r="C70" s="16"/>
      <c r="D70" s="137">
        <v>32</v>
      </c>
      <c r="E70" s="138"/>
      <c r="F70" s="138"/>
      <c r="G70" s="16" t="s">
        <v>892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12"/>
      <c r="L71" s="89" t="s">
        <v>44</v>
      </c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58</v>
      </c>
      <c r="M72" s="1" t="s">
        <v>843</v>
      </c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12"/>
      <c r="I73"/>
      <c r="J73" t="s">
        <v>846</v>
      </c>
      <c r="K73">
        <v>31</v>
      </c>
      <c r="L73">
        <f>100/K73</f>
        <v>3.225806451612903</v>
      </c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I74"/>
      <c r="J74" t="s">
        <v>845</v>
      </c>
      <c r="K74">
        <f ca="1">DAY(TODAY())</f>
        <v>21</v>
      </c>
      <c r="L74">
        <f ca="1">K74*L73</f>
        <v>67.741935483870961</v>
      </c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9.7419354838709609</v>
      </c>
      <c r="M75" s="1" t="s">
        <v>844</v>
      </c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5.9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5.9" thickBot="1">
      <c r="A80" s="112"/>
      <c r="B80" s="135">
        <f>SUM(B66:B79)</f>
        <v>180</v>
      </c>
      <c r="C80" s="17" t="s">
        <v>51</v>
      </c>
      <c r="D80" s="135">
        <f>SUM(D66:D79)</f>
        <v>91.75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6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6">
      <c r="A86" s="1"/>
      <c r="B86" s="133">
        <v>200</v>
      </c>
      <c r="C86" s="19" t="s">
        <v>834</v>
      </c>
      <c r="D86" s="137"/>
      <c r="E86" s="138">
        <v>4.9000000000000004</v>
      </c>
      <c r="F86" s="138"/>
      <c r="G86" s="16" t="s">
        <v>865</v>
      </c>
      <c r="H86" s="112"/>
      <c r="M86" s="1"/>
      <c r="R86" s="3"/>
    </row>
    <row r="87" spans="1:18" ht="15.6">
      <c r="A87" s="1"/>
      <c r="B87" s="134"/>
      <c r="C87" s="16"/>
      <c r="D87" s="137"/>
      <c r="E87" s="138">
        <v>2</v>
      </c>
      <c r="F87" s="138"/>
      <c r="G87" s="16" t="s">
        <v>865</v>
      </c>
      <c r="H87" s="112"/>
      <c r="M87" s="1"/>
      <c r="R87" s="3"/>
    </row>
    <row r="88" spans="1:18" ht="15.6">
      <c r="A88" s="1"/>
      <c r="B88" s="134"/>
      <c r="C88" s="16"/>
      <c r="D88" s="137">
        <v>47.02</v>
      </c>
      <c r="E88" s="138"/>
      <c r="F88" s="138"/>
      <c r="G88" s="16" t="s">
        <v>872</v>
      </c>
      <c r="H88" s="112"/>
      <c r="M88" s="1"/>
      <c r="R88" s="3"/>
    </row>
    <row r="89" spans="1:18" ht="15.6">
      <c r="A89" s="1"/>
      <c r="B89" s="134"/>
      <c r="C89" s="16"/>
      <c r="D89" s="137">
        <v>44.45</v>
      </c>
      <c r="E89" s="138"/>
      <c r="F89" s="138"/>
      <c r="G89" s="16" t="s">
        <v>895</v>
      </c>
      <c r="H89" s="112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5.9" thickBot="1">
      <c r="A100" s="1"/>
      <c r="B100" s="135">
        <f>SUM(B86:B99)</f>
        <v>200</v>
      </c>
      <c r="C100" s="17" t="s">
        <v>51</v>
      </c>
      <c r="D100" s="135">
        <f>SUM(D86:D99)</f>
        <v>91.47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6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179</v>
      </c>
      <c r="M105" s="1"/>
      <c r="R105" s="3"/>
    </row>
    <row r="106" spans="1:18" ht="15.6">
      <c r="A106" s="112">
        <f>H106+(B106-SUM(D106:F106))</f>
        <v>3884.0415974244993</v>
      </c>
      <c r="B106" s="133">
        <f>258.47+50</f>
        <v>308.47000000000003</v>
      </c>
      <c r="C106" s="18" t="s">
        <v>837</v>
      </c>
      <c r="D106" s="137">
        <v>258.47000000000003</v>
      </c>
      <c r="E106" s="138"/>
      <c r="F106" s="138"/>
      <c r="G106" s="31" t="s">
        <v>835</v>
      </c>
      <c r="H106" s="112">
        <v>3834.0415974244993</v>
      </c>
      <c r="M106" s="1"/>
      <c r="R106" s="3"/>
    </row>
    <row r="107" spans="1:18" ht="15.6">
      <c r="A107" s="112">
        <f t="shared" ref="A107:A109" si="2">H107+(B107-SUM(D107:F107))</f>
        <v>0.66000000000005343</v>
      </c>
      <c r="B107" s="134">
        <v>70</v>
      </c>
      <c r="C107" s="18" t="s">
        <v>836</v>
      </c>
      <c r="D107" s="137">
        <v>70.36</v>
      </c>
      <c r="E107" s="138"/>
      <c r="F107" s="138"/>
      <c r="G107" s="31" t="s">
        <v>836</v>
      </c>
      <c r="H107" s="112">
        <v>1.0200000000000529</v>
      </c>
      <c r="M107" s="1"/>
      <c r="R107" s="3"/>
    </row>
    <row r="108" spans="1:18" ht="15.6">
      <c r="A108" s="112">
        <f t="shared" si="2"/>
        <v>465</v>
      </c>
      <c r="B108" s="134">
        <v>265</v>
      </c>
      <c r="C108" s="18" t="s">
        <v>838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6">
      <c r="A109" s="112">
        <f t="shared" si="2"/>
        <v>1.2899999999999991</v>
      </c>
      <c r="B109" s="134">
        <v>40</v>
      </c>
      <c r="C109" s="18" t="s">
        <v>839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6">
      <c r="A110" s="112">
        <f>H110+(B110-SUM(D110:F117))</f>
        <v>382.58</v>
      </c>
      <c r="B110" s="134">
        <v>100</v>
      </c>
      <c r="C110" s="18" t="s">
        <v>182</v>
      </c>
      <c r="D110" s="137">
        <v>5.95</v>
      </c>
      <c r="E110" s="138"/>
      <c r="F110" s="138"/>
      <c r="G110" s="31" t="s">
        <v>888</v>
      </c>
      <c r="H110" s="112">
        <v>288.52999999999997</v>
      </c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A118" s="112">
        <f>H118+(B118-SUM(D118:F119))</f>
        <v>497.93</v>
      </c>
      <c r="B118" s="134">
        <v>70</v>
      </c>
      <c r="C118" s="18" t="s">
        <v>840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5.9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5.9" thickBot="1">
      <c r="A120" s="113">
        <f>SUM(A106:A119)</f>
        <v>5231.5015974244989</v>
      </c>
      <c r="B120" s="135">
        <f>SUM(B106:B119)</f>
        <v>853.47</v>
      </c>
      <c r="C120" s="17" t="s">
        <v>51</v>
      </c>
      <c r="D120" s="135">
        <f>SUM(D106:D119)</f>
        <v>373.49</v>
      </c>
      <c r="E120" s="135">
        <f>SUM(E106:E119)</f>
        <v>0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6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179</v>
      </c>
      <c r="M125" s="1"/>
      <c r="R125" s="3"/>
    </row>
    <row r="126" spans="1:18" ht="15.6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746</v>
      </c>
      <c r="M126" s="1"/>
      <c r="R126" s="3"/>
    </row>
    <row r="127" spans="1:18" ht="15.6">
      <c r="A127" s="112">
        <f>H127+(B127-SUM(D127:F128))</f>
        <v>32.5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>
        <v>17.5</v>
      </c>
      <c r="I127" s="113">
        <f>D127+D128</f>
        <v>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6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6">
      <c r="A130" s="112">
        <f>H130+(B130-SUM(D130:F130))</f>
        <v>2.5</v>
      </c>
      <c r="B130" s="134">
        <v>2.5</v>
      </c>
      <c r="C130" s="16" t="s">
        <v>841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5.9" thickBot="1">
      <c r="A140" s="113">
        <f>SUM(A126:A139)</f>
        <v>85.59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6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6">
      <c r="A146" s="1"/>
      <c r="B146" s="133">
        <v>40</v>
      </c>
      <c r="C146" s="19" t="s">
        <v>842</v>
      </c>
      <c r="D146" s="137">
        <v>24.87</v>
      </c>
      <c r="E146" s="138"/>
      <c r="F146" s="138"/>
      <c r="G146" s="16" t="s">
        <v>882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5.9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881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80</v>
      </c>
      <c r="C186" s="19" t="s">
        <v>813</v>
      </c>
      <c r="D186" s="137">
        <v>64.95</v>
      </c>
      <c r="E186" s="138"/>
      <c r="F186" s="138"/>
      <c r="G186" s="16" t="s">
        <v>857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64.95</v>
      </c>
      <c r="C187" s="16" t="s">
        <v>860</v>
      </c>
      <c r="D187" s="137">
        <v>25.99</v>
      </c>
      <c r="E187" s="138"/>
      <c r="F187" s="138"/>
      <c r="G187" s="16" t="s">
        <v>863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19.989999999999998</v>
      </c>
      <c r="E188" s="138"/>
      <c r="F188" s="138"/>
      <c r="G188" s="16" t="s">
        <v>864</v>
      </c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5.9" thickBot="1">
      <c r="B199" s="135"/>
      <c r="C199" s="17"/>
      <c r="D199" s="135"/>
      <c r="E199" s="139"/>
      <c r="F199" s="139"/>
      <c r="G199" s="17"/>
      <c r="H199" s="112"/>
    </row>
    <row r="200" spans="2:12" ht="15.9" thickBot="1">
      <c r="B200" s="135">
        <f>SUM(B186:B199)</f>
        <v>144.94999999999999</v>
      </c>
      <c r="C200" s="17" t="s">
        <v>51</v>
      </c>
      <c r="D200" s="135">
        <f>SUM(D186:D199)</f>
        <v>110.92999999999999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5.9" thickBot="1">
      <c r="B201" s="5"/>
      <c r="C201" s="3"/>
      <c r="D201" s="5"/>
      <c r="E201" s="5"/>
      <c r="H201" s="112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6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6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6">
      <c r="B206" s="133">
        <v>35</v>
      </c>
      <c r="C206" s="19"/>
      <c r="D206" s="137">
        <v>54.04</v>
      </c>
      <c r="E206" s="138"/>
      <c r="F206" s="138"/>
      <c r="G206" s="16" t="s">
        <v>879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5.9" thickBot="1">
      <c r="B219" s="135"/>
      <c r="C219" s="17"/>
      <c r="D219" s="135"/>
      <c r="E219" s="139"/>
      <c r="F219" s="139"/>
      <c r="G219" s="17"/>
      <c r="H219" s="112"/>
    </row>
    <row r="220" spans="2:8" ht="15.9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5.9" thickBot="1">
      <c r="B221" s="5"/>
      <c r="C221" s="3"/>
      <c r="D221" s="5"/>
      <c r="E221" s="5"/>
      <c r="H221" s="112"/>
    </row>
    <row r="222" spans="2:8" ht="14.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6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6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6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6">
      <c r="B227" s="134"/>
      <c r="C227" s="16" t="s">
        <v>40</v>
      </c>
      <c r="D227" s="137"/>
      <c r="E227" s="138"/>
      <c r="F227" s="138"/>
      <c r="G227" s="16"/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5.9" thickBot="1">
      <c r="B239" s="135"/>
      <c r="C239" s="17"/>
      <c r="D239" s="135"/>
      <c r="E239" s="139"/>
      <c r="F239" s="139"/>
      <c r="G239" s="17"/>
      <c r="H239" s="112"/>
    </row>
    <row r="240" spans="2:8" ht="15.9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5.9" thickBot="1">
      <c r="B241" s="5"/>
      <c r="C241" s="3"/>
      <c r="D241" s="5"/>
      <c r="E241" s="5"/>
      <c r="H241" s="112"/>
    </row>
    <row r="242" spans="1:8" ht="14.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1:8" ht="15" customHeight="1" thickBot="1">
      <c r="B243" s="419"/>
      <c r="C243" s="420"/>
      <c r="D243" s="420"/>
      <c r="E243" s="420"/>
      <c r="F243" s="420"/>
      <c r="G243" s="421"/>
      <c r="H243" s="112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1:8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179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281</v>
      </c>
      <c r="D246" s="137">
        <v>24.46</v>
      </c>
      <c r="E246" s="138"/>
      <c r="F246" s="138"/>
      <c r="G246" s="16" t="s">
        <v>898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6">
      <c r="A248" s="112"/>
      <c r="B248" s="134"/>
      <c r="C248" s="16"/>
      <c r="D248" s="137"/>
      <c r="E248" s="138"/>
      <c r="F248" s="138"/>
      <c r="G248" s="16"/>
      <c r="H248" s="112"/>
    </row>
    <row r="249" spans="1:8" ht="15.6">
      <c r="A249" s="112"/>
      <c r="B249" s="134"/>
      <c r="C249" s="16"/>
      <c r="D249" s="137"/>
      <c r="E249" s="138"/>
      <c r="F249" s="138"/>
      <c r="G249" s="16"/>
      <c r="H249" s="112"/>
    </row>
    <row r="250" spans="1:8" ht="15.6">
      <c r="A250" s="112"/>
      <c r="B250" s="134"/>
      <c r="C250" s="16"/>
      <c r="D250" s="137"/>
      <c r="E250" s="138"/>
      <c r="F250" s="138"/>
      <c r="G250" s="16"/>
      <c r="H250" s="112"/>
    </row>
    <row r="251" spans="1:8" ht="15.6">
      <c r="A251" s="112"/>
      <c r="B251" s="134"/>
      <c r="C251" s="16"/>
      <c r="D251" s="137"/>
      <c r="E251" s="138"/>
      <c r="F251" s="138"/>
      <c r="G251" s="16"/>
      <c r="H251" s="112"/>
    </row>
    <row r="252" spans="1:8" ht="15.6">
      <c r="A252" s="112"/>
      <c r="B252" s="134"/>
      <c r="C252" s="16"/>
      <c r="D252" s="137"/>
      <c r="E252" s="138"/>
      <c r="F252" s="138"/>
      <c r="G252" s="16"/>
      <c r="H252" s="112"/>
    </row>
    <row r="253" spans="1:8" ht="15.6">
      <c r="A253" s="112"/>
      <c r="B253" s="134"/>
      <c r="C253" s="16"/>
      <c r="D253" s="137"/>
      <c r="E253" s="138"/>
      <c r="F253" s="138"/>
      <c r="G253" s="16"/>
      <c r="H253" s="112"/>
    </row>
    <row r="254" spans="1:8" ht="15.6">
      <c r="A254" s="112"/>
      <c r="B254" s="134"/>
      <c r="C254" s="16"/>
      <c r="D254" s="137"/>
      <c r="E254" s="138"/>
      <c r="F254" s="138"/>
      <c r="G254" s="16"/>
      <c r="H254" s="112"/>
    </row>
    <row r="255" spans="1:8" ht="15.6">
      <c r="A255" s="112"/>
      <c r="B255" s="134"/>
      <c r="C255" s="16"/>
      <c r="D255" s="137"/>
      <c r="E255" s="138"/>
      <c r="F255" s="138"/>
      <c r="G255" s="16"/>
      <c r="H255" s="112"/>
    </row>
    <row r="256" spans="1:8" ht="15.6">
      <c r="A256" s="112">
        <f>H256+(B256-SUM(D256:F256))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  <c r="H256" s="112">
        <v>70</v>
      </c>
    </row>
    <row r="257" spans="1:9" ht="15.6">
      <c r="A257" s="112">
        <f>H257+(B257-SUM(D257:F257))</f>
        <v>402.77000000000004</v>
      </c>
      <c r="B257" s="134">
        <f>0</f>
        <v>0</v>
      </c>
      <c r="C257" s="16" t="s">
        <v>814</v>
      </c>
      <c r="D257" s="137"/>
      <c r="E257" s="138"/>
      <c r="F257" s="138"/>
      <c r="G257" s="16" t="s">
        <v>284</v>
      </c>
      <c r="H257" s="112">
        <v>402.77000000000004</v>
      </c>
      <c r="I257" s="89">
        <f>1208-(100.67*8)</f>
        <v>402.64</v>
      </c>
    </row>
    <row r="258" spans="1:9" ht="15.6">
      <c r="A258" s="112"/>
      <c r="B258" s="134"/>
      <c r="C258" s="16"/>
      <c r="D258" s="137"/>
      <c r="E258" s="138"/>
      <c r="F258" s="138"/>
      <c r="G258" s="16"/>
      <c r="H258" s="112"/>
    </row>
    <row r="259" spans="1:9" ht="15.9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5.9" thickBot="1">
      <c r="A260" s="112">
        <f>SUM(A246:A259)</f>
        <v>502.44000000000005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5.9" thickBot="1">
      <c r="B261" s="5"/>
      <c r="C261" s="3"/>
      <c r="D261" s="5"/>
      <c r="E261" s="5"/>
      <c r="H261" s="112"/>
    </row>
    <row r="262" spans="1:9" ht="14.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1:9" ht="15" customHeight="1" thickBot="1">
      <c r="B263" s="419"/>
      <c r="C263" s="420"/>
      <c r="D263" s="420"/>
      <c r="E263" s="420"/>
      <c r="F263" s="420"/>
      <c r="G263" s="421"/>
      <c r="H263" s="112"/>
    </row>
    <row r="264" spans="1:9" ht="15.6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1:9" ht="15.6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6">
      <c r="B266" s="133">
        <v>10</v>
      </c>
      <c r="C266" s="19"/>
      <c r="D266" s="137"/>
      <c r="E266" s="138"/>
      <c r="F266" s="138"/>
      <c r="G266" s="16"/>
      <c r="H266" s="112"/>
    </row>
    <row r="267" spans="1:9" ht="15.6">
      <c r="B267" s="134"/>
      <c r="C267" s="16"/>
      <c r="D267" s="137"/>
      <c r="E267" s="138"/>
      <c r="F267" s="138"/>
      <c r="G267" s="16"/>
      <c r="H267" s="112"/>
    </row>
    <row r="268" spans="1:9" ht="15.6">
      <c r="B268" s="134"/>
      <c r="C268" s="16"/>
      <c r="D268" s="137"/>
      <c r="E268" s="138"/>
      <c r="F268" s="138"/>
      <c r="G268" s="16"/>
      <c r="H268" s="112"/>
    </row>
    <row r="269" spans="1:9" ht="15.6">
      <c r="B269" s="134"/>
      <c r="C269" s="16"/>
      <c r="D269" s="137"/>
      <c r="E269" s="138"/>
      <c r="F269" s="138"/>
      <c r="G269" s="16"/>
      <c r="H269" s="112"/>
    </row>
    <row r="270" spans="1:9" ht="15.6">
      <c r="B270" s="134"/>
      <c r="C270" s="16"/>
      <c r="D270" s="137"/>
      <c r="E270" s="138"/>
      <c r="F270" s="138"/>
      <c r="G270" s="16"/>
      <c r="H270" s="112"/>
    </row>
    <row r="271" spans="1:9" ht="15.6">
      <c r="B271" s="134"/>
      <c r="C271" s="16"/>
      <c r="D271" s="137"/>
      <c r="E271" s="138"/>
      <c r="F271" s="138"/>
      <c r="G271" s="16"/>
      <c r="H271" s="112"/>
    </row>
    <row r="272" spans="1:9" ht="15.6">
      <c r="B272" s="134"/>
      <c r="C272" s="16"/>
      <c r="D272" s="137"/>
      <c r="E272" s="138"/>
      <c r="F272" s="138"/>
      <c r="G272" s="16"/>
      <c r="H272" s="112"/>
    </row>
    <row r="273" spans="1:8" ht="15.6">
      <c r="B273" s="134"/>
      <c r="C273" s="16"/>
      <c r="D273" s="137"/>
      <c r="E273" s="138"/>
      <c r="F273" s="138"/>
      <c r="G273" s="16"/>
      <c r="H273" s="112"/>
    </row>
    <row r="274" spans="1:8" ht="15.6">
      <c r="B274" s="134"/>
      <c r="C274" s="16"/>
      <c r="D274" s="137"/>
      <c r="E274" s="138"/>
      <c r="F274" s="138"/>
      <c r="G274" s="16"/>
      <c r="H274" s="112"/>
    </row>
    <row r="275" spans="1:8" ht="15.6">
      <c r="B275" s="134"/>
      <c r="C275" s="16"/>
      <c r="D275" s="137"/>
      <c r="E275" s="138"/>
      <c r="F275" s="138"/>
      <c r="G275" s="16"/>
      <c r="H275" s="112"/>
    </row>
    <row r="276" spans="1:8" ht="15.6">
      <c r="B276" s="134"/>
      <c r="C276" s="16"/>
      <c r="D276" s="137"/>
      <c r="E276" s="138"/>
      <c r="F276" s="138"/>
      <c r="G276" s="16"/>
      <c r="H276" s="112"/>
    </row>
    <row r="277" spans="1:8" ht="15.6">
      <c r="B277" s="134"/>
      <c r="C277" s="16"/>
      <c r="D277" s="137"/>
      <c r="E277" s="138"/>
      <c r="F277" s="138"/>
      <c r="G277" s="16"/>
      <c r="H277" s="112"/>
    </row>
    <row r="278" spans="1:8" ht="15.6">
      <c r="B278" s="134"/>
      <c r="C278" s="16"/>
      <c r="D278" s="137"/>
      <c r="E278" s="138"/>
      <c r="F278" s="138"/>
      <c r="G278" s="16"/>
      <c r="H278" s="112"/>
    </row>
    <row r="279" spans="1:8" ht="15.9" thickBot="1">
      <c r="B279" s="135"/>
      <c r="C279" s="17"/>
      <c r="D279" s="135"/>
      <c r="E279" s="139"/>
      <c r="F279" s="139"/>
      <c r="G279" s="17"/>
      <c r="H279" s="112"/>
    </row>
    <row r="280" spans="1:8" ht="15.9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5.9" thickBot="1">
      <c r="B281" s="5"/>
      <c r="C281" s="3"/>
      <c r="D281" s="5"/>
      <c r="E281" s="5"/>
      <c r="H281" s="112"/>
    </row>
    <row r="282" spans="1:8" ht="14.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1:8" ht="15" customHeight="1" thickBot="1">
      <c r="B283" s="419"/>
      <c r="C283" s="420"/>
      <c r="D283" s="420"/>
      <c r="E283" s="420"/>
      <c r="F283" s="420"/>
      <c r="G283" s="421"/>
      <c r="H283" s="112"/>
    </row>
    <row r="284" spans="1:8" ht="15.6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179</v>
      </c>
    </row>
    <row r="286" spans="1:8" ht="15.6">
      <c r="A286" s="112">
        <f>H286+(SUM(B286:B298)-SUM(D286:F298))</f>
        <v>46.209999999999781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866</v>
      </c>
      <c r="H286" s="112">
        <v>14.829999999999785</v>
      </c>
    </row>
    <row r="287" spans="1:8" ht="15.6">
      <c r="A287" s="112"/>
      <c r="B287" s="134">
        <f>L65</f>
        <v>87.95</v>
      </c>
      <c r="C287" s="16" t="s">
        <v>867</v>
      </c>
      <c r="D287" s="137"/>
      <c r="E287" s="138">
        <v>34.369999999999997</v>
      </c>
      <c r="F287" s="138"/>
      <c r="G287" s="16" t="s">
        <v>889</v>
      </c>
      <c r="H287" s="112"/>
    </row>
    <row r="288" spans="1:8" ht="15.6">
      <c r="A288" s="112"/>
      <c r="B288" s="134"/>
      <c r="C288" s="16"/>
      <c r="D288" s="137"/>
      <c r="E288" s="138"/>
      <c r="F288" s="138"/>
      <c r="G288" s="16"/>
      <c r="H288" s="112"/>
    </row>
    <row r="289" spans="1:8" ht="15.6">
      <c r="A289" s="112"/>
      <c r="B289" s="134"/>
      <c r="C289" s="16"/>
      <c r="D289" s="137"/>
      <c r="E289" s="138"/>
      <c r="F289" s="138"/>
      <c r="G289" s="16"/>
      <c r="H289" s="112"/>
    </row>
    <row r="290" spans="1:8" ht="15.6">
      <c r="A290" s="112"/>
      <c r="B290" s="134"/>
      <c r="C290" s="16"/>
      <c r="D290" s="137"/>
      <c r="E290" s="138"/>
      <c r="F290" s="138"/>
      <c r="G290" s="16"/>
      <c r="H290" s="112"/>
    </row>
    <row r="291" spans="1:8" ht="15.6">
      <c r="A291" s="112"/>
      <c r="B291" s="134"/>
      <c r="C291" s="16"/>
      <c r="D291" s="137"/>
      <c r="E291" s="138"/>
      <c r="F291" s="138"/>
      <c r="G291" s="16"/>
      <c r="H291" s="112"/>
    </row>
    <row r="292" spans="1:8" ht="15.6">
      <c r="A292" s="112"/>
      <c r="B292" s="134"/>
      <c r="C292" s="16"/>
      <c r="D292" s="137"/>
      <c r="E292" s="138"/>
      <c r="F292" s="138"/>
      <c r="G292" s="16"/>
      <c r="H292" s="112"/>
    </row>
    <row r="293" spans="1:8" ht="15.6">
      <c r="A293" s="112"/>
      <c r="B293" s="134"/>
      <c r="C293" s="16"/>
      <c r="D293" s="137"/>
      <c r="E293" s="138"/>
      <c r="F293" s="138"/>
      <c r="G293" s="16"/>
      <c r="H293" s="112"/>
    </row>
    <row r="294" spans="1:8" ht="15.6">
      <c r="A294" s="112"/>
      <c r="B294" s="134"/>
      <c r="C294" s="16"/>
      <c r="D294" s="137"/>
      <c r="E294" s="138"/>
      <c r="F294" s="138"/>
      <c r="G294" s="16"/>
      <c r="H294" s="112"/>
    </row>
    <row r="295" spans="1:8" ht="15.6">
      <c r="A295" s="112"/>
      <c r="B295" s="134"/>
      <c r="C295" s="16"/>
      <c r="D295" s="137"/>
      <c r="E295" s="138"/>
      <c r="F295" s="138"/>
      <c r="G295" s="16"/>
      <c r="H295" s="112"/>
    </row>
    <row r="296" spans="1:8" ht="15.6">
      <c r="A296" s="112"/>
      <c r="B296" s="134"/>
      <c r="C296" s="16"/>
      <c r="D296" s="137"/>
      <c r="E296" s="138"/>
      <c r="F296" s="138"/>
      <c r="G296" s="16"/>
      <c r="H296" s="112"/>
    </row>
    <row r="297" spans="1:8" ht="15.6">
      <c r="A297" s="112"/>
      <c r="B297" s="134"/>
      <c r="C297" s="16"/>
      <c r="D297" s="137"/>
      <c r="E297" s="138"/>
      <c r="F297" s="138"/>
      <c r="G297" s="16"/>
      <c r="H297" s="112"/>
    </row>
    <row r="298" spans="1:8" ht="15.6">
      <c r="A298" s="112"/>
      <c r="B298" s="134"/>
      <c r="C298" s="16"/>
      <c r="D298" s="137"/>
      <c r="E298" s="138"/>
      <c r="F298" s="138"/>
      <c r="G298" s="16"/>
      <c r="H298" s="112"/>
    </row>
    <row r="299" spans="1:8" ht="15.9" thickBot="1">
      <c r="A299" s="112">
        <f>H299+(B299-SUM(D299:F299))</f>
        <v>50</v>
      </c>
      <c r="B299" s="135">
        <v>50</v>
      </c>
      <c r="C299" s="17" t="s">
        <v>815</v>
      </c>
      <c r="D299" s="135"/>
      <c r="E299" s="139"/>
      <c r="F299" s="139"/>
      <c r="G299" s="17"/>
      <c r="H299" s="112">
        <v>0</v>
      </c>
    </row>
    <row r="300" spans="1:8" ht="15.9" thickBot="1">
      <c r="A300" s="112">
        <f>SUM(A286:A299)</f>
        <v>96.209999999999781</v>
      </c>
      <c r="B300" s="135">
        <f>SUM(B286:B299)</f>
        <v>197.95</v>
      </c>
      <c r="C300" s="17" t="s">
        <v>51</v>
      </c>
      <c r="D300" s="135">
        <f>SUM(D286:D299)</f>
        <v>82.2</v>
      </c>
      <c r="E300" s="135">
        <f>SUM(E286:E299)</f>
        <v>34.369999999999997</v>
      </c>
      <c r="F300" s="135">
        <f>SUM(F286:F299)</f>
        <v>0</v>
      </c>
      <c r="G300" s="17" t="s">
        <v>51</v>
      </c>
      <c r="H300" s="112"/>
    </row>
    <row r="301" spans="1:8" ht="15.9" thickBot="1">
      <c r="B301" s="5"/>
      <c r="C301" s="3"/>
      <c r="D301" s="5"/>
      <c r="E301" s="5"/>
      <c r="H301" s="112"/>
    </row>
    <row r="302" spans="1:8" ht="14.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1:8" ht="15" customHeight="1" thickBot="1">
      <c r="B303" s="419"/>
      <c r="C303" s="420"/>
      <c r="D303" s="420"/>
      <c r="E303" s="420"/>
      <c r="F303" s="420"/>
      <c r="G303" s="421"/>
      <c r="H303" s="112"/>
    </row>
    <row r="304" spans="1:8" ht="15.6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6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6">
      <c r="B306" s="133">
        <v>130</v>
      </c>
      <c r="C306" s="19" t="s">
        <v>221</v>
      </c>
      <c r="D306" s="137">
        <v>170.25</v>
      </c>
      <c r="E306" s="138"/>
      <c r="F306" s="138"/>
      <c r="G306" s="16" t="s">
        <v>854</v>
      </c>
      <c r="H306" s="112"/>
    </row>
    <row r="307" spans="2:8" ht="15.6">
      <c r="B307" s="134">
        <f>L55</f>
        <v>146.94</v>
      </c>
      <c r="C307" s="27" t="s">
        <v>871</v>
      </c>
      <c r="D307" s="137">
        <v>32.369999999999997</v>
      </c>
      <c r="E307" s="138"/>
      <c r="F307" s="138"/>
      <c r="G307" s="16" t="s">
        <v>862</v>
      </c>
      <c r="H307" s="112"/>
    </row>
    <row r="308" spans="2:8" ht="15.6">
      <c r="B308" s="134">
        <f>L56</f>
        <v>21.94</v>
      </c>
      <c r="C308" s="27" t="s">
        <v>345</v>
      </c>
      <c r="D308" s="137"/>
      <c r="E308" s="138"/>
      <c r="F308" s="138">
        <v>80</v>
      </c>
      <c r="G308" s="16" t="s">
        <v>868</v>
      </c>
      <c r="H308" s="112"/>
    </row>
    <row r="309" spans="2:8" ht="15.6">
      <c r="B309" s="134"/>
      <c r="C309" s="16"/>
      <c r="D309" s="137">
        <f>37.5+37.5</f>
        <v>75</v>
      </c>
      <c r="E309" s="138"/>
      <c r="F309" s="138"/>
      <c r="G309" s="16" t="s">
        <v>869</v>
      </c>
      <c r="H309" s="112"/>
    </row>
    <row r="310" spans="2:8" ht="15.6">
      <c r="B310" s="134"/>
      <c r="C310" s="16"/>
      <c r="D310" s="137">
        <v>25</v>
      </c>
      <c r="E310" s="138"/>
      <c r="F310" s="138"/>
      <c r="G310" s="16" t="s">
        <v>885</v>
      </c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5.9" thickBot="1">
      <c r="B319" s="135"/>
      <c r="C319" s="17"/>
      <c r="D319" s="135"/>
      <c r="E319" s="139"/>
      <c r="F319" s="139"/>
      <c r="G319" s="17"/>
      <c r="H319" s="112"/>
    </row>
    <row r="320" spans="2:8" ht="15.9" thickBot="1">
      <c r="B320" s="135">
        <f>SUM(B306:B319)</f>
        <v>298.88</v>
      </c>
      <c r="C320" s="17" t="s">
        <v>51</v>
      </c>
      <c r="D320" s="135">
        <f>SUM(D306:D319)</f>
        <v>302.62</v>
      </c>
      <c r="E320" s="135">
        <f>SUM(E306:E319)</f>
        <v>0</v>
      </c>
      <c r="F320" s="135">
        <f>SUM(F306:F319)</f>
        <v>80</v>
      </c>
      <c r="G320" s="17" t="s">
        <v>51</v>
      </c>
      <c r="H320" s="112"/>
    </row>
    <row r="321" spans="2:8" ht="15.9" thickBot="1">
      <c r="H321" s="112"/>
    </row>
    <row r="322" spans="2:8" ht="14.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6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6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6">
      <c r="B326" s="133">
        <v>90</v>
      </c>
      <c r="C326" s="19"/>
      <c r="D326" s="137">
        <v>15</v>
      </c>
      <c r="E326" s="138"/>
      <c r="F326" s="138"/>
      <c r="G326" s="16" t="s">
        <v>897</v>
      </c>
      <c r="H326" s="112"/>
    </row>
    <row r="327" spans="2:8" ht="15.6">
      <c r="B327" s="134">
        <v>0.02</v>
      </c>
      <c r="C327" s="16" t="s">
        <v>884</v>
      </c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5.9" thickBot="1">
      <c r="B339" s="135"/>
      <c r="C339" s="17"/>
      <c r="D339" s="135"/>
      <c r="E339" s="139"/>
      <c r="F339" s="139"/>
      <c r="G339" s="17"/>
      <c r="H339" s="112"/>
    </row>
    <row r="340" spans="2:8" ht="15.9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5.9" thickBot="1">
      <c r="B341" s="5"/>
      <c r="C341" s="3"/>
      <c r="D341" s="5"/>
      <c r="E341" s="5"/>
      <c r="H341" s="112"/>
    </row>
    <row r="342" spans="2:8" ht="14.5" customHeight="1">
      <c r="B342" s="428" t="str">
        <f>AÑO!A37</f>
        <v>Imprevistos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6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6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6">
      <c r="B346" s="133">
        <v>5</v>
      </c>
      <c r="C346" s="19"/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5.9" thickBot="1">
      <c r="B359" s="135"/>
      <c r="C359" s="17"/>
      <c r="D359" s="135"/>
      <c r="E359" s="139"/>
      <c r="F359" s="139"/>
      <c r="G359" s="17"/>
      <c r="H359" s="112"/>
    </row>
    <row r="360" spans="2:8" ht="15.9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5.9" thickBot="1">
      <c r="B361" s="5"/>
      <c r="C361" s="3"/>
      <c r="D361" s="5"/>
      <c r="E361" s="5"/>
      <c r="H361" s="112"/>
    </row>
    <row r="362" spans="2:8" ht="14.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6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6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6">
      <c r="B366" s="133">
        <v>60</v>
      </c>
      <c r="C366" s="19" t="s">
        <v>31</v>
      </c>
      <c r="D366" s="137">
        <f>6.9</f>
        <v>6.9</v>
      </c>
      <c r="E366" s="138"/>
      <c r="F366" s="138">
        <f>4.5</f>
        <v>4.5</v>
      </c>
      <c r="G366" s="31" t="s">
        <v>65</v>
      </c>
      <c r="H366" s="112"/>
    </row>
    <row r="367" spans="2:8" ht="15.6">
      <c r="B367" s="134"/>
      <c r="C367" s="16"/>
      <c r="D367" s="137">
        <v>5.01</v>
      </c>
      <c r="E367" s="138"/>
      <c r="F367" s="138"/>
      <c r="G367" s="31" t="s">
        <v>880</v>
      </c>
      <c r="H367" s="112"/>
    </row>
    <row r="368" spans="2:8" ht="15.6">
      <c r="B368" s="134"/>
      <c r="C368" s="16"/>
      <c r="D368" s="137"/>
      <c r="E368" s="138"/>
      <c r="F368" s="138"/>
      <c r="G368" s="16"/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5.9" thickBot="1">
      <c r="B379" s="135"/>
      <c r="C379" s="17"/>
      <c r="D379" s="135"/>
      <c r="E379" s="139"/>
      <c r="F379" s="139"/>
      <c r="G379" s="17"/>
      <c r="H379" s="112"/>
    </row>
    <row r="380" spans="2:8" ht="15.9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4.5</v>
      </c>
      <c r="G380" s="17" t="s">
        <v>51</v>
      </c>
      <c r="H380" s="112"/>
    </row>
    <row r="381" spans="2:8" ht="15.9" thickBot="1">
      <c r="B381" s="5"/>
      <c r="C381" s="3"/>
      <c r="D381" s="5"/>
      <c r="E381" s="5"/>
      <c r="H381" s="112"/>
    </row>
    <row r="382" spans="2:8" ht="14.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6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6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6">
      <c r="B386" s="133">
        <v>10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5.9" thickBot="1">
      <c r="B399" s="135"/>
      <c r="C399" s="17"/>
      <c r="D399" s="135"/>
      <c r="E399" s="139"/>
      <c r="F399" s="139"/>
      <c r="G399" s="17"/>
      <c r="H399" s="112"/>
    </row>
    <row r="400" spans="2:8" ht="15.9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5.9" thickBot="1">
      <c r="B401" s="5"/>
      <c r="C401" s="3"/>
      <c r="D401" s="5"/>
      <c r="E401" s="5"/>
      <c r="H401" s="112"/>
    </row>
    <row r="402" spans="2:8" ht="14.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6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6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6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829</v>
      </c>
      <c r="H406" s="112"/>
    </row>
    <row r="407" spans="2:8" ht="15.6">
      <c r="B407" s="134">
        <v>0.63</v>
      </c>
      <c r="C407" s="16" t="s">
        <v>832</v>
      </c>
      <c r="D407" s="137">
        <v>4.45</v>
      </c>
      <c r="E407" s="138"/>
      <c r="F407" s="138"/>
      <c r="G407" s="16" t="s">
        <v>833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5.9" thickBot="1">
      <c r="B419" s="135"/>
      <c r="C419" s="17"/>
      <c r="D419" s="135"/>
      <c r="E419" s="139"/>
      <c r="F419" s="139"/>
      <c r="G419" s="17"/>
      <c r="H419" s="112"/>
    </row>
    <row r="420" spans="1:8" ht="15.9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5.9" thickBot="1">
      <c r="B421" s="5"/>
      <c r="C421" s="3"/>
      <c r="D421" s="5"/>
      <c r="E421" s="5"/>
      <c r="H421" s="112"/>
    </row>
    <row r="422" spans="1:8" ht="14.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6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6">
      <c r="A425" s="113">
        <f>AÑO!C17</f>
        <v>1745.7899999999997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6">
      <c r="A426" s="112">
        <v>4300</v>
      </c>
      <c r="B426" s="134">
        <f>A425-SUM(A426:A439)</f>
        <v>-3956.5299999999988</v>
      </c>
      <c r="C426" s="19" t="s">
        <v>222</v>
      </c>
      <c r="D426" s="137"/>
      <c r="E426" s="138"/>
      <c r="F426" s="138"/>
      <c r="G426" s="16"/>
      <c r="H426" s="112"/>
    </row>
    <row r="427" spans="1:8" ht="15.6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6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6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6">
      <c r="A430" s="113">
        <f>L56</f>
        <v>21.94</v>
      </c>
      <c r="B430" s="134"/>
      <c r="C430" s="16"/>
      <c r="D430" s="137"/>
      <c r="E430" s="138"/>
      <c r="F430" s="138"/>
      <c r="G430" s="16"/>
      <c r="H430" s="112"/>
    </row>
    <row r="431" spans="1:8" ht="15.6">
      <c r="A431" s="113">
        <f>L55</f>
        <v>146.94</v>
      </c>
      <c r="B431" s="134"/>
      <c r="C431" s="16"/>
      <c r="D431" s="137"/>
      <c r="E431" s="138"/>
      <c r="F431" s="138"/>
      <c r="G431" s="16"/>
      <c r="H431" s="112"/>
    </row>
    <row r="432" spans="1:8" ht="15.6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5.9" thickBot="1">
      <c r="B439" s="135"/>
      <c r="C439" s="17"/>
      <c r="D439" s="135"/>
      <c r="E439" s="139"/>
      <c r="F439" s="139"/>
      <c r="G439" s="17"/>
      <c r="H439" s="112"/>
    </row>
    <row r="440" spans="2:8" ht="15.9" thickBot="1">
      <c r="B440" s="135">
        <f>SUM(B426:B439)</f>
        <v>-3956.5299999999988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5.9" thickBot="1">
      <c r="B441" s="5"/>
      <c r="C441" s="3"/>
      <c r="D441" s="5"/>
      <c r="E441" s="5"/>
      <c r="H441" s="112"/>
    </row>
    <row r="442" spans="2:8" ht="14.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6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6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6">
      <c r="B446" s="133"/>
      <c r="C446" s="19"/>
      <c r="D446" s="137">
        <v>1.98</v>
      </c>
      <c r="E446" s="138"/>
      <c r="F446" s="138"/>
      <c r="G446" s="16" t="s">
        <v>830</v>
      </c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5.9" thickBot="1">
      <c r="B459" s="135"/>
      <c r="C459" s="17"/>
      <c r="D459" s="135"/>
      <c r="E459" s="139"/>
      <c r="F459" s="139"/>
      <c r="G459" s="17"/>
      <c r="H459" s="112"/>
    </row>
    <row r="460" spans="2:8" ht="15.9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5.9" thickBot="1">
      <c r="B461" s="5"/>
      <c r="C461" s="3"/>
      <c r="D461" s="5"/>
      <c r="E461" s="5"/>
      <c r="H461" s="112"/>
    </row>
    <row r="462" spans="2:8" ht="14.5" customHeight="1">
      <c r="B462" s="428" t="str">
        <f>AÑO!A43</f>
        <v>NULO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6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6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6">
      <c r="A466" s="112"/>
      <c r="B466" s="134"/>
      <c r="C466" s="16"/>
      <c r="D466" s="137"/>
      <c r="E466" s="138"/>
      <c r="F466" s="138"/>
      <c r="G466" s="16"/>
      <c r="H466" s="112"/>
    </row>
    <row r="467" spans="1:8" ht="15.6">
      <c r="A467" s="112"/>
      <c r="B467" s="134"/>
      <c r="C467" s="16"/>
      <c r="D467" s="137"/>
      <c r="E467" s="138"/>
      <c r="F467" s="138"/>
      <c r="G467" s="16"/>
      <c r="H467" s="112"/>
    </row>
    <row r="468" spans="1:8" ht="15.6">
      <c r="A468" s="112"/>
      <c r="B468" s="134"/>
      <c r="C468" s="16"/>
      <c r="D468" s="137"/>
      <c r="E468" s="138"/>
      <c r="F468" s="138"/>
      <c r="G468" s="16"/>
      <c r="H468" s="112"/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5.9" thickBot="1">
      <c r="B479" s="135"/>
      <c r="C479" s="17"/>
      <c r="D479" s="135"/>
      <c r="E479" s="139"/>
      <c r="F479" s="139"/>
      <c r="G479" s="17"/>
      <c r="H479" s="112"/>
    </row>
    <row r="480" spans="1:8" ht="15.9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5.9" thickBot="1">
      <c r="H481" s="112"/>
    </row>
    <row r="482" spans="2:8" ht="14.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6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6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5.9" thickBot="1">
      <c r="B499" s="135"/>
      <c r="C499" s="17"/>
      <c r="D499" s="135"/>
      <c r="E499" s="139"/>
      <c r="F499" s="139"/>
      <c r="G499" s="17"/>
      <c r="H499" s="112"/>
    </row>
    <row r="500" spans="2:8" ht="15.9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5.9" thickBot="1">
      <c r="B501" s="5"/>
      <c r="C501" s="3"/>
      <c r="D501" s="5"/>
      <c r="E501" s="5"/>
      <c r="H501" s="112"/>
    </row>
    <row r="502" spans="2:8" ht="14.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6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6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6">
      <c r="B506" s="133">
        <v>5</v>
      </c>
      <c r="C506" s="19" t="s">
        <v>808</v>
      </c>
      <c r="D506" s="137"/>
      <c r="E506" s="138"/>
      <c r="F506" s="138"/>
      <c r="G506" s="16"/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5.9" thickBot="1">
      <c r="B519" s="135"/>
      <c r="C519" s="17"/>
      <c r="D519" s="135"/>
      <c r="E519" s="139"/>
      <c r="F519" s="139"/>
      <c r="G519" s="17"/>
      <c r="H519" s="112"/>
    </row>
    <row r="520" spans="2:8" ht="15.9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zoomScaleNormal="100" workbookViewId="0">
      <selection activeCell="B2" sqref="B2:G3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6296.48-M5</f>
        <v>6296.48</v>
      </c>
      <c r="L5" s="425"/>
      <c r="M5" s="1"/>
      <c r="N5" s="1"/>
      <c r="R5" s="3"/>
    </row>
    <row r="6" spans="1:22" ht="15.6">
      <c r="A6" s="112">
        <f>'01'!A6+(B6-SUM(D6:F6))</f>
        <v>784.52</v>
      </c>
      <c r="B6" s="133">
        <v>389.26</v>
      </c>
      <c r="C6" s="19" t="s">
        <v>704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6">
      <c r="A7" s="112">
        <f>'01'!A7+(B7-SUM(D7:F7))</f>
        <v>640.29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6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6">
      <c r="A10" s="112">
        <f>'01'!A10+(B10-SUM(D10:F10))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6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6">
      <c r="A12" s="112">
        <f>'01'!A12+(B12-SUM(D12:F12))</f>
        <v>76.5</v>
      </c>
      <c r="B12" s="134">
        <v>6.5</v>
      </c>
      <c r="C12" s="16" t="s">
        <v>232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6">
      <c r="A13" s="112">
        <f>'01'!A13+(B13-SUM(D13:F13))</f>
        <v>550</v>
      </c>
      <c r="B13" s="134">
        <v>0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6">
      <c r="A14" s="112">
        <f>'01'!A14+(B14-SUM(D14:F14))</f>
        <v>1269.9991905564923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6">
      <c r="A15" s="112">
        <f>'01'!A15+(B15-SUM(D15:F15))</f>
        <v>301.60000000000002</v>
      </c>
      <c r="B15" s="134">
        <v>1.6</v>
      </c>
      <c r="C15" s="16" t="s">
        <v>181</v>
      </c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34721.86</v>
      </c>
      <c r="L19" s="433"/>
      <c r="M19" s="1"/>
      <c r="N19" s="1"/>
      <c r="R19" s="3"/>
    </row>
    <row r="20" spans="1:18" ht="15.9" thickBot="1">
      <c r="A20" s="112">
        <f>SUM(A6:A15)</f>
        <v>3595.0791905564924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32919.840000000004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198"/>
      <c r="M25" s="1"/>
      <c r="R25" s="3"/>
    </row>
    <row r="26" spans="1:18" ht="15.6">
      <c r="A26" s="112">
        <f>'01'!A26+(B26-SUM(D26:F26))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6">
      <c r="A27" s="112">
        <f>'01'!A27+(B27-SUM(D27:F27))</f>
        <v>248.09999999999991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6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6">
      <c r="A29" s="112">
        <f>'01'!A29+(B29-SUM(D29:F29))</f>
        <v>19.820000000000004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198"/>
      <c r="M30" s="1"/>
      <c r="R30" s="3"/>
    </row>
    <row r="31" spans="1:18" ht="15.6">
      <c r="A31" s="112">
        <f>'01'!A31+(B31-SUM(D31:F31))</f>
        <v>55</v>
      </c>
      <c r="B31" s="134">
        <v>10</v>
      </c>
      <c r="C31" s="16" t="s">
        <v>734</v>
      </c>
      <c r="D31" s="137"/>
      <c r="E31" s="138"/>
      <c r="F31" s="138"/>
      <c r="G31" s="16"/>
      <c r="H31" s="1"/>
      <c r="I31" s="405"/>
      <c r="J31" s="409" t="s">
        <v>231</v>
      </c>
      <c r="K31" s="410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242</v>
      </c>
      <c r="K35" s="408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5.9" thickBot="1">
      <c r="A40" s="112">
        <f>SUM(A26:A35)</f>
        <v>1524.12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6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198"/>
      <c r="M45" s="1"/>
      <c r="R45" s="3"/>
    </row>
    <row r="46" spans="1:18" ht="15.6">
      <c r="A46" s="1"/>
      <c r="B46" s="133">
        <v>395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779</v>
      </c>
      <c r="K50" s="408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230</v>
      </c>
      <c r="K60" s="408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6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6">
      <c r="A66" s="112">
        <f>'01'!A66+(B66-SUM(D66:F78))</f>
        <v>180</v>
      </c>
      <c r="B66" s="133">
        <v>180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6">
      <c r="A68" s="112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5.9" thickBot="1">
      <c r="A69" s="112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6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'01'!A79+(B79-SUM(D79:F79))</f>
        <v>20</v>
      </c>
      <c r="B79" s="233">
        <v>20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200</v>
      </c>
      <c r="B80" s="233">
        <f>SUM(B66:B79)</f>
        <v>200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6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200</v>
      </c>
      <c r="C86" s="19" t="s">
        <v>834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6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'01'!A106+(B106-SUM(D106:F106))</f>
        <v>3934.0415974244993</v>
      </c>
      <c r="B106" s="133">
        <f>258.47+50</f>
        <v>308.47000000000003</v>
      </c>
      <c r="C106" s="18" t="s">
        <v>837</v>
      </c>
      <c r="D106" s="137">
        <v>258.47000000000003</v>
      </c>
      <c r="E106" s="138"/>
      <c r="F106" s="138"/>
      <c r="G106" s="31" t="s">
        <v>835</v>
      </c>
      <c r="H106" s="1"/>
      <c r="M106" s="1"/>
      <c r="R106" s="3"/>
    </row>
    <row r="107" spans="1:18" ht="15.6">
      <c r="A107" s="112">
        <f>'01'!A107+(B107-SUM(D107:F107))</f>
        <v>0.300000000000054</v>
      </c>
      <c r="B107" s="134">
        <v>70</v>
      </c>
      <c r="C107" s="18" t="s">
        <v>836</v>
      </c>
      <c r="D107" s="137">
        <v>70.36</v>
      </c>
      <c r="E107" s="138"/>
      <c r="F107" s="138"/>
      <c r="G107" s="31" t="s">
        <v>836</v>
      </c>
      <c r="H107" s="1"/>
      <c r="M107" s="1"/>
      <c r="R107" s="3"/>
    </row>
    <row r="108" spans="1:18" ht="15.6">
      <c r="A108" s="112">
        <f>'01'!A108+(B108-SUM(D108:F108))</f>
        <v>730</v>
      </c>
      <c r="B108" s="134">
        <v>265</v>
      </c>
      <c r="C108" s="18" t="s">
        <v>838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41.29</v>
      </c>
      <c r="B109" s="134">
        <v>40</v>
      </c>
      <c r="C109" s="18" t="s">
        <v>839</v>
      </c>
      <c r="D109" s="137"/>
      <c r="E109" s="138"/>
      <c r="F109" s="138"/>
      <c r="G109" s="31"/>
      <c r="H109" s="1"/>
      <c r="M109" s="1"/>
      <c r="R109" s="3"/>
    </row>
    <row r="110" spans="1:18" ht="15.6">
      <c r="A110" s="112">
        <f>'01'!A110+(B110-SUM(D110:F117))</f>
        <v>482.58</v>
      </c>
      <c r="B110" s="134">
        <v>100</v>
      </c>
      <c r="C110" s="18" t="s">
        <v>182</v>
      </c>
      <c r="D110" s="137"/>
      <c r="E110" s="138"/>
      <c r="F110" s="138"/>
      <c r="G110" s="31"/>
      <c r="H110" s="1"/>
      <c r="M110" s="1"/>
      <c r="R110" s="3"/>
    </row>
    <row r="111" spans="1:18" ht="15.6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A116" s="112"/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A118" s="112">
        <f>'01'!A118+(B118-SUM(D118:F119))</f>
        <v>567.93000000000006</v>
      </c>
      <c r="B118" s="134">
        <v>70</v>
      </c>
      <c r="C118" s="18" t="s">
        <v>840</v>
      </c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SUM(A106:A119)</f>
        <v>5756.1415974245001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6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'01'!A126+(B126-SUM(D126:F126))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'01'!A127+(B127-SUM(D127:F128))</f>
        <v>47.5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D127+D128+'01'!I127</f>
        <v>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A130" s="112">
        <f>'01'!A130+(B130-SUM(D130:F130))</f>
        <v>5</v>
      </c>
      <c r="B130" s="134">
        <v>2.5</v>
      </c>
      <c r="C130" s="16" t="s">
        <v>841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SUM(A126:A139)</f>
        <v>130.6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6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f>43.29-10.82</f>
        <v>32.47</v>
      </c>
      <c r="E146" s="138"/>
      <c r="F146" s="138"/>
      <c r="G146" s="16" t="s">
        <v>228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233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237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80</v>
      </c>
      <c r="C186" s="19" t="s">
        <v>813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79.669999999999987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'01'!A256+(B256-SUM(D256:F256))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</row>
    <row r="257" spans="1:9" ht="15.6">
      <c r="A257" s="112">
        <f>'01'!A257+(B257-SUM(D257:F257))</f>
        <v>402.77000000000004</v>
      </c>
      <c r="B257" s="134">
        <f>0</f>
        <v>0</v>
      </c>
      <c r="C257" s="16" t="s">
        <v>876</v>
      </c>
      <c r="D257" s="137"/>
      <c r="E257" s="138"/>
      <c r="F257" s="138"/>
      <c r="G257" s="16" t="s">
        <v>284</v>
      </c>
      <c r="I257" s="89">
        <f>1208-(100.67*9)</f>
        <v>301.97000000000003</v>
      </c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5.9" thickBot="1">
      <c r="A259" s="112"/>
      <c r="B259" s="135"/>
      <c r="C259" s="17"/>
      <c r="D259" s="135"/>
      <c r="E259" s="139"/>
      <c r="F259" s="139"/>
      <c r="G259" s="17"/>
    </row>
    <row r="260" spans="1:9" ht="15.9" thickBot="1">
      <c r="A260" s="112">
        <f>SUM(A246:A259)</f>
        <v>552.44000000000005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4.7" thickBot="1">
      <c r="B261" s="5"/>
      <c r="C261" s="3"/>
      <c r="D261" s="5"/>
      <c r="E261" s="5"/>
    </row>
    <row r="262" spans="1:9" ht="14.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31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31" t="s">
        <v>9</v>
      </c>
      <c r="E284" s="431"/>
      <c r="F284" s="431"/>
      <c r="G284" s="430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'01'!A286+(SUM(B286:B298)-SUM(D286:F298))</f>
        <v>106.20999999999978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'01'!A299+(B299-SUM(D299:F299))</f>
        <v>100</v>
      </c>
      <c r="B299" s="135">
        <v>50</v>
      </c>
      <c r="C299" s="17" t="s">
        <v>815</v>
      </c>
      <c r="D299" s="135"/>
      <c r="E299" s="139"/>
      <c r="F299" s="139"/>
      <c r="G299" s="17"/>
    </row>
    <row r="300" spans="1:8" ht="15.9" thickBot="1">
      <c r="A300" s="112">
        <f>SUM(A286:A299)</f>
        <v>206.20999999999978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140</v>
      </c>
      <c r="C306" s="19" t="s">
        <v>877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140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4.7" thickBot="1"/>
    <row r="322" spans="2:7" ht="14.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4.7" thickBot="1">
      <c r="B341" s="5"/>
      <c r="C341" s="3"/>
      <c r="D341" s="5"/>
      <c r="E341" s="5"/>
    </row>
    <row r="342" spans="2:7" ht="14.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5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4.7" thickBot="1">
      <c r="B361" s="5"/>
      <c r="C361" s="3"/>
      <c r="D361" s="5"/>
      <c r="E361" s="5"/>
    </row>
    <row r="362" spans="2:7" ht="14.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31.12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4.7" thickBot="1">
      <c r="B419" s="135"/>
      <c r="C419" s="17"/>
      <c r="D419" s="135"/>
      <c r="E419" s="139"/>
      <c r="F419" s="139"/>
      <c r="G419" s="17"/>
    </row>
    <row r="420" spans="1:8" ht="14.7" thickBot="1">
      <c r="B420" s="135">
        <f>SUM(B406:B419)</f>
        <v>31.12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4.7" thickBot="1">
      <c r="B421" s="5"/>
      <c r="C421" s="3"/>
      <c r="D421" s="5"/>
      <c r="E421" s="5"/>
    </row>
    <row r="422" spans="1:8" ht="14.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241</v>
      </c>
    </row>
    <row r="426" spans="1:8" ht="15.6">
      <c r="A426" s="112">
        <v>4300</v>
      </c>
      <c r="B426" s="134">
        <f>A425-SUM(A426:A439)</f>
        <v>-4300</v>
      </c>
      <c r="C426" s="19" t="s">
        <v>222</v>
      </c>
      <c r="D426" s="137"/>
      <c r="E426" s="138"/>
      <c r="F426" s="138"/>
      <c r="G426" s="16"/>
      <c r="H426" s="112">
        <v>8120</v>
      </c>
    </row>
    <row r="427" spans="1:8">
      <c r="A427" s="113"/>
      <c r="B427" s="134"/>
      <c r="C427" s="16"/>
      <c r="D427" s="137"/>
      <c r="E427" s="138"/>
      <c r="F427" s="138"/>
      <c r="G427" s="16"/>
      <c r="H427" s="113">
        <f>AÑO!J41-'02'!H426</f>
        <v>-7801.4099999999962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/>
      <c r="B466" s="134"/>
      <c r="C466" s="16"/>
      <c r="D466" s="137"/>
      <c r="E466" s="138"/>
      <c r="F466" s="138"/>
      <c r="G466" s="16"/>
    </row>
    <row r="467" spans="1:7" ht="15.6">
      <c r="A467" s="112"/>
      <c r="B467" s="134"/>
      <c r="C467" s="16"/>
      <c r="D467" s="137"/>
      <c r="E467" s="138"/>
      <c r="F467" s="138"/>
      <c r="G467" s="16"/>
    </row>
    <row r="468" spans="1:7" ht="15.6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808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01" workbookViewId="0">
      <selection activeCell="I120" sqref="I120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1559.34</v>
      </c>
      <c r="L5" s="425"/>
      <c r="M5" s="1"/>
      <c r="N5" s="1"/>
      <c r="R5" s="3"/>
    </row>
    <row r="6" spans="1:22" ht="15.6">
      <c r="A6" s="112">
        <f>'02'!A6+(B6-SUM(D6:F6))</f>
        <v>784.52</v>
      </c>
      <c r="B6" s="133">
        <v>399.59</v>
      </c>
      <c r="C6" s="19" t="s">
        <v>176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6">
      <c r="A7" s="112">
        <f>'02'!A7+(B7-SUM(D7:F7))</f>
        <v>-38.059999999999945</v>
      </c>
      <c r="B7" s="134">
        <v>70.180000000000007</v>
      </c>
      <c r="C7" s="16" t="s">
        <v>194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6">
        <v>8577.0300000000007</v>
      </c>
      <c r="L7" s="427"/>
      <c r="M7" s="1"/>
      <c r="N7" s="1"/>
      <c r="R7" s="3"/>
    </row>
    <row r="8" spans="1:22" ht="15.6">
      <c r="A8" s="112">
        <f>'02'!A8+(B8-SUM(D8:F8))</f>
        <v>-0.20000000000000284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26">
        <v>4167.34</v>
      </c>
      <c r="L9" s="427"/>
      <c r="M9" s="1"/>
      <c r="N9" s="1"/>
      <c r="R9" s="3"/>
    </row>
    <row r="10" spans="1:22" ht="15.6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6">
      <c r="A11" s="112">
        <f>'02'!A11+(B11-SUM(D11:F11))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255</v>
      </c>
      <c r="L11" s="427"/>
      <c r="M11" s="1"/>
      <c r="N11" s="1"/>
      <c r="R11" s="3"/>
    </row>
    <row r="12" spans="1:22" ht="15.6">
      <c r="A12" s="112">
        <f>'02'!A12+(B12-SUM(D12:F12))</f>
        <v>101.5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6">
      <c r="A13" s="112">
        <f>'02'!A13+(B13-SUM(D13:F13))</f>
        <v>478</v>
      </c>
      <c r="B13" s="134">
        <v>7</v>
      </c>
      <c r="C13" s="16" t="s">
        <v>232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5.9" thickBot="1">
      <c r="A20" s="112">
        <f>SUM(A6:A15)</f>
        <v>1422.23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198">
        <v>2526.87</v>
      </c>
      <c r="M25" s="1"/>
      <c r="R25" s="3"/>
    </row>
    <row r="26" spans="1:18" ht="15.6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6">
      <c r="A27" s="112">
        <f>'02'!A27+(B27-SUM(D27:F27))</f>
        <v>248.09999999999991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6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6">
      <c r="A29" s="112">
        <f>'02'!A29+(B29-SUM(D29:F29))</f>
        <v>19.870000000000005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-336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243</v>
      </c>
      <c r="K30" s="408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224</v>
      </c>
      <c r="K31" s="410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5.9" thickBot="1">
      <c r="A40" s="112">
        <f>SUM(A26:A35)</f>
        <v>1101.8899999999999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6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260</v>
      </c>
      <c r="K45" s="408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244</v>
      </c>
      <c r="H46" s="1"/>
      <c r="I46" s="405"/>
      <c r="J46" s="409" t="s">
        <v>157</v>
      </c>
      <c r="K46" s="410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245</v>
      </c>
      <c r="H47" s="1"/>
      <c r="I47" s="405"/>
      <c r="J47" s="409"/>
      <c r="K47" s="410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252</v>
      </c>
      <c r="H48" s="1"/>
      <c r="I48" s="405"/>
      <c r="J48" s="409"/>
      <c r="K48" s="410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256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255</v>
      </c>
      <c r="H50" s="1"/>
      <c r="I50" s="404" t="str">
        <f>AÑO!A13</f>
        <v>Gubernamental</v>
      </c>
      <c r="J50" s="407" t="s">
        <v>225</v>
      </c>
      <c r="K50" s="408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262</v>
      </c>
      <c r="H51" s="1"/>
      <c r="I51" s="405"/>
      <c r="J51" s="409" t="s">
        <v>296</v>
      </c>
      <c r="K51" s="410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266</v>
      </c>
      <c r="H52" s="1"/>
      <c r="I52" s="405"/>
      <c r="J52" s="409"/>
      <c r="K52" s="410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267</v>
      </c>
      <c r="H53" s="1"/>
      <c r="I53" s="405"/>
      <c r="J53" s="409"/>
      <c r="K53" s="410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286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300</v>
      </c>
      <c r="H55" s="1"/>
      <c r="I55" s="404" t="str">
        <f>AÑO!A14</f>
        <v>Mutualite/DKV</v>
      </c>
      <c r="J55" s="439" t="str">
        <f>G306</f>
        <v>12/03 Chirec</v>
      </c>
      <c r="K55" s="408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247</v>
      </c>
      <c r="K60" s="408"/>
      <c r="L60" s="198">
        <v>682.39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6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6">
      <c r="A66" s="112">
        <f>'02'!A66+(B66-SUM(D66:F77))</f>
        <v>183.48000000000002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246</v>
      </c>
      <c r="H66" s="1"/>
      <c r="I66" s="405"/>
      <c r="J66" s="409"/>
      <c r="K66" s="410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254</v>
      </c>
      <c r="H67" s="1"/>
      <c r="I67" s="405"/>
      <c r="J67" s="409"/>
      <c r="K67" s="410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258</v>
      </c>
      <c r="H68" s="1"/>
      <c r="I68" s="405"/>
      <c r="J68" s="409"/>
      <c r="K68" s="410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>
        <v>21</v>
      </c>
      <c r="G69" s="16" t="s">
        <v>268</v>
      </c>
      <c r="H69" s="1"/>
      <c r="I69" s="406"/>
      <c r="J69" s="411"/>
      <c r="K69" s="412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269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299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301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248</v>
      </c>
      <c r="H78" s="1" t="s">
        <v>157</v>
      </c>
      <c r="M78" s="1"/>
      <c r="R78" s="3"/>
    </row>
    <row r="79" spans="1:18" ht="15.9" thickBot="1">
      <c r="A79" s="112">
        <f>'02'!A79+(B79-SUM(D79:F79))</f>
        <v>30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213.48000000000002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6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49.03</v>
      </c>
      <c r="E86" s="138"/>
      <c r="F86" s="138"/>
      <c r="G86" s="16" t="s">
        <v>271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272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273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277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6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'02'!A106+(B106-SUM(D106:F106))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'02'!A107+(B107-SUM(D107:F107))</f>
        <v>0.39000000000005741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'02'!A108+(B108-SUM(D108:F108))</f>
        <v>780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-1201.18</v>
      </c>
      <c r="B109" s="134">
        <f>37.53-1370+80+10</f>
        <v>-1242.47</v>
      </c>
      <c r="C109" s="18" t="s">
        <v>293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4714.4315974244992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6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6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746</v>
      </c>
      <c r="I127" s="113">
        <f>D127+D128+'02'!I127</f>
        <v>15</v>
      </c>
      <c r="M127" s="1"/>
      <c r="R127" s="3"/>
    </row>
    <row r="128" spans="1:18" ht="15.6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6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73.66</v>
      </c>
      <c r="E146" s="138"/>
      <c r="F146" s="138"/>
      <c r="G146" s="16" t="s">
        <v>253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266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179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180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13">
        <f>SUM(A166:A168)</f>
        <v>200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40.5</v>
      </c>
      <c r="E186" s="138"/>
      <c r="F186" s="138"/>
      <c r="G186" s="16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265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287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4.7" thickBot="1">
      <c r="B241" s="5"/>
      <c r="C241" s="3"/>
      <c r="D241" s="5"/>
      <c r="E241" s="5"/>
    </row>
    <row r="242" spans="1:8" ht="14.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259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263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278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288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284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282</v>
      </c>
      <c r="D258" s="137"/>
      <c r="E258" s="138"/>
      <c r="F258" s="138"/>
      <c r="G258" s="16"/>
    </row>
    <row r="259" spans="1:7" ht="15.9" thickBot="1">
      <c r="A259" s="112">
        <f t="shared" si="0"/>
        <v>10</v>
      </c>
      <c r="B259" s="135">
        <v>10</v>
      </c>
      <c r="C259" s="17" t="s">
        <v>283</v>
      </c>
      <c r="D259" s="135"/>
      <c r="E259" s="139"/>
      <c r="F259" s="139"/>
      <c r="G259" s="17"/>
    </row>
    <row r="260" spans="1:7" ht="14.7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4.7" thickBot="1">
      <c r="B261" s="5"/>
      <c r="C261" s="3"/>
      <c r="D261" s="5"/>
      <c r="E261" s="5"/>
    </row>
    <row r="262" spans="1:7" ht="14.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249</v>
      </c>
    </row>
    <row r="267" spans="1:7">
      <c r="B267" s="134">
        <v>4021.94</v>
      </c>
      <c r="C267" s="16" t="s">
        <v>296</v>
      </c>
      <c r="D267" s="137"/>
      <c r="E267" s="138"/>
      <c r="F267" s="138">
        <v>15</v>
      </c>
      <c r="G267" s="16" t="s">
        <v>302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4.7" thickBot="1">
      <c r="B281" s="5"/>
      <c r="C281" s="3"/>
      <c r="D281" s="5"/>
      <c r="E281" s="5"/>
    </row>
    <row r="282" spans="2:8" ht="14.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4.7" thickBot="1">
      <c r="B301" s="5"/>
      <c r="C301" s="3"/>
      <c r="D301" s="5"/>
      <c r="E301" s="5"/>
    </row>
    <row r="302" spans="2:8" ht="14.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261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274</v>
      </c>
    </row>
    <row r="308" spans="2:7">
      <c r="B308" s="134">
        <f>L55</f>
        <v>9.44</v>
      </c>
      <c r="C308" s="27" t="s">
        <v>285</v>
      </c>
      <c r="D308" s="137">
        <v>8.27</v>
      </c>
      <c r="E308" s="138"/>
      <c r="F308" s="138"/>
      <c r="G308" s="16" t="s">
        <v>275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295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297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4.7" thickBot="1"/>
    <row r="322" spans="2:7" ht="14.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270</v>
      </c>
    </row>
    <row r="327" spans="2:7">
      <c r="B327" s="134">
        <v>100</v>
      </c>
      <c r="C327" s="16" t="s">
        <v>260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4.7" thickBot="1">
      <c r="B341" s="5"/>
      <c r="C341" s="3"/>
      <c r="D341" s="5"/>
      <c r="E341" s="5"/>
    </row>
    <row r="342" spans="2:7" ht="14.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>
        <v>16</v>
      </c>
      <c r="E346" s="138"/>
      <c r="F346" s="138"/>
      <c r="G346" s="16" t="s">
        <v>250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251</v>
      </c>
    </row>
    <row r="348" spans="2:7">
      <c r="B348" s="134"/>
      <c r="C348" s="16"/>
      <c r="D348" s="137">
        <v>16</v>
      </c>
      <c r="E348" s="138"/>
      <c r="F348" s="138"/>
      <c r="G348" s="16" t="s">
        <v>264</v>
      </c>
    </row>
    <row r="349" spans="2:7">
      <c r="B349" s="134"/>
      <c r="C349" s="16"/>
      <c r="D349" s="137">
        <v>10</v>
      </c>
      <c r="E349" s="138"/>
      <c r="F349" s="138"/>
      <c r="G349" s="16" t="s">
        <v>265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4.7" thickBot="1">
      <c r="B361" s="5"/>
      <c r="C361" s="3"/>
      <c r="D361" s="5"/>
      <c r="E361" s="5"/>
    </row>
    <row r="362" spans="2:7" ht="14.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276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226</v>
      </c>
    </row>
    <row r="407" spans="2:7">
      <c r="B407" s="134">
        <v>-984.2</v>
      </c>
      <c r="C407" s="16" t="s">
        <v>291</v>
      </c>
      <c r="D407" s="137">
        <v>44.93</v>
      </c>
      <c r="E407" s="138"/>
      <c r="F407" s="138"/>
      <c r="G407" s="16" t="s">
        <v>290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-119.16000000000167</v>
      </c>
      <c r="C426" s="19" t="s">
        <v>222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294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6">
      <c r="A466" s="112">
        <f>'02'!A466+(B466-SUM(D466:F466))</f>
        <v>-500</v>
      </c>
      <c r="B466" s="134">
        <v>-500</v>
      </c>
      <c r="C466" s="16" t="s">
        <v>292</v>
      </c>
      <c r="D466" s="137"/>
      <c r="E466" s="138"/>
      <c r="F466" s="138"/>
      <c r="G466" s="16"/>
    </row>
    <row r="467" spans="1:9" ht="15.6">
      <c r="A467" s="112">
        <f>'02'!A467+(B467-SUM(D467:F467))</f>
        <v>75</v>
      </c>
      <c r="B467" s="134">
        <f>35+40</f>
        <v>75</v>
      </c>
      <c r="C467" s="16" t="s">
        <v>180</v>
      </c>
      <c r="D467" s="137"/>
      <c r="E467" s="138"/>
      <c r="F467" s="138"/>
      <c r="G467" s="16"/>
    </row>
    <row r="468" spans="1:9" ht="15.6">
      <c r="A468" s="112">
        <f>'02'!A468+(B468-SUM(D468:F468))</f>
        <v>20</v>
      </c>
      <c r="B468" s="134">
        <f>15+5</f>
        <v>20</v>
      </c>
      <c r="C468" s="16" t="s">
        <v>181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4.7" thickBot="1">
      <c r="B479" s="135"/>
      <c r="C479" s="17"/>
      <c r="D479" s="135"/>
      <c r="E479" s="139"/>
      <c r="F479" s="139"/>
      <c r="G479" s="17"/>
    </row>
    <row r="480" spans="1:9" ht="14.7" thickBot="1">
      <c r="A480" s="113">
        <f>SUM(A466:A468)</f>
        <v>-405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298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861.84</v>
      </c>
      <c r="L5" s="425"/>
      <c r="M5" s="1"/>
      <c r="N5" s="1"/>
      <c r="R5" s="3"/>
    </row>
    <row r="6" spans="1:22" ht="15.6">
      <c r="A6" s="112">
        <f>'03'!A6+(B6-SUM(D6:F6))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6">
      <c r="A7" s="112">
        <f>'03'!A7+(B7-SUM(D7:F7))</f>
        <v>29.130000000000052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10075.709999999999</v>
      </c>
      <c r="L7" s="427"/>
      <c r="M7" s="1"/>
      <c r="N7" s="1"/>
      <c r="R7" s="3"/>
    </row>
    <row r="8" spans="1:22" ht="15.6">
      <c r="A8" s="112">
        <f>'03'!A8+(B8-SUM(D8:F8))</f>
        <v>-102.64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35.96</v>
      </c>
      <c r="L9" s="427"/>
      <c r="M9" s="1"/>
      <c r="N9" s="1"/>
      <c r="R9" s="3"/>
    </row>
    <row r="10" spans="1:22" ht="15.6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6">
      <c r="A11" s="112">
        <f>'03'!A11+(B11-SUM(D11:F11))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370</v>
      </c>
      <c r="L11" s="427"/>
      <c r="M11" s="1"/>
      <c r="N11" s="1"/>
      <c r="R11" s="3"/>
    </row>
    <row r="12" spans="1:22" ht="15.6">
      <c r="A12" s="112">
        <f>'03'!A12+(B12-SUM(D12:F12))</f>
        <v>126.5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5092.08+4084.2</f>
        <v>9176.2799999999988</v>
      </c>
      <c r="L12" s="427"/>
      <c r="M12" s="92"/>
      <c r="N12" s="1"/>
      <c r="R12" s="3"/>
    </row>
    <row r="13" spans="1:22" ht="15.6">
      <c r="A13" s="112">
        <f>'03'!A13+(B13-SUM(D13:F13))</f>
        <v>484.5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5.9" thickBot="1">
      <c r="A20" s="112">
        <f>SUM(A6:A15)</f>
        <v>1418.4700000000003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6">
      <c r="A27" s="112">
        <f>'03'!A27+(B27-SUM(D27:F27))</f>
        <v>252.1099999999999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6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6">
      <c r="A29" s="112">
        <f>'03'!A29+(B29-SUM(D29:F29))</f>
        <v>19.920000000000005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243</v>
      </c>
      <c r="K30" s="408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309</v>
      </c>
      <c r="K31" s="410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5.9" thickBot="1">
      <c r="A40" s="112">
        <f>SUM(A26:A35)</f>
        <v>1145.95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303</v>
      </c>
      <c r="K40" s="408"/>
      <c r="L40" s="231">
        <v>3.75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323</v>
      </c>
      <c r="K41" s="410"/>
      <c r="L41" s="229">
        <v>352.82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58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6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324</v>
      </c>
      <c r="H46" s="1"/>
      <c r="I46" s="405"/>
      <c r="J46" s="409"/>
      <c r="K46" s="410"/>
      <c r="L46" s="229"/>
      <c r="M46" s="1"/>
      <c r="R46" s="3"/>
    </row>
    <row r="47" spans="1:18" ht="15.6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330</v>
      </c>
      <c r="H47" s="1"/>
      <c r="I47" s="405"/>
      <c r="J47" s="409"/>
      <c r="K47" s="410"/>
      <c r="L47" s="229"/>
      <c r="M47" s="1"/>
      <c r="R47" s="3"/>
    </row>
    <row r="48" spans="1:18" ht="15.6">
      <c r="A48" s="1"/>
      <c r="B48" s="134">
        <v>40</v>
      </c>
      <c r="C48" s="16" t="s">
        <v>308</v>
      </c>
      <c r="D48" s="137">
        <v>5.35</v>
      </c>
      <c r="E48" s="138"/>
      <c r="F48" s="138"/>
      <c r="G48" s="16" t="s">
        <v>335</v>
      </c>
      <c r="H48" s="1"/>
      <c r="I48" s="405"/>
      <c r="J48" s="409"/>
      <c r="K48" s="410"/>
      <c r="L48" s="229"/>
      <c r="M48" s="1"/>
      <c r="R48" s="3"/>
    </row>
    <row r="49" spans="1:18" ht="15.6">
      <c r="A49" s="1"/>
      <c r="B49" s="134"/>
      <c r="C49" s="16" t="s">
        <v>340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343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312</v>
      </c>
      <c r="K50" s="408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39" t="str">
        <f>'03'!G307</f>
        <v>22/03 Chirec</v>
      </c>
      <c r="K55" s="408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5"/>
      <c r="J56" s="440" t="str">
        <f>'03'!G309</f>
        <v>26/03 Ginecologa</v>
      </c>
      <c r="K56" s="410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327</v>
      </c>
      <c r="K57" s="410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6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6">
      <c r="A66" s="112">
        <f>'03'!A66+(B66+B67-SUM(D66:F78))</f>
        <v>242.48000000000002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331</v>
      </c>
      <c r="H66" s="1"/>
      <c r="I66" s="405"/>
      <c r="J66" s="409"/>
      <c r="K66" s="410"/>
      <c r="L66" s="229"/>
      <c r="M66" s="1"/>
      <c r="R66" s="3"/>
    </row>
    <row r="67" spans="1:18" ht="15.6">
      <c r="A67" s="1"/>
      <c r="B67" s="134">
        <v>-50</v>
      </c>
      <c r="C67" s="16" t="s">
        <v>343</v>
      </c>
      <c r="D67" s="137">
        <v>41</v>
      </c>
      <c r="E67" s="138"/>
      <c r="F67" s="138"/>
      <c r="G67" s="31" t="s">
        <v>337</v>
      </c>
      <c r="H67" s="1"/>
      <c r="I67" s="405"/>
      <c r="J67" s="409"/>
      <c r="K67" s="410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'03'!A79+(B79-SUM(D79:F79))</f>
        <v>40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282.48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6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57.56</v>
      </c>
      <c r="E86" s="138"/>
      <c r="F86" s="138"/>
      <c r="G86" s="16" t="s">
        <v>321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338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344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6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'03'!A106+(B106-SUM(D106:F106))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'03'!A107+(B107-SUM(D107:F107))</f>
        <v>0.48000000000006082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'03'!A108+(B108-SUM(D108:F109))</f>
        <v>766</v>
      </c>
      <c r="B108" s="134">
        <v>50</v>
      </c>
      <c r="C108" s="18" t="s">
        <v>182</v>
      </c>
      <c r="D108" s="137">
        <v>50</v>
      </c>
      <c r="E108" s="138"/>
      <c r="F108" s="138"/>
      <c r="G108" s="34" t="s">
        <v>333</v>
      </c>
      <c r="H108" s="1"/>
      <c r="M108" s="1"/>
      <c r="R108" s="3"/>
    </row>
    <row r="109" spans="1:18" ht="15.6">
      <c r="A109" s="112">
        <f>'03'!A109+(B109+B110+B111-SUM(D110:F119))</f>
        <v>354.69999999999982</v>
      </c>
      <c r="B109" s="134">
        <v>67.53</v>
      </c>
      <c r="C109" s="18" t="s">
        <v>334</v>
      </c>
      <c r="D109" s="137">
        <v>11</v>
      </c>
      <c r="E109" s="138"/>
      <c r="F109" s="138">
        <v>3</v>
      </c>
      <c r="G109" s="31" t="s">
        <v>339</v>
      </c>
      <c r="H109" s="1"/>
      <c r="M109" s="1"/>
      <c r="R109" s="3"/>
    </row>
    <row r="110" spans="1:18" ht="15.6">
      <c r="B110" s="134">
        <v>1370</v>
      </c>
      <c r="C110" s="18" t="s">
        <v>322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323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4700.5215974244993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6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D127+D128+'03'!I127</f>
        <v>35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6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305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313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318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319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325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329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342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315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307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314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310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282</v>
      </c>
      <c r="D258" s="137"/>
      <c r="E258" s="138"/>
      <c r="F258" s="138"/>
      <c r="G258" s="16"/>
    </row>
    <row r="259" spans="1:7" ht="15.9" thickBot="1">
      <c r="A259" s="112">
        <f>'03'!A259+(B259-SUM(D259:F259))</f>
        <v>15</v>
      </c>
      <c r="B259" s="135">
        <v>5</v>
      </c>
      <c r="C259" s="17" t="s">
        <v>283</v>
      </c>
      <c r="D259" s="135"/>
      <c r="E259" s="139"/>
      <c r="F259" s="139"/>
      <c r="G259" s="17"/>
    </row>
    <row r="260" spans="1:7" ht="15.9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4.7" thickBot="1">
      <c r="B261" s="5"/>
      <c r="C261" s="3"/>
      <c r="D261" s="5"/>
      <c r="E261" s="5"/>
    </row>
    <row r="262" spans="1:7" ht="14.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306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4.7" thickBot="1">
      <c r="B281" s="5"/>
      <c r="C281" s="3"/>
      <c r="D281" s="5"/>
      <c r="E281" s="5"/>
    </row>
    <row r="282" spans="2:8" ht="14.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311</v>
      </c>
    </row>
    <row r="287" spans="2:8">
      <c r="B287" s="134"/>
      <c r="C287" s="16"/>
      <c r="D287" s="137">
        <v>9.65</v>
      </c>
      <c r="E287" s="138"/>
      <c r="F287" s="138"/>
      <c r="G287" s="16" t="s">
        <v>317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326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4.7" thickBot="1">
      <c r="B301" s="5"/>
      <c r="C301" s="3"/>
      <c r="D301" s="5"/>
      <c r="E301" s="5"/>
    </row>
    <row r="302" spans="2:8" ht="14.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f>37.5+37.5</f>
        <v>75</v>
      </c>
      <c r="E306" s="138"/>
      <c r="F306" s="138"/>
      <c r="G306" s="16" t="s">
        <v>341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320</v>
      </c>
    </row>
    <row r="308" spans="2:7">
      <c r="B308" s="134">
        <f>L55+L56+L57</f>
        <v>37.980000000000004</v>
      </c>
      <c r="C308" s="27" t="s">
        <v>345</v>
      </c>
      <c r="D308" s="137"/>
      <c r="E308" s="138"/>
      <c r="F308" s="138">
        <v>50</v>
      </c>
      <c r="G308" s="16" t="s">
        <v>327</v>
      </c>
    </row>
    <row r="309" spans="2:7">
      <c r="B309" s="134"/>
      <c r="C309" s="16"/>
      <c r="D309" s="137">
        <v>63.9</v>
      </c>
      <c r="E309" s="138"/>
      <c r="F309" s="138"/>
      <c r="G309" s="16" t="s">
        <v>347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4.7" thickBot="1"/>
    <row r="322" spans="2:7" ht="14.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4.7" thickBot="1">
      <c r="B341" s="5"/>
      <c r="C341" s="3"/>
      <c r="D341" s="5"/>
      <c r="E341" s="5"/>
    </row>
    <row r="342" spans="2:7" ht="14.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4.7" thickBot="1">
      <c r="B361" s="5"/>
      <c r="C361" s="3"/>
      <c r="D361" s="5"/>
      <c r="E361" s="5"/>
    </row>
    <row r="362" spans="2:7" ht="14.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322</v>
      </c>
      <c r="D387" s="137"/>
      <c r="E387" s="138"/>
      <c r="F387" s="138"/>
      <c r="G387" s="16"/>
    </row>
    <row r="388" spans="2:7">
      <c r="B388" s="134">
        <v>106.26</v>
      </c>
      <c r="C388" s="27" t="s">
        <v>323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304</v>
      </c>
    </row>
    <row r="407" spans="2:7">
      <c r="B407" s="134">
        <v>3.75</v>
      </c>
      <c r="C407" s="16" t="s">
        <v>303</v>
      </c>
      <c r="D407" s="137"/>
      <c r="E407" s="138">
        <f>10+10</f>
        <v>20</v>
      </c>
      <c r="F407" s="138"/>
      <c r="G407" s="16" t="s">
        <v>328</v>
      </c>
    </row>
    <row r="408" spans="2:7">
      <c r="B408" s="134">
        <v>984.2</v>
      </c>
      <c r="C408" s="18" t="s">
        <v>322</v>
      </c>
      <c r="D408" s="137"/>
      <c r="E408" s="138"/>
      <c r="F408" s="138"/>
      <c r="G408" s="16"/>
    </row>
    <row r="409" spans="2:7">
      <c r="B409" s="134">
        <v>85.02</v>
      </c>
      <c r="C409" s="27" t="s">
        <v>323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-176.09999999999854</v>
      </c>
      <c r="C426" s="19" t="s">
        <v>222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346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322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'03'!A466+(B466+B469-SUM(D466:F466))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'03'!A467+(B467-SUM(D467:F467))</f>
        <v>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'03'!A468+(B468+B470-SUM(D468:F468))</f>
        <v>93.19</v>
      </c>
      <c r="B468" s="134">
        <f>15+15</f>
        <v>30</v>
      </c>
      <c r="C468" s="16" t="s">
        <v>181</v>
      </c>
      <c r="D468" s="137"/>
      <c r="E468" s="138"/>
      <c r="F468" s="138"/>
      <c r="G468" s="16"/>
    </row>
    <row r="469" spans="1:7">
      <c r="B469" s="134">
        <v>500</v>
      </c>
      <c r="C469" s="18" t="s">
        <v>322</v>
      </c>
      <c r="D469" s="137"/>
      <c r="E469" s="138"/>
      <c r="F469" s="138"/>
      <c r="G469" s="16"/>
    </row>
    <row r="470" spans="1:7">
      <c r="B470" s="134">
        <v>43.19</v>
      </c>
      <c r="C470" s="27" t="s">
        <v>323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218.19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1773.93</v>
      </c>
      <c r="L5" s="425"/>
      <c r="M5" s="1"/>
      <c r="N5" s="1"/>
      <c r="R5" s="3"/>
    </row>
    <row r="6" spans="1:22" ht="15.6">
      <c r="A6" s="112">
        <f>'04'!A6+(B6-SUM(D6:F6))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6">
      <c r="A7" s="112">
        <f>'04'!A7+(B7-SUM(D7:F7))</f>
        <v>96.32000000000005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7144.52</v>
      </c>
      <c r="L7" s="427"/>
      <c r="M7" s="1"/>
      <c r="N7" s="1"/>
      <c r="R7" s="3"/>
    </row>
    <row r="8" spans="1:22" ht="15.6">
      <c r="A8" s="112">
        <f>'04'!A8+(B8-SUM(D8:F8))</f>
        <v>-0.20000000000000284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10005.620000000001</v>
      </c>
      <c r="L8" s="427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514.82000000000005</v>
      </c>
      <c r="L9" s="427"/>
      <c r="M9" s="1"/>
      <c r="N9" s="1"/>
      <c r="R9" s="3"/>
    </row>
    <row r="10" spans="1:22" ht="15.6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6">
      <c r="A11" s="112">
        <f>'04'!A11+(B11-SUM(D11:F11))</f>
        <v>60.45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210</f>
        <v>210</v>
      </c>
      <c r="L11" s="427"/>
      <c r="M11" s="1"/>
      <c r="N11" s="1"/>
      <c r="R11" s="3"/>
    </row>
    <row r="12" spans="1:22" ht="15.6">
      <c r="A12" s="112">
        <f>'04'!A12+(B12-SUM(D12:F12))</f>
        <v>151.5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6">
      <c r="A13" s="112">
        <f>'04'!A13+(B13-SUM(D13:F13))</f>
        <v>491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5.9" thickBot="1">
      <c r="A20" s="112">
        <f>SUM(A6:A15)</f>
        <v>1619.5900000000001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4448.8500000000004</v>
      </c>
      <c r="M25" s="1"/>
      <c r="R25" s="3"/>
    </row>
    <row r="26" spans="1:18" ht="15.6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6">
      <c r="A27" s="112">
        <f>'04'!A27+(B27-SUM(D27:F27))</f>
        <v>256.11999999999989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6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6">
      <c r="A29" s="112">
        <f>'04'!A29+(B29-SUM(D29:F29))</f>
        <v>19.970000000000006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243</v>
      </c>
      <c r="K31" s="410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5.9" thickBot="1">
      <c r="A40" s="112">
        <f>SUM(A26:A35)</f>
        <v>1022.1899999999998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351</v>
      </c>
      <c r="K40" s="408"/>
      <c r="L40" s="231">
        <v>45.86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6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350</v>
      </c>
      <c r="H46" s="1"/>
      <c r="I46" s="405"/>
      <c r="J46" s="409"/>
      <c r="K46" s="410"/>
      <c r="L46" s="229"/>
      <c r="M46" s="1"/>
      <c r="R46" s="3"/>
    </row>
    <row r="47" spans="1:18" ht="15.6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353</v>
      </c>
      <c r="H47" s="1"/>
      <c r="I47" s="405"/>
      <c r="J47" s="409"/>
      <c r="K47" s="410"/>
      <c r="L47" s="229"/>
      <c r="M47" s="1"/>
      <c r="R47" s="3"/>
    </row>
    <row r="48" spans="1:18" ht="15.6">
      <c r="A48" s="1"/>
      <c r="B48" s="134"/>
      <c r="C48" s="16" t="s">
        <v>336</v>
      </c>
      <c r="D48" s="137">
        <v>27.34</v>
      </c>
      <c r="E48" s="138"/>
      <c r="F48" s="138"/>
      <c r="G48" s="16" t="s">
        <v>359</v>
      </c>
      <c r="H48" s="1"/>
      <c r="I48" s="405"/>
      <c r="J48" s="409"/>
      <c r="K48" s="410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360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367</v>
      </c>
      <c r="H50" s="1"/>
      <c r="I50" s="404" t="str">
        <f>AÑO!A13</f>
        <v>Gubernamental</v>
      </c>
      <c r="J50" s="407" t="s">
        <v>361</v>
      </c>
      <c r="K50" s="408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368</v>
      </c>
      <c r="H51" s="1"/>
      <c r="I51" s="405"/>
      <c r="J51" s="409"/>
      <c r="K51" s="410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372</v>
      </c>
      <c r="H52" s="1"/>
      <c r="I52" s="405"/>
      <c r="J52" s="409"/>
      <c r="K52" s="410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375</v>
      </c>
      <c r="H53" s="1"/>
      <c r="I53" s="405"/>
      <c r="J53" s="409"/>
      <c r="K53" s="410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480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481</v>
      </c>
      <c r="H55" s="1"/>
      <c r="I55" s="404" t="str">
        <f>AÑO!A14</f>
        <v>Mutualite/DKV</v>
      </c>
      <c r="J55" s="407" t="s">
        <v>355</v>
      </c>
      <c r="K55" s="408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6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6">
      <c r="A66" s="112">
        <f>'04'!A66+(B66-SUM(D66:F78))</f>
        <v>189.63000000000002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349</v>
      </c>
      <c r="H66" s="1"/>
      <c r="I66" s="405"/>
      <c r="J66" s="409"/>
      <c r="K66" s="410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357</v>
      </c>
      <c r="H67" s="1"/>
      <c r="I67" s="405"/>
      <c r="J67" s="409"/>
      <c r="K67" s="410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358</v>
      </c>
      <c r="H68" s="1"/>
      <c r="I68" s="405"/>
      <c r="J68" s="409"/>
      <c r="K68" s="410"/>
      <c r="L68" s="229"/>
      <c r="M68" s="1"/>
      <c r="R68" s="3"/>
    </row>
    <row r="69" spans="1:18" ht="15.9" thickBot="1">
      <c r="A69" s="1"/>
      <c r="B69" s="134"/>
      <c r="C69" s="16"/>
      <c r="D69" s="137">
        <v>16</v>
      </c>
      <c r="E69" s="138"/>
      <c r="F69" s="138"/>
      <c r="G69" s="16" t="s">
        <v>365</v>
      </c>
      <c r="H69" s="1"/>
      <c r="I69" s="406"/>
      <c r="J69" s="411"/>
      <c r="K69" s="412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366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373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482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'04'!A79+(B79-SUM(D79:F79))</f>
        <v>50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239.63000000000002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6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55.61</v>
      </c>
      <c r="E86" s="138"/>
      <c r="F86" s="138"/>
      <c r="G86" s="16" t="s">
        <v>354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369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378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483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6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'04'!A106+(B106-SUM(D106:F106))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'04'!A107+(B107-SUM(D107:F107))</f>
        <v>0.57000000000006423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'04'!A108+(B108-SUM(D108:F108))</f>
        <v>816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-507.77000000000021</v>
      </c>
      <c r="B109" s="134">
        <f>67.53+120</f>
        <v>187.53</v>
      </c>
      <c r="C109" s="18" t="s">
        <v>487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291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4750.6115974244995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6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746</v>
      </c>
      <c r="I127" s="113">
        <f>D127+D128+'04'!I127</f>
        <v>35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6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353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371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441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370</v>
      </c>
    </row>
    <row r="207" spans="2:12">
      <c r="B207" s="134">
        <v>15</v>
      </c>
      <c r="C207" s="16" t="s">
        <v>441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281</v>
      </c>
      <c r="D246" s="137">
        <v>15</v>
      </c>
      <c r="E246" s="138"/>
      <c r="F246" s="138"/>
      <c r="G246" s="16" t="s">
        <v>368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376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310</v>
      </c>
      <c r="D257" s="137"/>
      <c r="E257" s="138">
        <f>100.67</f>
        <v>100.67</v>
      </c>
      <c r="F257" s="138"/>
      <c r="G257" s="16" t="s">
        <v>485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282</v>
      </c>
      <c r="D258" s="137"/>
      <c r="E258" s="138"/>
      <c r="F258" s="138"/>
      <c r="G258" s="16"/>
      <c r="H258" s="113"/>
    </row>
    <row r="259" spans="1:8" ht="15.9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5.9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  <c r="F261" s="237"/>
      <c r="G261" s="238"/>
    </row>
    <row r="262" spans="1:8" ht="14.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356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4.7" thickBot="1">
      <c r="B281" s="5"/>
      <c r="C281" s="3"/>
      <c r="D281" s="5"/>
      <c r="E281" s="5"/>
      <c r="F281" s="237"/>
      <c r="G281" s="238"/>
    </row>
    <row r="282" spans="2:8" ht="14.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363</v>
      </c>
    </row>
    <row r="287" spans="2:8">
      <c r="B287" s="134">
        <v>35</v>
      </c>
      <c r="C287" s="16" t="s">
        <v>486</v>
      </c>
      <c r="D287" s="137">
        <v>54.8</v>
      </c>
      <c r="E287" s="138"/>
      <c r="F287" s="138"/>
      <c r="G287" s="16" t="s">
        <v>488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506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4.7" thickBot="1">
      <c r="B301" s="5"/>
      <c r="C301" s="3"/>
      <c r="D301" s="5"/>
      <c r="E301" s="5"/>
      <c r="F301" s="237"/>
      <c r="G301" s="238"/>
    </row>
    <row r="302" spans="2:8" ht="14.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v>4.4000000000000004</v>
      </c>
      <c r="E306" s="138"/>
      <c r="F306" s="138"/>
      <c r="G306" s="16" t="s">
        <v>348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355</v>
      </c>
    </row>
    <row r="308" spans="2:7">
      <c r="B308" s="134">
        <v>17.45</v>
      </c>
      <c r="C308" s="27" t="s">
        <v>364</v>
      </c>
      <c r="D308" s="137">
        <f>51.89+44.67</f>
        <v>96.56</v>
      </c>
      <c r="E308" s="138"/>
      <c r="F308" s="138"/>
      <c r="G308" s="16" t="s">
        <v>479</v>
      </c>
    </row>
    <row r="309" spans="2:7">
      <c r="B309" s="134">
        <v>170</v>
      </c>
      <c r="C309" s="16" t="s">
        <v>441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4.7" thickBot="1">
      <c r="B321" s="237"/>
      <c r="C321" s="238"/>
      <c r="D321" s="237"/>
      <c r="E321" s="237"/>
      <c r="F321" s="237"/>
      <c r="G321" s="238"/>
    </row>
    <row r="322" spans="2:7" ht="14.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362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4.7" thickBot="1">
      <c r="B341" s="5"/>
      <c r="C341" s="3"/>
      <c r="D341" s="5"/>
      <c r="E341" s="5"/>
      <c r="F341" s="237"/>
      <c r="G341" s="238"/>
    </row>
    <row r="342" spans="2:7" ht="14.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4.7" thickBot="1">
      <c r="B361" s="5"/>
      <c r="C361" s="3"/>
      <c r="D361" s="5"/>
      <c r="E361" s="5"/>
      <c r="F361" s="237"/>
      <c r="G361" s="238"/>
    </row>
    <row r="362" spans="2:7" ht="14.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507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4.7" thickBot="1">
      <c r="B381" s="5"/>
      <c r="C381" s="3"/>
      <c r="D381" s="5"/>
      <c r="E381" s="5"/>
      <c r="F381" s="237"/>
      <c r="G381" s="238"/>
    </row>
    <row r="382" spans="2:7" ht="14.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  <c r="F401" s="237"/>
      <c r="G401" s="238"/>
    </row>
    <row r="402" spans="2:7" ht="14.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352</v>
      </c>
    </row>
    <row r="407" spans="2:7">
      <c r="B407" s="134">
        <v>45.86</v>
      </c>
      <c r="C407" s="16" t="s">
        <v>351</v>
      </c>
      <c r="D407" s="137"/>
      <c r="E407" s="138"/>
      <c r="F407" s="138"/>
      <c r="G407" s="16"/>
    </row>
    <row r="408" spans="2:7">
      <c r="B408" s="134">
        <v>-1094.26</v>
      </c>
      <c r="C408" s="16" t="s">
        <v>291</v>
      </c>
      <c r="D408" s="137">
        <v>44.48</v>
      </c>
      <c r="E408" s="138"/>
      <c r="F408" s="138"/>
      <c r="G408" s="16" t="s">
        <v>377</v>
      </c>
    </row>
    <row r="409" spans="2:7">
      <c r="B409" s="134">
        <f>29.29+20</f>
        <v>49.29</v>
      </c>
      <c r="C409" s="16" t="s">
        <v>441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4.7" thickBot="1">
      <c r="B419" s="135"/>
      <c r="C419" s="17"/>
      <c r="D419" s="135"/>
      <c r="E419" s="139"/>
      <c r="F419" s="139"/>
      <c r="G419" s="17"/>
    </row>
    <row r="420" spans="1:8" ht="14.7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4.7" thickBot="1">
      <c r="B421" s="5"/>
      <c r="C421" s="3"/>
      <c r="D421" s="5"/>
      <c r="E421" s="5"/>
      <c r="F421" s="237"/>
      <c r="G421" s="238"/>
    </row>
    <row r="422" spans="1:8" ht="14.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222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'04'!A466+(B466-SUM(D466:F466))</f>
        <v>-550</v>
      </c>
      <c r="B466" s="134">
        <v>-550</v>
      </c>
      <c r="C466" s="16" t="s">
        <v>292</v>
      </c>
      <c r="D466" s="137"/>
      <c r="E466" s="138"/>
      <c r="F466" s="138"/>
      <c r="G466" s="16"/>
    </row>
    <row r="467" spans="1:7" ht="15.6">
      <c r="A467" s="112">
        <f>'04'!A467+(B467-SUM(D467:F467))</f>
        <v>225</v>
      </c>
      <c r="B467" s="134">
        <f>50+50</f>
        <v>100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'04'!A468+(B468-SUM(D468:F468))</f>
        <v>143.19</v>
      </c>
      <c r="B468" s="134">
        <f>15+35</f>
        <v>50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-181.81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M5+2156.93</f>
        <v>1614.1099999999997</v>
      </c>
      <c r="L5" s="425"/>
      <c r="M5" s="1">
        <f>-542.82</f>
        <v>-542.82000000000005</v>
      </c>
      <c r="N5" s="1" t="s">
        <v>484</v>
      </c>
      <c r="R5" s="3"/>
    </row>
    <row r="6" spans="1:22" ht="15.6">
      <c r="A6" s="112">
        <f>'05'!A6+(B6-SUM(D6:F6))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6">
      <c r="A7" s="112">
        <f>'05'!A7+(B7-SUM(D7:F7))</f>
        <v>163.50000000000006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9234.42-58.2</f>
        <v>9176.2199999999993</v>
      </c>
      <c r="L7" s="427"/>
      <c r="M7" s="1"/>
      <c r="N7" s="1"/>
      <c r="R7" s="3"/>
    </row>
    <row r="8" spans="1:22" ht="15.6">
      <c r="A8" s="112">
        <f>'05'!A8+(B8-SUM(D8:F8))</f>
        <v>-99.210000000000008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6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6">
      <c r="A11" s="112">
        <f>'05'!A11+(B11-SUM(D11:F11))</f>
        <v>60.45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190</v>
      </c>
      <c r="L11" s="427"/>
      <c r="M11" s="1"/>
      <c r="N11" s="1"/>
      <c r="R11" s="3"/>
    </row>
    <row r="12" spans="1:22" ht="15.6">
      <c r="A12" s="112">
        <f>'05'!A12+(B12-SUM(D12:F12))</f>
        <v>176.5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6">
      <c r="A13" s="112">
        <f>'05'!A13+(B13-SUM(D13:F13))</f>
        <v>497.5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5.9" thickBot="1">
      <c r="A20" s="112">
        <f>SUM(A6:A15)</f>
        <v>1619.26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2574.61</v>
      </c>
      <c r="M25" s="1"/>
      <c r="R25" s="3"/>
    </row>
    <row r="26" spans="1:18" ht="15.6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6">
      <c r="A27" s="112">
        <f>'05'!A27+(B27-SUM(D27:F27))</f>
        <v>260.12999999999988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6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6">
      <c r="A29" s="112">
        <f>'05'!A29+(B29-SUM(D29:F29))</f>
        <v>20.020000000000007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499</v>
      </c>
      <c r="K30" s="408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309</v>
      </c>
      <c r="K31" s="410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242</v>
      </c>
      <c r="K35" s="408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5.9" thickBot="1">
      <c r="A40" s="112">
        <f>SUM(A26:A35)</f>
        <v>1066.25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6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491</v>
      </c>
      <c r="H46" s="1"/>
      <c r="I46" s="405"/>
      <c r="J46" s="409"/>
      <c r="K46" s="410"/>
      <c r="L46" s="229"/>
      <c r="M46" s="1"/>
      <c r="R46" s="3"/>
    </row>
    <row r="47" spans="1:18" ht="15.6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503</v>
      </c>
      <c r="H47" s="1"/>
      <c r="I47" s="405"/>
      <c r="J47" s="409"/>
      <c r="K47" s="410"/>
      <c r="L47" s="229"/>
      <c r="M47" s="1"/>
      <c r="R47" s="3"/>
    </row>
    <row r="48" spans="1:18" ht="15.6">
      <c r="A48" s="1"/>
      <c r="B48" s="134"/>
      <c r="C48" s="16" t="s">
        <v>492</v>
      </c>
      <c r="D48" s="137">
        <v>27.2</v>
      </c>
      <c r="E48" s="138"/>
      <c r="F48" s="138"/>
      <c r="G48" s="16" t="s">
        <v>516</v>
      </c>
      <c r="H48" s="1"/>
      <c r="I48" s="405"/>
      <c r="J48" s="409"/>
      <c r="K48" s="410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517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521</v>
      </c>
      <c r="H50" s="1"/>
      <c r="I50" s="404" t="str">
        <f>AÑO!A13</f>
        <v>Gubernamental</v>
      </c>
      <c r="J50" s="407" t="s">
        <v>512</v>
      </c>
      <c r="K50" s="408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528</v>
      </c>
      <c r="H51" s="1"/>
      <c r="I51" s="405"/>
      <c r="J51" s="409"/>
      <c r="K51" s="410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530</v>
      </c>
      <c r="H52" s="1"/>
      <c r="I52" s="405"/>
      <c r="J52" s="409"/>
      <c r="K52" s="410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536</v>
      </c>
      <c r="H53" s="1"/>
      <c r="I53" s="405"/>
      <c r="J53" s="409"/>
      <c r="K53" s="410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541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545</v>
      </c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500</v>
      </c>
      <c r="K60" s="408"/>
      <c r="L60" s="231">
        <v>511.74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6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6">
      <c r="A66" s="112">
        <f>'05'!A66+(B66-SUM(D66:F78))+B67+B68</f>
        <v>181.98000000000002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513</v>
      </c>
      <c r="H66" s="1"/>
      <c r="I66" s="405"/>
      <c r="J66" s="409"/>
      <c r="K66" s="410"/>
      <c r="L66" s="229"/>
      <c r="M66" s="1"/>
      <c r="R66" s="3"/>
    </row>
    <row r="67" spans="1:18" ht="15.6">
      <c r="A67" s="1"/>
      <c r="B67" s="134">
        <v>-35</v>
      </c>
      <c r="C67" s="16" t="s">
        <v>501</v>
      </c>
      <c r="D67" s="137">
        <v>36.049999999999997</v>
      </c>
      <c r="E67" s="138"/>
      <c r="F67" s="138"/>
      <c r="G67" s="31" t="s">
        <v>524</v>
      </c>
      <c r="H67" s="1"/>
      <c r="I67" s="405"/>
      <c r="J67" s="409"/>
      <c r="K67" s="410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525</v>
      </c>
      <c r="H68" s="1"/>
      <c r="I68" s="405"/>
      <c r="J68" s="409"/>
      <c r="K68" s="410"/>
      <c r="L68" s="229"/>
      <c r="M68" s="1"/>
      <c r="R68" s="3"/>
    </row>
    <row r="69" spans="1:18" ht="15.9" thickBot="1">
      <c r="A69" s="1"/>
      <c r="B69" s="134"/>
      <c r="C69" s="16"/>
      <c r="D69" s="137"/>
      <c r="E69" s="138"/>
      <c r="F69" s="138">
        <v>4.5</v>
      </c>
      <c r="G69" s="16" t="s">
        <v>527</v>
      </c>
      <c r="H69" s="1"/>
      <c r="I69" s="406"/>
      <c r="J69" s="411"/>
      <c r="K69" s="412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531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532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539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'05'!A79+(B79-SUM(D79:F79))</f>
        <v>60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241.98000000000002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6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41.71</v>
      </c>
      <c r="E86" s="138"/>
      <c r="F86" s="138"/>
      <c r="G86" s="16" t="s">
        <v>495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497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514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515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535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537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538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543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6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'05'!A106+(B106-SUM(D106:F106))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'05'!A107+(B107-SUM(D107:F107))</f>
        <v>0.66000000000006764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'05'!A108+(B108-SUM(D108:F108))</f>
        <v>866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-440.24000000000024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4800.7015974244987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6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D127+D128+'05'!I127</f>
        <v>55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6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544</v>
      </c>
      <c r="H146" s="1"/>
      <c r="M146" s="1"/>
      <c r="R146" s="3"/>
    </row>
    <row r="147" spans="1:22" ht="15.6">
      <c r="A147" s="1"/>
      <c r="B147" s="134">
        <v>-60</v>
      </c>
      <c r="C147" s="16" t="s">
        <v>493</v>
      </c>
      <c r="D147" s="137"/>
      <c r="E147" s="138"/>
      <c r="F147" s="138"/>
      <c r="G147" s="16" t="s">
        <v>494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518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522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526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528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529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546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281</v>
      </c>
      <c r="D246" s="137"/>
      <c r="E246" s="138">
        <v>21.08</v>
      </c>
      <c r="F246" s="138"/>
      <c r="G246" s="16" t="s">
        <v>520</v>
      </c>
    </row>
    <row r="247" spans="1:7" ht="15" customHeight="1">
      <c r="A247" s="112"/>
      <c r="B247" s="134">
        <f>-10</f>
        <v>-10</v>
      </c>
      <c r="C247" s="16" t="s">
        <v>548</v>
      </c>
      <c r="D247" s="137">
        <v>12.99</v>
      </c>
      <c r="E247" s="138"/>
      <c r="F247" s="138"/>
      <c r="G247" s="16" t="s">
        <v>528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541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310</v>
      </c>
      <c r="D257" s="137"/>
      <c r="E257" s="138">
        <v>100.67</v>
      </c>
      <c r="F257" s="138"/>
      <c r="G257" s="16" t="s">
        <v>284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282</v>
      </c>
      <c r="D258" s="137"/>
      <c r="E258" s="138"/>
      <c r="F258" s="138"/>
      <c r="G258" s="16"/>
    </row>
    <row r="259" spans="1:8" ht="15.9" thickBot="1">
      <c r="A259" s="112"/>
      <c r="B259" s="135"/>
      <c r="C259" s="17"/>
      <c r="D259" s="135"/>
      <c r="E259" s="139"/>
      <c r="F259" s="139"/>
      <c r="G259" s="17"/>
    </row>
    <row r="260" spans="1:8" ht="15.9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</row>
    <row r="262" spans="1:8" ht="14.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505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534</v>
      </c>
      <c r="H267" s="89" t="s">
        <v>533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540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4.7" thickBot="1">
      <c r="B279" s="135"/>
      <c r="C279" s="17"/>
      <c r="D279" s="135"/>
      <c r="E279" s="139"/>
      <c r="F279" s="139"/>
      <c r="G279" s="17"/>
    </row>
    <row r="280" spans="2:9" ht="14.7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4.7" thickBot="1">
      <c r="B281" s="5"/>
      <c r="C281" s="3"/>
      <c r="D281" s="5"/>
      <c r="E281" s="5"/>
    </row>
    <row r="282" spans="2:9" ht="14.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508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519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489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4.7" thickBot="1">
      <c r="B301" s="5"/>
      <c r="C301" s="3"/>
      <c r="D301" s="5"/>
      <c r="E301" s="5"/>
    </row>
    <row r="302" spans="2:8" ht="14.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498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510</v>
      </c>
    </row>
    <row r="308" spans="2:7">
      <c r="B308" s="134"/>
      <c r="C308" s="27"/>
      <c r="D308" s="137"/>
      <c r="E308" s="138"/>
      <c r="F308" s="138">
        <v>50</v>
      </c>
      <c r="G308" s="16" t="s">
        <v>511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4.7" thickBot="1"/>
    <row r="322" spans="2:7" ht="14.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509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140.73+(B346-SUM(D346:F357))</f>
        <v>185.73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490</v>
      </c>
      <c r="D358" s="137"/>
      <c r="E358" s="138"/>
      <c r="F358" s="138"/>
      <c r="G358" s="16"/>
    </row>
    <row r="359" spans="1:7" ht="15.9" thickBot="1">
      <c r="A359" s="112"/>
      <c r="B359" s="135">
        <v>35</v>
      </c>
      <c r="C359" s="17" t="s">
        <v>502</v>
      </c>
      <c r="D359" s="135"/>
      <c r="E359" s="139"/>
      <c r="F359" s="139"/>
      <c r="G359" s="17"/>
    </row>
    <row r="360" spans="1:7" ht="15.9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523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541</v>
      </c>
    </row>
    <row r="369" spans="2:7">
      <c r="B369" s="134"/>
      <c r="C369" s="16"/>
      <c r="D369" s="137">
        <v>11</v>
      </c>
      <c r="E369" s="138"/>
      <c r="F369" s="138"/>
      <c r="G369" s="16" t="s">
        <v>542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504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-0.82999999999901775</v>
      </c>
      <c r="C426" s="19" t="s">
        <v>222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'05'!A466+(B466-SUM(D466:F466))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'05'!A467+(B467-SUM(D467:F467))</f>
        <v>275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'05'!A468+(B468-SUM(D468:F468))+B469</f>
        <v>103.19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-55</v>
      </c>
      <c r="C469" s="16" t="s">
        <v>496</v>
      </c>
      <c r="D469" s="137"/>
      <c r="E469" s="138"/>
      <c r="F469" s="138"/>
      <c r="G469" s="16" t="s">
        <v>227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-171.81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2939.95</f>
        <v>2939.95</v>
      </c>
      <c r="L5" s="425"/>
      <c r="M5" s="1"/>
      <c r="N5" s="1"/>
      <c r="R5" s="3"/>
    </row>
    <row r="6" spans="1:22" ht="15.6">
      <c r="A6" s="112">
        <f>'06'!A6+(B6-SUM(D6:F6))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6">
      <c r="A7" s="112">
        <f>'06'!A7+(B7-SUM(D7:F7))</f>
        <v>230.68000000000006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8049.26</v>
      </c>
      <c r="L7" s="427"/>
      <c r="M7" s="1"/>
      <c r="N7" s="1"/>
      <c r="R7" s="3"/>
    </row>
    <row r="8" spans="1:22" ht="15.6">
      <c r="A8" s="112">
        <f>'06'!A8+(B8-SUM(D8:F8))</f>
        <v>-0.10999999999998522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6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6">
      <c r="A11" s="112">
        <f>'06'!A11+(B11-SUM(D11:F11))</f>
        <v>60.46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260</v>
      </c>
      <c r="L11" s="427"/>
      <c r="M11" s="1"/>
      <c r="N11" s="1"/>
      <c r="R11" s="3"/>
    </row>
    <row r="12" spans="1:22" ht="15.6">
      <c r="A12" s="112">
        <f>'06'!A12+(B12-SUM(D12:F12))</f>
        <v>201.5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6">
      <c r="A13" s="112">
        <f>'06'!A13+(B13-SUM(D13:F13))</f>
        <v>504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5.9" thickBot="1">
      <c r="A20" s="112">
        <f>SUM(A6:A15)</f>
        <v>1817.0500000000002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2568.54</v>
      </c>
      <c r="M25" s="1"/>
      <c r="R25" s="3"/>
    </row>
    <row r="26" spans="1:18" ht="15.6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6">
      <c r="A27" s="112">
        <f>'06'!A27+(B27-SUM(D27:F27))</f>
        <v>264.13999999999987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6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6">
      <c r="A29" s="112">
        <f>'06'!A29+(B29-SUM(D29:F29))</f>
        <v>20.070000000000007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499</v>
      </c>
      <c r="K31" s="410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560</v>
      </c>
      <c r="K32" s="410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5.9" thickBot="1">
      <c r="A40" s="112">
        <f>SUM(A26:A35)</f>
        <v>1110.3099999999997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547</v>
      </c>
      <c r="K40" s="408"/>
      <c r="L40" s="231">
        <v>1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6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552</v>
      </c>
      <c r="H46" s="1"/>
      <c r="I46" s="405"/>
      <c r="J46" s="409"/>
      <c r="K46" s="410"/>
      <c r="L46" s="229"/>
      <c r="M46" s="1"/>
      <c r="R46" s="3"/>
    </row>
    <row r="47" spans="1:18" ht="15.6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558</v>
      </c>
      <c r="H47" s="1"/>
      <c r="I47" s="405"/>
      <c r="J47" s="409"/>
      <c r="K47" s="410"/>
      <c r="L47" s="229"/>
      <c r="M47" s="1"/>
      <c r="R47" s="3"/>
    </row>
    <row r="48" spans="1:18" ht="15.6">
      <c r="A48" s="1"/>
      <c r="B48" s="134"/>
      <c r="C48" s="16" t="s">
        <v>492</v>
      </c>
      <c r="D48" s="137">
        <v>8.1</v>
      </c>
      <c r="E48" s="138"/>
      <c r="F48" s="138"/>
      <c r="G48" s="16" t="s">
        <v>577</v>
      </c>
      <c r="H48" s="1"/>
      <c r="I48" s="405"/>
      <c r="J48" s="409"/>
      <c r="K48" s="410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555</v>
      </c>
      <c r="D49" s="137">
        <v>2.5499999999999998</v>
      </c>
      <c r="E49" s="138"/>
      <c r="F49" s="138"/>
      <c r="G49" s="16" t="s">
        <v>586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5</v>
      </c>
      <c r="C50" s="16" t="s">
        <v>582</v>
      </c>
      <c r="D50" s="137">
        <v>69.97</v>
      </c>
      <c r="E50" s="138"/>
      <c r="F50" s="138"/>
      <c r="G50" s="16" t="s">
        <v>597</v>
      </c>
      <c r="H50" s="1"/>
      <c r="I50" s="404" t="str">
        <f>AÑO!A13</f>
        <v>Gubernamental</v>
      </c>
      <c r="J50" s="407" t="s">
        <v>512</v>
      </c>
      <c r="K50" s="408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600</v>
      </c>
      <c r="D51" s="137">
        <v>5.29</v>
      </c>
      <c r="E51" s="138"/>
      <c r="F51" s="138"/>
      <c r="G51" s="16" t="s">
        <v>599</v>
      </c>
      <c r="H51" s="1"/>
      <c r="I51" s="405"/>
      <c r="J51" s="409"/>
      <c r="K51" s="410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561</v>
      </c>
      <c r="K55" s="408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561</v>
      </c>
      <c r="K56" s="410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561</v>
      </c>
      <c r="K57" s="410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576</v>
      </c>
      <c r="K60" s="408"/>
      <c r="L60" s="231">
        <v>649.1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6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6">
      <c r="A66" s="112">
        <f>'06'!A66+(B66-SUM(D66:F78))+B67</f>
        <v>199.78000000000003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553</v>
      </c>
      <c r="H66" s="1"/>
      <c r="I66" s="405"/>
      <c r="J66" s="409"/>
      <c r="K66" s="410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562</v>
      </c>
      <c r="H67" s="1"/>
      <c r="I67" s="405"/>
      <c r="J67" s="409"/>
      <c r="K67" s="410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584</v>
      </c>
      <c r="H68" s="1"/>
      <c r="I68" s="405"/>
      <c r="J68" s="409"/>
      <c r="K68" s="410"/>
      <c r="L68" s="229"/>
      <c r="M68" s="1"/>
      <c r="R68" s="3"/>
    </row>
    <row r="69" spans="1:18" ht="15.9" thickBot="1">
      <c r="A69" s="1"/>
      <c r="B69" s="134"/>
      <c r="C69" s="16"/>
      <c r="D69" s="137"/>
      <c r="E69" s="138"/>
      <c r="F69" s="138">
        <v>8</v>
      </c>
      <c r="G69" s="16" t="s">
        <v>583</v>
      </c>
      <c r="H69" s="1"/>
      <c r="I69" s="406"/>
      <c r="J69" s="411"/>
      <c r="K69" s="412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596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'06'!A79+(B79-SUM(D79:F79))</f>
        <v>70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269.78000000000003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6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47.8</v>
      </c>
      <c r="E86" s="138"/>
      <c r="F86" s="138"/>
      <c r="G86" s="16" t="s">
        <v>585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591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6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'06'!A106+(B106-SUM(D106:F106))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'06'!A107+(B107-SUM(D107:F107))</f>
        <v>0.75000000000007105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'06'!A108+(B108-SUM(D108:F108))</f>
        <v>916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-372.71000000000026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602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605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4850.7915974244988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6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D127+D128+'06'!I127</f>
        <v>65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6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557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565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571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579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572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573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574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559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558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587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598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552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570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281</v>
      </c>
      <c r="D246" s="137">
        <v>33.729999999999997</v>
      </c>
      <c r="E246" s="138"/>
      <c r="F246" s="138"/>
      <c r="G246" s="16" t="s">
        <v>595</v>
      </c>
    </row>
    <row r="247" spans="1:7" ht="15" customHeight="1">
      <c r="A247" s="112"/>
      <c r="B247" s="134">
        <v>-5</v>
      </c>
      <c r="C247" s="16" t="s">
        <v>582</v>
      </c>
      <c r="D247" s="137">
        <v>20</v>
      </c>
      <c r="E247" s="138"/>
      <c r="F247" s="138"/>
      <c r="G247" s="16" t="s">
        <v>597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580</v>
      </c>
      <c r="D257" s="137"/>
      <c r="E257" s="138">
        <v>100.67</v>
      </c>
      <c r="F257" s="138"/>
      <c r="G257" s="16" t="s">
        <v>606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589</v>
      </c>
      <c r="D258" s="137">
        <v>349</v>
      </c>
      <c r="E258" s="138"/>
      <c r="F258" s="138"/>
      <c r="G258" s="16" t="s">
        <v>556</v>
      </c>
    </row>
    <row r="259" spans="1:8" ht="15.9" thickBot="1">
      <c r="A259" s="112"/>
      <c r="B259" s="135"/>
      <c r="C259" s="17"/>
      <c r="D259" s="135"/>
      <c r="E259" s="139"/>
      <c r="F259" s="139"/>
      <c r="G259" s="17"/>
    </row>
    <row r="260" spans="1:8" ht="15.9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</row>
    <row r="262" spans="1:8" ht="14.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4.7" thickBot="1">
      <c r="B281" s="5"/>
      <c r="C281" s="3"/>
      <c r="D281" s="5"/>
      <c r="E281" s="5"/>
    </row>
    <row r="282" spans="2:8" ht="14.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558</v>
      </c>
    </row>
    <row r="287" spans="2:8">
      <c r="B287" s="134"/>
      <c r="C287" s="16"/>
      <c r="D287" s="137"/>
      <c r="E287" s="138"/>
      <c r="F287" s="138">
        <v>50</v>
      </c>
      <c r="G287" s="16" t="s">
        <v>567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568</v>
      </c>
    </row>
    <row r="289" spans="2:8">
      <c r="B289" s="134"/>
      <c r="C289" s="16"/>
      <c r="D289" s="137">
        <v>26.31</v>
      </c>
      <c r="E289" s="138"/>
      <c r="F289" s="138"/>
      <c r="G289" s="16" t="s">
        <v>570</v>
      </c>
    </row>
    <row r="290" spans="2:8">
      <c r="B290" s="134"/>
      <c r="C290" s="16"/>
      <c r="D290" s="137"/>
      <c r="E290" s="138">
        <v>31.95</v>
      </c>
      <c r="F290" s="138"/>
      <c r="G290" s="16" t="s">
        <v>588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4.7" thickBot="1">
      <c r="B301" s="5"/>
      <c r="C301" s="3"/>
      <c r="D301" s="5"/>
      <c r="E301" s="5"/>
    </row>
    <row r="302" spans="2:8" ht="14.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549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551</v>
      </c>
    </row>
    <row r="308" spans="2:7">
      <c r="B308" s="134">
        <f>37.49+14.27+14.27</f>
        <v>66.03</v>
      </c>
      <c r="C308" s="27" t="s">
        <v>561</v>
      </c>
      <c r="D308" s="137">
        <f>37.5+37.5</f>
        <v>75</v>
      </c>
      <c r="E308" s="138"/>
      <c r="F308" s="138"/>
      <c r="G308" s="16" t="s">
        <v>578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4.7" thickBot="1"/>
    <row r="322" spans="2:7" ht="14.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575</v>
      </c>
    </row>
    <row r="327" spans="2:7">
      <c r="B327" s="134">
        <v>100</v>
      </c>
      <c r="C327" s="16" t="s">
        <v>566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'06'!A346+(B346-SUM(D346:F357))</f>
        <v>230.73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592</v>
      </c>
      <c r="D358" s="137">
        <v>64.3</v>
      </c>
      <c r="E358" s="138"/>
      <c r="F358" s="138"/>
      <c r="G358" s="16" t="s">
        <v>590</v>
      </c>
    </row>
    <row r="359" spans="1:7" ht="15.9" thickBot="1">
      <c r="A359" s="112"/>
      <c r="B359" s="135">
        <f>12.64+6.66</f>
        <v>19.3</v>
      </c>
      <c r="C359" s="17" t="s">
        <v>600</v>
      </c>
      <c r="D359" s="135"/>
      <c r="E359" s="139"/>
      <c r="F359" s="139"/>
      <c r="G359" s="17"/>
    </row>
    <row r="360" spans="1:7" ht="15.9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554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601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550</v>
      </c>
    </row>
    <row r="407" spans="2:7">
      <c r="B407" s="134">
        <v>1</v>
      </c>
      <c r="C407" s="16" t="s">
        <v>547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601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465.44999999999982</v>
      </c>
      <c r="C426" s="19" t="s">
        <v>222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'06'!A466+(B466-SUM(D466:F466))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'06'!A467+(B467-SUM(D467:F467))</f>
        <v>325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'06'!A468+(B468-SUM(D468:F468))</f>
        <v>118.19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-106.81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5.9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6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6">
      <c r="A6" s="112">
        <f>'07'!A6+(B6-SUM(D6:F6))</f>
        <v>784.52</v>
      </c>
      <c r="B6" s="133">
        <v>403.08</v>
      </c>
      <c r="C6" s="19" t="s">
        <v>608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6">
      <c r="A7" s="112">
        <f>'07'!A7+(B7-SUM(D7:F7))</f>
        <v>297.86000000000007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7490.36</v>
      </c>
      <c r="L7" s="427"/>
      <c r="M7" s="1"/>
      <c r="N7" s="1"/>
      <c r="R7" s="3"/>
    </row>
    <row r="8" spans="1:22" ht="15.6">
      <c r="A8" s="112">
        <f>'07'!A8+(B8-SUM(D8:F8))</f>
        <v>-103.86999999999999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6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6">
      <c r="A11" s="112">
        <f>'07'!A11+(B11-SUM(D11:F11))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20+120</f>
        <v>140</v>
      </c>
      <c r="L11" s="427"/>
      <c r="M11" s="1"/>
      <c r="N11" s="1"/>
      <c r="R11" s="3"/>
    </row>
    <row r="12" spans="1:22" ht="15.6">
      <c r="A12" s="112">
        <f>'07'!A12+(B12-SUM(D12:F12))</f>
        <v>226.5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6">
      <c r="A13" s="112">
        <f>'07'!A13+(B13-SUM(D13:F13))</f>
        <v>510.5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5.9" thickBot="1">
      <c r="A20" s="112">
        <f>SUM(A6:A15)</f>
        <v>1811.97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6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2571.5500000000002</v>
      </c>
      <c r="M25" s="1"/>
      <c r="R25" s="3"/>
    </row>
    <row r="26" spans="1:18" ht="15.6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6">
      <c r="A27" s="112">
        <f>'07'!A27+(B27-SUM(D27:F27))</f>
        <v>268.14999999999986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6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6">
      <c r="A29" s="112">
        <f>'07'!A29+(B29-SUM(D29:F29))</f>
        <v>20.120000000000008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'07'!A30+(B30-SUM(D30:F30))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276</v>
      </c>
      <c r="K35" s="408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5.9" thickBot="1">
      <c r="A40" s="112">
        <f>SUM(A26:A35)</f>
        <v>1050.18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6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647</v>
      </c>
      <c r="K45" s="408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615</v>
      </c>
      <c r="H46" s="1"/>
      <c r="I46" s="405"/>
      <c r="J46" s="409" t="s">
        <v>648</v>
      </c>
      <c r="K46" s="410"/>
      <c r="L46" s="229">
        <v>30</v>
      </c>
      <c r="M46" s="1"/>
      <c r="R46" s="3"/>
    </row>
    <row r="47" spans="1:18" ht="15.6">
      <c r="A47" s="1"/>
      <c r="B47" s="134"/>
      <c r="C47" s="16" t="s">
        <v>76</v>
      </c>
      <c r="D47" s="137">
        <v>83.95</v>
      </c>
      <c r="E47" s="138"/>
      <c r="F47" s="138"/>
      <c r="G47" s="16" t="s">
        <v>612</v>
      </c>
      <c r="H47" s="1"/>
      <c r="I47" s="405"/>
      <c r="J47" s="409"/>
      <c r="K47" s="410"/>
      <c r="L47" s="229"/>
      <c r="M47" s="1"/>
      <c r="R47" s="3"/>
    </row>
    <row r="48" spans="1:18" ht="15.6">
      <c r="A48" s="1"/>
      <c r="B48" s="134"/>
      <c r="C48" s="16" t="s">
        <v>593</v>
      </c>
      <c r="D48" s="137">
        <v>22.34</v>
      </c>
      <c r="E48" s="138"/>
      <c r="F48" s="138"/>
      <c r="G48" s="16" t="s">
        <v>616</v>
      </c>
      <c r="H48" s="1">
        <f>22*8</f>
        <v>176</v>
      </c>
      <c r="I48" s="405"/>
      <c r="J48" s="409"/>
      <c r="K48" s="410"/>
      <c r="L48" s="229"/>
      <c r="M48" s="1"/>
      <c r="R48" s="3"/>
    </row>
    <row r="49" spans="1:18" ht="15.6">
      <c r="A49" s="1"/>
      <c r="B49" s="134">
        <v>23.87</v>
      </c>
      <c r="C49" s="16" t="s">
        <v>600</v>
      </c>
      <c r="D49" s="137">
        <v>49.31</v>
      </c>
      <c r="E49" s="138"/>
      <c r="F49" s="138"/>
      <c r="G49" s="16" t="s">
        <v>622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629</v>
      </c>
      <c r="H50" s="1"/>
      <c r="I50" s="404" t="str">
        <f>AÑO!A13</f>
        <v>Gubernamental</v>
      </c>
      <c r="J50" s="407" t="s">
        <v>512</v>
      </c>
      <c r="K50" s="408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630</v>
      </c>
      <c r="H51" s="1"/>
      <c r="I51" s="405"/>
      <c r="J51" s="409"/>
      <c r="K51" s="410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3">
        <v>43692</v>
      </c>
      <c r="K55" s="408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5"/>
      <c r="J56" s="444">
        <v>43696</v>
      </c>
      <c r="K56" s="410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6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6">
      <c r="A66" s="112">
        <f>'07'!A66+(SUM(B66:B78)-SUM(D66:F78))</f>
        <v>183.13000000000005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621</v>
      </c>
      <c r="H66" s="1"/>
      <c r="I66" s="405"/>
      <c r="J66" s="409"/>
      <c r="K66" s="410"/>
      <c r="L66" s="229"/>
      <c r="M66" s="1"/>
      <c r="R66" s="3"/>
    </row>
    <row r="67" spans="1:18" ht="15.6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620</v>
      </c>
      <c r="H67" s="1"/>
      <c r="I67" s="405"/>
      <c r="J67" s="409"/>
      <c r="K67" s="410"/>
      <c r="L67" s="229"/>
      <c r="M67" s="1"/>
      <c r="R67" s="3"/>
    </row>
    <row r="68" spans="1:18" ht="15.6">
      <c r="A68" s="1"/>
      <c r="B68" s="134">
        <v>10</v>
      </c>
      <c r="C68" s="16" t="s">
        <v>600</v>
      </c>
      <c r="D68" s="137">
        <v>19.5</v>
      </c>
      <c r="E68" s="138"/>
      <c r="F68" s="138">
        <v>5.5</v>
      </c>
      <c r="G68" s="16" t="s">
        <v>626</v>
      </c>
      <c r="H68" s="1"/>
      <c r="I68" s="405"/>
      <c r="J68" s="409"/>
      <c r="K68" s="410"/>
      <c r="L68" s="229"/>
      <c r="M68" s="1"/>
      <c r="R68" s="3"/>
    </row>
    <row r="69" spans="1:18" ht="15.9" thickBot="1">
      <c r="A69" s="1"/>
      <c r="B69" s="134"/>
      <c r="C69" s="16"/>
      <c r="D69" s="137">
        <v>39.9</v>
      </c>
      <c r="E69" s="138"/>
      <c r="F69" s="138"/>
      <c r="G69" s="16" t="s">
        <v>627</v>
      </c>
      <c r="H69" s="1"/>
      <c r="I69" s="406"/>
      <c r="J69" s="411"/>
      <c r="K69" s="412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639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649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'07'!A79+(B79-SUM(D79:F79))</f>
        <v>80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263.13000000000005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6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56.61</v>
      </c>
      <c r="E86" s="138"/>
      <c r="F86" s="138"/>
      <c r="G86" s="16" t="s">
        <v>618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619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632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644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6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'07'!A106+(B106-SUM(D106:F106))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'07'!A107+(B107-SUM(D107:F107))</f>
        <v>0.84000000000007446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'07'!A108+(B108-SUM(D108:F108))</f>
        <v>966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244.81999999999971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614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4900.881597424499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6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746</v>
      </c>
      <c r="I127" s="113">
        <f>D127+D128+'07'!I127</f>
        <v>85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6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652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 t="s">
        <v>563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636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564</v>
      </c>
    </row>
    <row r="207" spans="2:12">
      <c r="B207" s="134"/>
      <c r="C207" s="16"/>
      <c r="D207" s="137">
        <v>23</v>
      </c>
      <c r="E207" s="138"/>
      <c r="F207" s="138"/>
      <c r="G207" s="16" t="s">
        <v>633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281</v>
      </c>
      <c r="D246" s="137">
        <f>55.4-D327</f>
        <v>45.4</v>
      </c>
      <c r="E246" s="138"/>
      <c r="F246" s="138"/>
      <c r="G246" s="16" t="s">
        <v>613</v>
      </c>
    </row>
    <row r="247" spans="1:7" ht="15" customHeight="1">
      <c r="A247" s="112"/>
      <c r="B247" s="134">
        <v>12.12</v>
      </c>
      <c r="C247" s="16" t="s">
        <v>600</v>
      </c>
      <c r="D247" s="137">
        <v>16.52</v>
      </c>
      <c r="E247" s="138"/>
      <c r="F247" s="138"/>
      <c r="G247" s="16" t="s">
        <v>628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634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581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5.9" thickBot="1">
      <c r="A259" s="112"/>
      <c r="B259" s="135"/>
      <c r="C259" s="17"/>
      <c r="D259" s="135"/>
      <c r="E259" s="139"/>
      <c r="F259" s="139"/>
      <c r="G259" s="17"/>
    </row>
    <row r="260" spans="1:8" ht="15.9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</row>
    <row r="262" spans="1:8" ht="14.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609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AÑO!AD34+(SUM(B286:B298)-SUM(D286:F298))</f>
        <v>169.01999999999973</v>
      </c>
      <c r="B286" s="133">
        <v>70</v>
      </c>
      <c r="C286" s="19" t="s">
        <v>31</v>
      </c>
      <c r="D286" s="137"/>
      <c r="E286" s="138"/>
      <c r="F286" s="138"/>
      <c r="G286" s="16" t="s">
        <v>563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640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(B299-SUM(D299:F299))</f>
        <v>20</v>
      </c>
      <c r="B299" s="135">
        <v>20</v>
      </c>
      <c r="C299" s="17" t="s">
        <v>637</v>
      </c>
      <c r="D299" s="135"/>
      <c r="E299" s="139"/>
      <c r="F299" s="139"/>
      <c r="G299" s="17"/>
    </row>
    <row r="300" spans="1:8" ht="15.9" thickBot="1">
      <c r="A300" s="112">
        <f>SUM(A286:A299)</f>
        <v>189.01999999999973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594</v>
      </c>
      <c r="D306" s="137">
        <v>35.96</v>
      </c>
      <c r="E306" s="138"/>
      <c r="F306" s="138"/>
      <c r="G306" s="16" t="s">
        <v>623</v>
      </c>
    </row>
    <row r="307" spans="2:7">
      <c r="B307" s="134">
        <v>13.15</v>
      </c>
      <c r="C307" s="27" t="s">
        <v>631</v>
      </c>
      <c r="D307" s="137"/>
      <c r="E307" s="138"/>
      <c r="F307" s="138">
        <v>70</v>
      </c>
      <c r="G307" s="16" t="s">
        <v>625</v>
      </c>
    </row>
    <row r="308" spans="2:7">
      <c r="B308" s="134">
        <v>14.27</v>
      </c>
      <c r="C308" s="27" t="s">
        <v>643</v>
      </c>
      <c r="D308" s="137">
        <v>8.68</v>
      </c>
      <c r="E308" s="138"/>
      <c r="F308" s="138"/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4.7" thickBot="1"/>
    <row r="322" spans="2:7" ht="14.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611</v>
      </c>
    </row>
    <row r="327" spans="2:7">
      <c r="B327" s="134">
        <v>192.98</v>
      </c>
      <c r="C327" s="16" t="s">
        <v>650</v>
      </c>
      <c r="D327" s="137">
        <v>10</v>
      </c>
      <c r="E327" s="138"/>
      <c r="F327" s="138"/>
      <c r="G327" s="16" t="s">
        <v>613</v>
      </c>
    </row>
    <row r="328" spans="2:7">
      <c r="B328" s="134"/>
      <c r="C328" s="16"/>
      <c r="D328" s="137">
        <v>187.13</v>
      </c>
      <c r="E328" s="138"/>
      <c r="F328" s="138"/>
      <c r="G328" s="16" t="s">
        <v>617</v>
      </c>
    </row>
    <row r="329" spans="2:7">
      <c r="B329" s="134"/>
      <c r="C329" s="16"/>
      <c r="D329" s="137">
        <v>32.14</v>
      </c>
      <c r="E329" s="138"/>
      <c r="F329" s="138"/>
      <c r="G329" s="16" t="s">
        <v>641</v>
      </c>
    </row>
    <row r="330" spans="2:7">
      <c r="B330" s="134"/>
      <c r="C330" s="16"/>
      <c r="D330" s="137">
        <v>7.49</v>
      </c>
      <c r="E330" s="138"/>
      <c r="F330" s="138"/>
      <c r="G330" s="16" t="s">
        <v>642</v>
      </c>
    </row>
    <row r="331" spans="2:7">
      <c r="B331" s="134"/>
      <c r="C331" s="16"/>
      <c r="D331" s="137"/>
      <c r="E331" s="138">
        <v>192.98</v>
      </c>
      <c r="F331" s="138"/>
      <c r="G331" s="16" t="s">
        <v>645</v>
      </c>
    </row>
    <row r="332" spans="2:7">
      <c r="B332" s="134"/>
      <c r="C332" s="16"/>
      <c r="D332" s="137"/>
      <c r="E332" s="138">
        <v>96.65</v>
      </c>
      <c r="F332" s="138"/>
      <c r="G332" s="16" t="s">
        <v>646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'07'!A346+(B346-SUM(D346:F357))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604</v>
      </c>
      <c r="D358" s="137"/>
      <c r="E358" s="138"/>
      <c r="F358" s="138"/>
      <c r="G358" s="16"/>
    </row>
    <row r="359" spans="1:7" ht="15.9" thickBot="1">
      <c r="A359" s="112">
        <f>'07'!A359+(B359-SUM(D359:F359))</f>
        <v>10</v>
      </c>
      <c r="B359" s="135">
        <v>10</v>
      </c>
      <c r="C359" s="17" t="s">
        <v>603</v>
      </c>
      <c r="D359" s="135"/>
      <c r="E359" s="139"/>
      <c r="F359" s="139"/>
      <c r="G359" s="17"/>
    </row>
    <row r="360" spans="1:7" ht="15.9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610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-300.89999999999918</v>
      </c>
      <c r="C426" s="19" t="s">
        <v>222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'07'!A466+(B466-SUM(D466:F466))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'07'!A467+(B467-SUM(D467:F467))+B476</f>
        <v>-175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'07'!A468+(B468-SUM(D468:F468))</f>
        <v>133.19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601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-591.80999999999995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600</v>
      </c>
      <c r="D506" s="137">
        <v>23.43</v>
      </c>
      <c r="E506" s="138"/>
      <c r="F506" s="138"/>
      <c r="G506" s="16" t="s">
        <v>624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2020-01-21T12:15:29Z</dcterms:modified>
</cp:coreProperties>
</file>