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D16701B4-B343-4834-B115-234CE3910A98}" xr6:coauthVersionLast="41" xr6:coauthVersionMax="41" xr10:uidLastSave="{00000000-0000-0000-0000-000000000000}"/>
  <bookViews>
    <workbookView xWindow="-108" yWindow="12852" windowWidth="22224" windowHeight="13176" activeTab="8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6" i="10" l="1"/>
  <c r="A299" i="10"/>
  <c r="A286" i="9"/>
  <c r="A300" i="9" s="1"/>
  <c r="A299" i="9"/>
  <c r="F366" i="9"/>
  <c r="A300" i="10" l="1"/>
  <c r="A427" i="9"/>
  <c r="D67" i="9" l="1"/>
  <c r="H25" i="15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26" i="15"/>
  <c r="O27" i="15"/>
  <c r="O28" i="15"/>
  <c r="O29" i="15"/>
  <c r="O26" i="15"/>
  <c r="B5" i="19"/>
  <c r="B6" i="19"/>
  <c r="A109" i="9"/>
  <c r="A108" i="9"/>
  <c r="A467" i="9"/>
  <c r="D246" i="9" l="1"/>
  <c r="H48" i="9" l="1"/>
  <c r="P32" i="18" l="1"/>
  <c r="D366" i="8"/>
  <c r="A359" i="10"/>
  <c r="A358" i="10"/>
  <c r="A346" i="10"/>
  <c r="H257" i="10"/>
  <c r="A257" i="10"/>
  <c r="A256" i="10"/>
  <c r="A126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H48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9" s="1"/>
  <c r="A246" i="10" s="1"/>
  <c r="A260" i="10" s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40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9" s="1"/>
  <c r="A140" i="7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A66" i="10" s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1" s="1"/>
  <c r="A109" i="12" s="1"/>
  <c r="A109" i="13" s="1"/>
  <c r="A108" i="5"/>
  <c r="A108" i="6" s="1"/>
  <c r="A108" i="7" s="1"/>
  <c r="A108" i="8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N10" i="14" s="1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N11" i="14" l="1"/>
  <c r="AX20" i="1"/>
  <c r="BJ20" i="1"/>
  <c r="AX40" i="1"/>
  <c r="BJ40" i="1"/>
  <c r="M13" i="14"/>
  <c r="N13" i="14" s="1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2" s="1"/>
  <c r="A40" i="11"/>
  <c r="A40" i="10"/>
  <c r="A256" i="8"/>
  <c r="A260" i="8" s="1"/>
  <c r="A260" i="7"/>
  <c r="A26" i="13"/>
  <c r="A40" i="13" s="1"/>
</calcChain>
</file>

<file path=xl/sharedStrings.xml><?xml version="1.0" encoding="utf-8"?>
<sst xmlns="http://schemas.openxmlformats.org/spreadsheetml/2006/main" count="5581" uniqueCount="772">
  <si>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</si>
  <si>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</si>
  <si>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</si>
  <si>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</si>
  <si>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</si>
  <si>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</si>
  <si>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</si>
  <si>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</si>
  <si>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</si>
  <si>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</si>
  <si>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</si>
  <si>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</si>
  <si>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</si>
  <si>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</si>
  <si>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</si>
  <si>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</si>
  <si>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</si>
  <si>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</si>
  <si>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</si>
  <si>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</si>
  <si>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</si>
  <si>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</si>
  <si>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</si>
  <si>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</si>
  <si>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</si>
  <si>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</si>
  <si>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</si>
  <si>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</si>
  <si>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</si>
  <si>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</si>
  <si>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</si>
  <si>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</si>
  <si>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</si>
  <si>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</si>
  <si>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</si>
  <si>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</si>
  <si>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</si>
  <si>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</si>
  <si>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</si>
  <si>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</si>
  <si>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</si>
  <si>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</si>
  <si>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</si>
  <si>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</si>
  <si>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</si>
  <si>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</si>
  <si>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</si>
  <si>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</si>
  <si>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</si>
  <si>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</si>
  <si>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</si>
  <si>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</si>
  <si>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</si>
  <si>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</si>
  <si>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</si>
  <si>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</si>
  <si>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</si>
  <si>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</si>
  <si>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</si>
  <si>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</si>
  <si>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</si>
  <si>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</si>
  <si>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</si>
  <si>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</si>
  <si>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</si>
  <si>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</si>
  <si>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</si>
  <si>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</si>
  <si>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</si>
  <si>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</si>
  <si>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</si>
  <si>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</si>
  <si>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</si>
  <si>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</si>
  <si>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</si>
  <si>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</si>
  <si>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</si>
  <si>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</si>
  <si>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</si>
  <si>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</si>
  <si>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</si>
  <si>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</si>
  <si>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</si>
  <si>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</si>
  <si>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</si>
  <si>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</si>
  <si>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</si>
  <si>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</si>
  <si>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</si>
  <si>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</si>
  <si>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</si>
  <si>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</si>
  <si>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</si>
  <si>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</si>
  <si>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</si>
  <si>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</si>
  <si>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</si>
  <si>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</si>
  <si>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</si>
  <si>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</si>
  <si>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</si>
  <si>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</si>
  <si>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</si>
  <si>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</si>
  <si>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</si>
  <si>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</si>
  <si>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</si>
  <si>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</si>
  <si>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</si>
  <si>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</si>
  <si>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</si>
  <si>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</si>
  <si>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</si>
  <si>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</si>
  <si>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</si>
  <si>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</si>
  <si>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</si>
  <si>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</si>
  <si>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</si>
  <si>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</si>
  <si>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</si>
  <si>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</si>
  <si>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</si>
  <si>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</si>
  <si>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</si>
  <si>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</si>
  <si>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</si>
  <si>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</si>
  <si>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</si>
  <si>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</si>
  <si>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</si>
  <si>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</si>
  <si>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</si>
  <si>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</si>
  <si>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</si>
  <si>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</si>
  <si>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</si>
  <si>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</si>
  <si>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</si>
  <si>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</si>
  <si>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</si>
  <si>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</si>
  <si>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</si>
  <si>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</si>
  <si>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</si>
  <si>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</si>
  <si>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</si>
  <si>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</si>
  <si>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</si>
  <si>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</si>
  <si>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</si>
  <si>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</si>
  <si>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</si>
  <si>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</si>
  <si>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</si>
  <si>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</si>
  <si>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</si>
  <si>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</si>
  <si>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</si>
  <si>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</si>
  <si>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</si>
  <si>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</si>
  <si>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</si>
  <si>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</si>
  <si>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</si>
  <si>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</si>
  <si>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</si>
  <si>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</si>
  <si>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</si>
  <si>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</si>
  <si>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</si>
  <si>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</si>
  <si>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</si>
  <si>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</si>
  <si>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</si>
  <si>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</si>
  <si>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</si>
  <si>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</si>
  <si>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</si>
  <si>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</si>
  <si>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</si>
  <si>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</si>
  <si>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</si>
  <si>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</si>
  <si>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</si>
  <si>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</si>
  <si>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</si>
  <si>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</si>
  <si>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</si>
  <si>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</si>
  <si>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</si>
  <si>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</si>
  <si>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</si>
  <si>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</si>
  <si>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</si>
  <si>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</si>
  <si>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</si>
  <si>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</si>
  <si>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</si>
  <si>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</si>
  <si>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</si>
  <si>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</si>
  <si>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</si>
  <si>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</si>
  <si>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</si>
  <si>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</si>
  <si>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</si>
  <si>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</si>
  <si>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</si>
  <si>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</si>
  <si>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</si>
  <si>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</si>
  <si>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</si>
  <si>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</si>
  <si>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</si>
  <si>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</si>
  <si>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</si>
  <si>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</si>
  <si>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</si>
  <si>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</si>
  <si>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</si>
  <si>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</si>
  <si>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</si>
  <si>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</si>
  <si>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</si>
  <si>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</si>
  <si>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</si>
  <si>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</si>
  <si>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</si>
  <si>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</si>
  <si>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</si>
  <si>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</si>
  <si>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</si>
  <si>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</si>
  <si>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</si>
  <si>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</si>
  <si>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</si>
  <si>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</si>
  <si>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</si>
  <si>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</si>
  <si>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</si>
  <si>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</si>
  <si>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</si>
  <si>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</si>
  <si>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</si>
  <si>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</si>
  <si>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</si>
  <si>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</si>
  <si>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</si>
  <si>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</si>
  <si>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</si>
  <si>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</si>
  <si>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</si>
  <si>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</si>
  <si>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</si>
  <si>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</si>
  <si>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</si>
  <si>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</si>
  <si>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</si>
  <si>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</si>
  <si>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</si>
  <si>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</si>
  <si>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</si>
  <si>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</si>
  <si>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</si>
  <si>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</si>
  <si>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</si>
  <si>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</si>
  <si>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</si>
  <si>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</si>
  <si>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</si>
  <si>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</si>
  <si>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</si>
  <si>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</si>
  <si>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</si>
  <si>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</si>
  <si>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</si>
  <si>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</si>
  <si>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</si>
  <si>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</si>
  <si>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</si>
  <si>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</si>
  <si>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</si>
  <si>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</si>
  <si>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</si>
  <si>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</si>
  <si>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</si>
  <si>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</si>
  <si>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</si>
  <si>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</si>
  <si>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</si>
  <si>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</si>
  <si>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</si>
  <si>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</si>
  <si>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</si>
  <si>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</si>
  <si>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</si>
  <si>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</si>
  <si>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</si>
  <si>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</si>
  <si>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</si>
  <si>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</si>
  <si>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</si>
  <si>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</si>
  <si>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</si>
  <si>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</si>
  <si>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</si>
  <si>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</si>
  <si>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</si>
  <si>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</si>
  <si>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</si>
  <si>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</si>
  <si>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</si>
  <si>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</si>
  <si>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</si>
  <si>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</si>
  <si>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</si>
  <si>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</si>
  <si>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</si>
  <si>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</si>
  <si>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</si>
  <si>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</si>
  <si>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</si>
  <si>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</si>
  <si>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</si>
  <si>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</si>
  <si>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</si>
  <si>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</si>
  <si>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</si>
  <si>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</si>
  <si>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</si>
  <si>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</si>
  <si>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</si>
  <si>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</si>
  <si>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</si>
  <si>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</si>
  <si>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</si>
  <si>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</si>
  <si>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</si>
  <si>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</si>
  <si>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</si>
  <si>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</si>
  <si>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</si>
  <si>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</si>
  <si>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</si>
  <si>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</si>
  <si>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</si>
  <si>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</si>
  <si>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</si>
  <si>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</si>
  <si>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</si>
  <si>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</si>
  <si>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</si>
  <si>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</si>
  <si>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</si>
  <si>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</si>
  <si>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</si>
  <si>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</si>
  <si>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</si>
  <si>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</si>
  <si>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</si>
  <si>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</si>
  <si>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</si>
  <si>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</si>
  <si>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</si>
  <si>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</si>
  <si>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</si>
  <si>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</si>
  <si>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</si>
  <si>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</si>
  <si>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</si>
  <si>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</si>
  <si>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</si>
  <si>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</si>
  <si>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</si>
  <si>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</si>
  <si>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</si>
  <si>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</si>
  <si>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</si>
  <si>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</si>
  <si>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</si>
  <si>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</si>
  <si>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</si>
  <si>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</si>
  <si>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</si>
  <si>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</si>
  <si>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</si>
  <si>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</si>
  <si>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</si>
  <si>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</si>
  <si>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</si>
  <si>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</si>
  <si>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</si>
  <si>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</si>
  <si>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</si>
  <si>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</si>
  <si>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</si>
  <si>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</si>
  <si>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</si>
  <si>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</si>
  <si>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</si>
  <si>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</si>
  <si>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</si>
  <si>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</si>
  <si>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</si>
  <si>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</si>
  <si>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</si>
  <si>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</si>
  <si>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</si>
  <si>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</si>
  <si>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</si>
  <si>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</si>
  <si>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</si>
  <si>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</si>
  <si>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</si>
  <si>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</si>
  <si>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</si>
  <si>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</si>
  <si>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</si>
  <si>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</si>
  <si>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</si>
  <si>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</si>
  <si>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</si>
  <si>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</si>
  <si>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</si>
  <si>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</si>
  <si>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</si>
  <si>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</si>
  <si>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</si>
  <si>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</si>
  <si>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</si>
  <si>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</si>
  <si>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</si>
  <si>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</si>
  <si>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</si>
  <si>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</si>
  <si>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</si>
  <si>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</si>
  <si>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</si>
  <si>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</si>
  <si>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</si>
  <si>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</si>
  <si>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</si>
  <si>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</si>
  <si>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</si>
  <si>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</si>
  <si>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</si>
  <si>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</si>
  <si>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</si>
  <si>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</si>
  <si>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</si>
  <si>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</si>
  <si>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</si>
  <si>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</si>
  <si>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</si>
  <si>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</si>
  <si>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</si>
  <si>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</si>
  <si>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</si>
  <si>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</si>
  <si>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</si>
  <si>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</si>
  <si>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</si>
  <si>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</si>
  <si>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</si>
  <si>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</si>
  <si>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</si>
  <si>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</si>
  <si>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</si>
  <si>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</si>
  <si>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</si>
  <si>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</si>
  <si>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</si>
  <si>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</si>
  <si>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</si>
  <si>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</si>
  <si>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</si>
  <si>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</si>
  <si>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</si>
  <si>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</si>
  <si>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</si>
  <si>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</si>
  <si>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</si>
  <si>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</si>
  <si>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</si>
  <si>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</si>
  <si>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</si>
  <si>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</si>
  <si>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</si>
  <si>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</si>
  <si>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</si>
  <si>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</si>
  <si>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</si>
  <si>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</si>
  <si>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</si>
  <si>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</si>
  <si>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</si>
  <si>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</si>
  <si>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</si>
  <si>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</si>
  <si>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</si>
  <si>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</si>
  <si>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</si>
  <si>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</si>
  <si>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</si>
  <si>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</si>
  <si>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</si>
  <si>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</si>
  <si>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</si>
  <si>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</si>
  <si>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</si>
  <si>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</si>
  <si>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</si>
  <si>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</si>
  <si>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</si>
  <si>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</si>
  <si>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</si>
  <si>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</si>
  <si>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</si>
  <si>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</si>
  <si>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</si>
  <si>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</si>
  <si>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</si>
  <si>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</si>
  <si>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</si>
  <si>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</si>
  <si>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</si>
  <si>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</si>
  <si>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</si>
  <si>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</si>
  <si>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</si>
  <si>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</si>
  <si>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</si>
  <si>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</si>
  <si>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</si>
  <si>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</si>
  <si>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</si>
  <si>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</si>
  <si>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</si>
  <si>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</si>
  <si>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</si>
  <si>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</si>
  <si>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</si>
  <si>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</si>
  <si>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</si>
  <si>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</si>
  <si>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</si>
  <si>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</si>
  <si>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</si>
  <si>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</si>
  <si>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</si>
  <si>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</si>
  <si>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</si>
  <si>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</si>
  <si>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</si>
  <si>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</si>
  <si>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</si>
  <si>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</si>
  <si>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</si>
  <si>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</si>
  <si>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</si>
  <si>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</si>
  <si>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</si>
  <si>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</si>
  <si>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</si>
  <si>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</si>
  <si>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</si>
  <si>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</si>
  <si>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</si>
  <si>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</si>
  <si>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</si>
  <si>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</si>
  <si>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</si>
  <si>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</si>
  <si>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</si>
  <si>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</si>
  <si>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</si>
  <si>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</si>
  <si>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</si>
  <si>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</si>
  <si>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</si>
  <si>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</si>
  <si>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</si>
  <si>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</si>
  <si>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</si>
  <si>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</si>
  <si>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</si>
  <si>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</si>
  <si>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</si>
  <si>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</si>
  <si>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</si>
  <si>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</si>
  <si>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</si>
  <si>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</si>
  <si>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</si>
  <si>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</si>
  <si>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</si>
  <si>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</si>
  <si>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</si>
  <si>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</si>
  <si>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</si>
  <si>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</si>
  <si>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</si>
  <si>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</si>
  <si>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</si>
  <si>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</si>
  <si>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</si>
  <si>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</si>
  <si>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</si>
  <si>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</si>
  <si>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</si>
  <si>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</si>
  <si>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</si>
  <si>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</si>
  <si>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</si>
  <si>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</si>
  <si>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</si>
  <si>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</si>
  <si>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</si>
  <si>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</si>
  <si>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</si>
  <si>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</si>
  <si>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</si>
  <si>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</si>
  <si>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</si>
  <si>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</si>
  <si>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</si>
  <si>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</si>
  <si>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</si>
  <si>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</si>
  <si>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</si>
  <si>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</si>
  <si>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</si>
  <si>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</si>
  <si>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</si>
  <si>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</si>
  <si>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</si>
  <si>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</si>
  <si>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</si>
  <si>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</si>
  <si>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</si>
  <si>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</si>
  <si>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</si>
  <si>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</si>
  <si>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</si>
  <si>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</si>
  <si>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</si>
  <si>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</si>
  <si>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</si>
  <si>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</si>
  <si>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</si>
  <si>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</si>
  <si>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</si>
  <si>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</si>
  <si>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</si>
  <si>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</si>
  <si>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</si>
  <si>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</si>
  <si>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</si>
  <si>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</si>
  <si>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</si>
  <si>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</si>
  <si>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</si>
  <si>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</si>
  <si>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</si>
  <si>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</si>
  <si>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</si>
  <si>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</si>
  <si>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</si>
  <si>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</si>
  <si>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</si>
  <si>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</si>
  <si>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</si>
  <si>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</si>
  <si>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</si>
  <si>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</si>
  <si>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</si>
  <si>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</si>
  <si>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</si>
  <si>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</si>
  <si>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</si>
  <si>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</si>
  <si>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</si>
  <si>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</si>
  <si>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</si>
  <si>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</si>
  <si>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</si>
  <si>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</si>
  <si>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</si>
  <si>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</si>
  <si>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</si>
  <si>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</si>
  <si>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</si>
  <si>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</si>
  <si>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</si>
  <si>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</si>
  <si>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</si>
  <si>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</si>
  <si>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</si>
  <si>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</si>
  <si>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</si>
  <si>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</si>
  <si>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</si>
  <si>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</si>
  <si>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</si>
  <si>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</si>
  <si>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</si>
  <si>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</si>
  <si>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</si>
  <si>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</si>
  <si>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</si>
  <si>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</si>
  <si>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</si>
  <si>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</si>
  <si>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</si>
  <si>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</si>
  <si>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</si>
  <si>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</si>
  <si>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</si>
  <si>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</si>
  <si>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</si>
  <si>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</si>
  <si>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</si>
  <si>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</si>
  <si>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</si>
  <si>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</si>
  <si>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</si>
  <si>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</si>
  <si>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</si>
  <si>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</si>
  <si>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</si>
  <si>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</si>
  <si>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</si>
  <si>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</si>
  <si>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</si>
  <si>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</si>
  <si>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</si>
  <si>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</si>
  <si>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</si>
  <si>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</si>
  <si>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</si>
  <si>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</si>
  <si>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</si>
  <si>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</si>
  <si>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</si>
  <si>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</si>
  <si>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160€ Cheques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</si>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</sst>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2" zoomScaleNormal="100" workbookViewId="0">
      <pane xSplit="1" topLeftCell="AA1" activePane="topRight" state="frozen"/>
      <selection pane="topRight" activeCell="AE34" sqref="AE3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29166.850000000002</v>
      </c>
      <c r="AF5" s="358"/>
      <c r="AG5" s="358"/>
      <c r="AH5" s="359"/>
      <c r="AI5" s="364">
        <f>'09'!K19</f>
        <v>29171.350000000002</v>
      </c>
      <c r="AJ5" s="358"/>
      <c r="AK5" s="358"/>
      <c r="AL5" s="359"/>
      <c r="AM5" s="364">
        <f>'10'!K19</f>
        <v>15101.890000000001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2568.54</v>
      </c>
      <c r="AB8" s="343"/>
      <c r="AC8" s="343"/>
      <c r="AD8" s="344"/>
      <c r="AE8" s="342">
        <f>SUM('08'!L25:'08'!L29)</f>
        <v>0</v>
      </c>
      <c r="AF8" s="343"/>
      <c r="AG8" s="343"/>
      <c r="AH8" s="344"/>
      <c r="AI8" s="342">
        <f>SUM('09'!L25:'09'!L29)</f>
        <v>0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19875.310000000001</v>
      </c>
      <c r="BA8" s="112">
        <f t="shared" ref="BA8:BA16" ca="1" si="0">AZ8/BC$17</f>
        <v>2484.4137500000002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291.60000000000002</v>
      </c>
      <c r="AF9" s="346"/>
      <c r="AG9" s="346"/>
      <c r="AH9" s="347"/>
      <c r="AI9" s="345">
        <f>SUM('09'!L30:'09'!L34)</f>
        <v>0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124.52</v>
      </c>
      <c r="AB10" s="349"/>
      <c r="AC10" s="349"/>
      <c r="AD10" s="350"/>
      <c r="AE10" s="348">
        <f>SUM('08'!L35:'08'!L39)</f>
        <v>0</v>
      </c>
      <c r="AF10" s="349"/>
      <c r="AG10" s="349"/>
      <c r="AH10" s="350"/>
      <c r="AI10" s="348">
        <f>SUM('09'!L35:'09'!L39)</f>
        <v>0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823.65</v>
      </c>
      <c r="BA10" s="112">
        <f t="shared" ca="1" si="0"/>
        <v>102.95625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1.02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0</v>
      </c>
      <c r="AF12" s="349"/>
      <c r="AG12" s="349"/>
      <c r="AH12" s="350"/>
      <c r="AI12" s="348">
        <f>SUM('09'!L45:'09'!L49)</f>
        <v>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1359.45</v>
      </c>
      <c r="BA12" s="112">
        <f t="shared" ca="1" si="0"/>
        <v>169.93125000000001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117.03</v>
      </c>
      <c r="AF13" s="346"/>
      <c r="AG13" s="346"/>
      <c r="AH13" s="347"/>
      <c r="AI13" s="345">
        <f>SUM('09'!L50:'09'!L54)</f>
        <v>0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5209.5700000000006</v>
      </c>
      <c r="BA13" s="112">
        <f t="shared" ca="1" si="0"/>
        <v>651.19625000000008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13.15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129.68</v>
      </c>
      <c r="BA14" s="112">
        <f t="shared" ca="1" si="0"/>
        <v>16.21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550</v>
      </c>
      <c r="AF15" s="346"/>
      <c r="AG15" s="346"/>
      <c r="AH15" s="347"/>
      <c r="AI15" s="345">
        <f>SUM('09'!L60:'09'!L64)</f>
        <v>0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4261.4400000000005</v>
      </c>
      <c r="BA15" s="112">
        <f t="shared" ca="1" si="0"/>
        <v>532.68000000000006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4638.26</v>
      </c>
      <c r="AB17" s="366"/>
      <c r="AC17" s="366"/>
      <c r="AD17" s="367"/>
      <c r="AE17" s="365">
        <f>SUM(AE8:AE16)</f>
        <v>971.78</v>
      </c>
      <c r="AF17" s="366"/>
      <c r="AG17" s="366"/>
      <c r="AH17" s="367"/>
      <c r="AI17" s="365">
        <f>SUM(AI8:AI16)</f>
        <v>0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37222.230000000003</v>
      </c>
      <c r="BA17" s="112">
        <f ca="1">AZ17/BC$17</f>
        <v>4652.7787500000004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55833.345000000001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146</v>
      </c>
      <c r="AH20" s="145">
        <f t="shared" ref="AH20:AH45" si="9">AD20+AF20-AG20</f>
        <v>818.13999999999987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1362.1399999999999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1906.1399999999999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2450.14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2994.14</v>
      </c>
      <c r="AZ20" s="123">
        <f t="shared" ref="AZ20:AZ27" si="14">E20+I20+M20+Q20+U20+Y20+AC20+AG20+AK20+AO20+AS20+AW20</f>
        <v>4281.6600000000008</v>
      </c>
      <c r="BA20" s="21">
        <f t="shared" ref="BA20:BA45" si="15">AZ20/AZ$46</f>
        <v>0.11776775795236163</v>
      </c>
      <c r="BB20" s="22">
        <f>_xlfn.RANK.EQ(BA20,$BA$20:$BA$45,)</f>
        <v>3</v>
      </c>
      <c r="BC20" s="22">
        <f t="shared" ref="BC20:BC45" ca="1" si="16">AZ20/BC$17</f>
        <v>535.2075000000001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0.12495275000987313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369.36000000000024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1468.0199999999993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2596.0199999999995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3724.0199999999995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4852.0199999999995</v>
      </c>
      <c r="AZ21" s="152">
        <f t="shared" si="14"/>
        <v>9541.84</v>
      </c>
      <c r="BA21" s="21">
        <f t="shared" si="15"/>
        <v>0.26244986840154572</v>
      </c>
      <c r="BB21" s="22">
        <f t="shared" ref="BB21:BB45" si="20">_xlfn.RANK.EQ(BA21,$BA$20:$BA$45,)</f>
        <v>1</v>
      </c>
      <c r="BC21" s="22">
        <f t="shared" ca="1" si="16"/>
        <v>1192.73</v>
      </c>
      <c r="BE21" s="224">
        <f t="shared" ca="1" si="17"/>
        <v>9209</v>
      </c>
      <c r="BF21" s="21">
        <f t="shared" ca="1" si="18"/>
        <v>0.24740591845249463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-332.84000000000037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323.87000000000006</v>
      </c>
      <c r="AH22" s="156">
        <f t="shared" si="9"/>
        <v>465.81000000000012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765.81000000000017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1255.8100000000002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1745.8100000000002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2235.8100000000004</v>
      </c>
      <c r="AZ22" s="157">
        <f t="shared" si="14"/>
        <v>2342.62</v>
      </c>
      <c r="BA22" s="21">
        <f t="shared" si="15"/>
        <v>6.4434145900039083E-2</v>
      </c>
      <c r="BB22" s="22">
        <f t="shared" si="20"/>
        <v>6</v>
      </c>
      <c r="BC22" s="22">
        <f t="shared" ca="1" si="16"/>
        <v>292.82749999999999</v>
      </c>
      <c r="BE22" s="225">
        <f t="shared" ca="1" si="17"/>
        <v>2562.36</v>
      </c>
      <c r="BF22" s="21">
        <f t="shared" ca="1" si="18"/>
        <v>6.8839508003684893E-2</v>
      </c>
      <c r="BG22" s="22">
        <f t="shared" ca="1" si="21"/>
        <v>7</v>
      </c>
      <c r="BH22" s="22">
        <f t="shared" ca="1" si="19"/>
        <v>320.29500000000002</v>
      </c>
      <c r="BJ22" s="225">
        <f t="shared" ca="1" si="22"/>
        <v>219.73999999999995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170</v>
      </c>
      <c r="AG23" s="150">
        <f>SUM('08'!D80:F80)</f>
        <v>162.94999999999999</v>
      </c>
      <c r="AH23" s="151">
        <f t="shared" si="9"/>
        <v>136.53000000000009</v>
      </c>
      <c r="AI23" s="148" t="s">
        <v>76</v>
      </c>
      <c r="AJ23" s="149">
        <f>'09'!B80</f>
        <v>170</v>
      </c>
      <c r="AK23" s="150">
        <f>SUM('09'!D80:F80)</f>
        <v>0</v>
      </c>
      <c r="AL23" s="151">
        <f t="shared" si="10"/>
        <v>306.53000000000009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456.53000000000009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606.53000000000009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756.53000000000009</v>
      </c>
      <c r="AZ23" s="152">
        <f t="shared" si="14"/>
        <v>1310.5999999999999</v>
      </c>
      <c r="BA23" s="21">
        <f t="shared" si="15"/>
        <v>3.6048267160952788E-2</v>
      </c>
      <c r="BB23" s="22">
        <f t="shared" si="20"/>
        <v>7</v>
      </c>
      <c r="BC23" s="22">
        <f t="shared" ca="1" si="16"/>
        <v>163.82499999999999</v>
      </c>
      <c r="BE23" s="224">
        <f t="shared" ca="1" si="17"/>
        <v>1405</v>
      </c>
      <c r="BF23" s="21">
        <f t="shared" ca="1" si="18"/>
        <v>3.7746260769438045E-2</v>
      </c>
      <c r="BG23" s="22">
        <f t="shared" ca="1" si="21"/>
        <v>9</v>
      </c>
      <c r="BH23" s="22">
        <f t="shared" ca="1" si="19"/>
        <v>175.625</v>
      </c>
      <c r="BJ23" s="224">
        <f t="shared" ca="1" si="22"/>
        <v>94.400000000000063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95.69</v>
      </c>
      <c r="AH24" s="156">
        <f t="shared" si="9"/>
        <v>259.21999999999997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419.21999999999997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579.22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739.22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899.22</v>
      </c>
      <c r="AZ24" s="157">
        <f t="shared" si="14"/>
        <v>1050.78</v>
      </c>
      <c r="BA24" s="21">
        <f t="shared" si="15"/>
        <v>2.8901875604597876E-2</v>
      </c>
      <c r="BB24" s="22">
        <f t="shared" si="20"/>
        <v>11</v>
      </c>
      <c r="BC24" s="22">
        <f t="shared" ca="1" si="16"/>
        <v>131.3475</v>
      </c>
      <c r="BE24" s="225">
        <f t="shared" ca="1" si="17"/>
        <v>1310</v>
      </c>
      <c r="BF24" s="21">
        <f t="shared" ca="1" si="18"/>
        <v>3.5194022496771414E-2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259.21999999999997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4402.8599999999979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4807.8599999999979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5212.8599999999979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5617.8599999999979</v>
      </c>
      <c r="AZ25" s="152">
        <f t="shared" si="14"/>
        <v>2683.0400000000004</v>
      </c>
      <c r="BA25" s="21">
        <f t="shared" si="15"/>
        <v>7.3797453626982146E-2</v>
      </c>
      <c r="BB25" s="22">
        <f t="shared" si="20"/>
        <v>5</v>
      </c>
      <c r="BC25" s="22">
        <f t="shared" ca="1" si="16"/>
        <v>335.38000000000005</v>
      </c>
      <c r="BE25" s="224">
        <f t="shared" ca="1" si="17"/>
        <v>3478.35</v>
      </c>
      <c r="BF25" s="21">
        <f t="shared" ca="1" si="18"/>
        <v>9.3448189428736533E-2</v>
      </c>
      <c r="BG25" s="22">
        <f t="shared" ca="1" si="21"/>
        <v>5</v>
      </c>
      <c r="BH25" s="22">
        <f t="shared" ca="1" si="19"/>
        <v>434.79374999999999</v>
      </c>
      <c r="BJ25" s="224">
        <f t="shared" ca="1" si="22"/>
        <v>795.30999999999949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17.990000000000002</v>
      </c>
      <c r="AH26" s="156">
        <f t="shared" si="9"/>
        <v>62.54999999999999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115.54999999999998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163.54999999999998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211.54999999999998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259.54999999999995</v>
      </c>
      <c r="AZ26" s="157">
        <f t="shared" si="14"/>
        <v>376.44000000000005</v>
      </c>
      <c r="BA26" s="21">
        <f t="shared" si="15"/>
        <v>1.0354043712855998E-2</v>
      </c>
      <c r="BB26" s="22">
        <f t="shared" si="20"/>
        <v>17</v>
      </c>
      <c r="BC26" s="22">
        <f t="shared" ca="1" si="16"/>
        <v>47.055000000000007</v>
      </c>
      <c r="BE26" s="225">
        <f t="shared" ca="1" si="17"/>
        <v>419.45</v>
      </c>
      <c r="BF26" s="21">
        <f t="shared" ca="1" si="18"/>
        <v>1.1268803615473871E-2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43.010000000000041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8.6478984267321576E-3</v>
      </c>
      <c r="BB27" s="22">
        <f t="shared" si="20"/>
        <v>18</v>
      </c>
      <c r="BC27" s="22">
        <f t="shared" ca="1" si="16"/>
        <v>39.301249999999996</v>
      </c>
      <c r="BE27" s="224">
        <f t="shared" ca="1" si="17"/>
        <v>340</v>
      </c>
      <c r="BF27" s="21">
        <f t="shared" ca="1" si="18"/>
        <v>9.1343264495437268E-3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25.590000000000032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9.2309803857929237E-2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8.8120459198710005E-2</v>
      </c>
      <c r="BG28" s="22">
        <f t="shared" ca="1" si="21"/>
        <v>6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103.78000000000007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173.78000000000009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243.78000000000009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313.78000000000009</v>
      </c>
      <c r="AZ29" s="152">
        <f t="shared" si="23"/>
        <v>463.55</v>
      </c>
      <c r="BA29" s="21">
        <f t="shared" si="15"/>
        <v>1.2750018497222392E-2</v>
      </c>
      <c r="BB29" s="22">
        <f t="shared" si="20"/>
        <v>15</v>
      </c>
      <c r="BC29" s="22">
        <f t="shared" ca="1" si="16"/>
        <v>57.943750000000001</v>
      </c>
      <c r="BE29" s="224">
        <f t="shared" ca="1" si="17"/>
        <v>544</v>
      </c>
      <c r="BF29" s="21">
        <f t="shared" ca="1" si="18"/>
        <v>1.4614922319269962E-2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80.45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97.919999999999973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132.91999999999996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167.91999999999996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202.91999999999996</v>
      </c>
      <c r="AZ30" s="157">
        <f t="shared" si="23"/>
        <v>230.25</v>
      </c>
      <c r="BA30" s="21">
        <f t="shared" si="15"/>
        <v>6.3330638744158252E-3</v>
      </c>
      <c r="BB30" s="22">
        <f t="shared" si="20"/>
        <v>19</v>
      </c>
      <c r="BC30" s="22">
        <f t="shared" ca="1" si="16"/>
        <v>28.78125</v>
      </c>
      <c r="BE30" s="225">
        <f t="shared" ca="1" si="17"/>
        <v>320</v>
      </c>
      <c r="BF30" s="21">
        <f t="shared" ca="1" si="18"/>
        <v>8.5970131289823306E-3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89.75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4.3282125136941329E-3</v>
      </c>
      <c r="BB31" s="22">
        <f t="shared" si="20"/>
        <v>21</v>
      </c>
      <c r="BC31" s="22">
        <f t="shared" ca="1" si="16"/>
        <v>19.669999999999998</v>
      </c>
      <c r="BE31" s="224">
        <f t="shared" ca="1" si="17"/>
        <v>160</v>
      </c>
      <c r="BF31" s="21">
        <f t="shared" ca="1" si="18"/>
        <v>4.2985065644911653E-3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2.6399999999999721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69.89</v>
      </c>
      <c r="AH32" s="161">
        <f t="shared" si="9"/>
        <v>608.99999999999989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698.99999999999989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748.99999999999989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798.99999999999989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848.99999999999989</v>
      </c>
      <c r="AZ32" s="157">
        <f t="shared" si="23"/>
        <v>1058.8800000000001</v>
      </c>
      <c r="BA32" s="21">
        <f t="shared" si="15"/>
        <v>2.9124667428192964E-2</v>
      </c>
      <c r="BB32" s="22">
        <f t="shared" si="20"/>
        <v>10</v>
      </c>
      <c r="BC32" s="22">
        <f t="shared" ca="1" si="16"/>
        <v>132.36000000000001</v>
      </c>
      <c r="BE32" s="225">
        <f t="shared" ca="1" si="17"/>
        <v>1682.13</v>
      </c>
      <c r="BF32" s="21">
        <f t="shared" ca="1" si="18"/>
        <v>4.5191542795797027E-2</v>
      </c>
      <c r="BG32" s="22">
        <f t="shared" ca="1" si="21"/>
        <v>8</v>
      </c>
      <c r="BH32" s="22">
        <f t="shared" ca="1" si="19"/>
        <v>210.26625000000001</v>
      </c>
      <c r="BJ32" s="225">
        <f t="shared" ca="1" si="22"/>
        <v>623.24999999999989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11</v>
      </c>
      <c r="AH33" s="160">
        <f t="shared" si="9"/>
        <v>445.09000000000026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505.09000000000026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655.09000000000026</v>
      </c>
      <c r="AZ33" s="152">
        <f t="shared" si="23"/>
        <v>4406.8500000000004</v>
      </c>
      <c r="BA33" s="21">
        <f t="shared" si="15"/>
        <v>0.12121112935925898</v>
      </c>
      <c r="BB33" s="22">
        <f t="shared" si="20"/>
        <v>2</v>
      </c>
      <c r="BC33" s="22">
        <f t="shared" ca="1" si="16"/>
        <v>550.85625000000005</v>
      </c>
      <c r="BE33" s="224">
        <f t="shared" ca="1" si="17"/>
        <v>4431.9400000000005</v>
      </c>
      <c r="BF33" s="21">
        <f t="shared" ca="1" si="18"/>
        <v>0.11906701989644361</v>
      </c>
      <c r="BG33" s="22">
        <f t="shared" ca="1" si="21"/>
        <v>3</v>
      </c>
      <c r="BH33" s="22">
        <f t="shared" ca="1" si="19"/>
        <v>553.99250000000006</v>
      </c>
      <c r="BJ33" s="224">
        <f t="shared" ca="1" si="22"/>
        <v>25.090000000000259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3.2080922391155883E-2</v>
      </c>
      <c r="BB34" s="22">
        <f t="shared" si="20"/>
        <v>8</v>
      </c>
      <c r="BC34" s="22">
        <f t="shared" ca="1" si="16"/>
        <v>145.79500000000002</v>
      </c>
      <c r="BE34" s="225">
        <f t="shared" ca="1" si="17"/>
        <v>1144.4099999999999</v>
      </c>
      <c r="BF34" s="21">
        <f t="shared" ca="1" si="18"/>
        <v>3.0745336859183337E-2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-21.950000000000102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143.15</v>
      </c>
      <c r="AG35" s="186">
        <f>SUM('08'!D320:F320)</f>
        <v>105.96000000000001</v>
      </c>
      <c r="AH35" s="187">
        <f t="shared" si="9"/>
        <v>1811.2000000000005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1941.2000000000005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2056.2000000000007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2171.2000000000007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2286.2000000000007</v>
      </c>
      <c r="AZ35" s="188">
        <f t="shared" si="23"/>
        <v>1073.56</v>
      </c>
      <c r="BA35" s="21">
        <f t="shared" si="15"/>
        <v>2.9528443227004791E-2</v>
      </c>
      <c r="BB35" s="22">
        <f t="shared" si="20"/>
        <v>9</v>
      </c>
      <c r="BC35" s="22">
        <f t="shared" ca="1" si="16"/>
        <v>134.19499999999999</v>
      </c>
      <c r="BE35" s="224">
        <f t="shared" ca="1" si="17"/>
        <v>1395.16</v>
      </c>
      <c r="BF35" s="21">
        <f t="shared" ca="1" si="18"/>
        <v>3.7481902615721839E-2</v>
      </c>
      <c r="BG35" s="22">
        <f t="shared" ca="1" si="21"/>
        <v>10</v>
      </c>
      <c r="BH35" s="22">
        <f t="shared" ca="1" si="19"/>
        <v>174.39500000000001</v>
      </c>
      <c r="BJ35" s="224">
        <f t="shared" ca="1" si="22"/>
        <v>321.60000000000014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291.27</v>
      </c>
      <c r="AH36" s="156">
        <f t="shared" si="9"/>
        <v>193.65000000000009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283.65000000000009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373.65000000000009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463.65000000000009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553.65000000000009</v>
      </c>
      <c r="AZ36" s="182">
        <f t="shared" si="23"/>
        <v>837.3599999999999</v>
      </c>
      <c r="BA36" s="21">
        <f t="shared" si="15"/>
        <v>2.3031723630318499E-2</v>
      </c>
      <c r="BB36" s="22">
        <f t="shared" si="20"/>
        <v>12</v>
      </c>
      <c r="BC36" s="22">
        <f t="shared" ca="1" si="16"/>
        <v>104.66999999999999</v>
      </c>
      <c r="BE36" s="223">
        <f t="shared" ca="1" si="17"/>
        <v>930.02</v>
      </c>
      <c r="BF36" s="21">
        <f t="shared" ca="1" si="18"/>
        <v>2.4985606719425461E-2</v>
      </c>
      <c r="BG36" s="22">
        <f t="shared" ca="1" si="21"/>
        <v>13</v>
      </c>
      <c r="BH36" s="22">
        <f t="shared" ca="1" si="19"/>
        <v>116.2525</v>
      </c>
      <c r="BJ36" s="223">
        <f t="shared" ca="1" si="22"/>
        <v>92.660000000000025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1.1880855333567494E-2</v>
      </c>
      <c r="BB37" s="22">
        <f t="shared" si="20"/>
        <v>16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1.1667758755990708E-2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29.8</v>
      </c>
      <c r="AH38" s="156">
        <f t="shared" si="9"/>
        <v>108.23000000000006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178.23000000000008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248.23000000000008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318.23000000000008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388.23000000000008</v>
      </c>
      <c r="AZ38" s="157">
        <f t="shared" si="23"/>
        <v>520.97</v>
      </c>
      <c r="BA38" s="21">
        <f t="shared" si="15"/>
        <v>1.4329364980040879E-2</v>
      </c>
      <c r="BB38" s="22">
        <f t="shared" si="20"/>
        <v>13</v>
      </c>
      <c r="BC38" s="22">
        <f t="shared" ca="1" si="16"/>
        <v>65.121250000000003</v>
      </c>
      <c r="BE38" s="225">
        <f t="shared" ca="1" si="17"/>
        <v>590</v>
      </c>
      <c r="BF38" s="21">
        <f t="shared" ca="1" si="18"/>
        <v>1.5850742956561172E-2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69.03000000000003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-3.1398978513646279E-2</v>
      </c>
      <c r="BG39" s="22">
        <f t="shared" ca="1" si="21"/>
        <v>25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4.5171729862988541E-3</v>
      </c>
      <c r="BB40" s="22">
        <f t="shared" si="20"/>
        <v>20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-1.645387715889134E-2</v>
      </c>
      <c r="BG40" s="22">
        <f t="shared" ca="1" si="21"/>
        <v>24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-2941.37</v>
      </c>
      <c r="AG41" s="165">
        <f>SUM('08'!D440:F440)</f>
        <v>0</v>
      </c>
      <c r="AH41" s="151">
        <f t="shared" si="9"/>
        <v>5524.3700000000017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1624.3700000000017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-2275.6299999999983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-6175.6299999999983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-10075.629999999997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-3025.6299999999974</v>
      </c>
      <c r="BF41" s="21">
        <f t="shared" ca="1" si="18"/>
        <v>-8.1285565104508711E-2</v>
      </c>
      <c r="BG41" s="22">
        <f t="shared" ca="1" si="21"/>
        <v>26</v>
      </c>
      <c r="BH41" s="22">
        <f t="shared" ca="1" si="19"/>
        <v>-378.20374999999967</v>
      </c>
      <c r="BJ41" s="224">
        <f t="shared" ca="1" si="22"/>
        <v>-3025.6299999999965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0.10870493250941708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273.63000000000011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323.63000000000011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373.63000000000011</v>
      </c>
      <c r="AZ43" s="152">
        <f t="shared" si="23"/>
        <v>500</v>
      </c>
      <c r="BA43" s="21">
        <f t="shared" si="15"/>
        <v>1.3752581703400272E-2</v>
      </c>
      <c r="BB43" s="22">
        <f t="shared" si="20"/>
        <v>14</v>
      </c>
      <c r="BC43" s="22">
        <f t="shared" ca="1" si="16"/>
        <v>62.5</v>
      </c>
      <c r="BE43" s="224">
        <f t="shared" ca="1" si="17"/>
        <v>-304.36999999999995</v>
      </c>
      <c r="BF43" s="21">
        <f t="shared" ca="1" si="18"/>
        <v>-8.177102768963598E-3</v>
      </c>
      <c r="BG43" s="22">
        <f t="shared" ca="1" si="21"/>
        <v>23</v>
      </c>
      <c r="BH43" s="22">
        <f t="shared" ca="1" si="19"/>
        <v>-38.046249999999993</v>
      </c>
      <c r="BJ43" s="224">
        <f t="shared" ca="1" si="22"/>
        <v>-804.36999999999989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23.43</v>
      </c>
      <c r="AH45" s="176">
        <f t="shared" si="9"/>
        <v>7.9100000000000286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7.9100000000000286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7.9100000000000286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7.9100000000000286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7.9100000000000286</v>
      </c>
      <c r="AZ45" s="177">
        <f t="shared" si="23"/>
        <v>88.009999999999991</v>
      </c>
      <c r="BA45" s="21">
        <f t="shared" si="15"/>
        <v>2.4207294314325155E-3</v>
      </c>
      <c r="BB45" s="22">
        <f t="shared" si="20"/>
        <v>22</v>
      </c>
      <c r="BC45" s="22">
        <f t="shared" ca="1" si="16"/>
        <v>11.001249999999999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-88.01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971.77999999999975</v>
      </c>
      <c r="AG46" s="219">
        <f>SUM(AG20:AG45)</f>
        <v>2889.67</v>
      </c>
      <c r="AH46" s="220">
        <f>SUM(AH20:AH45)</f>
        <v>27248.959999999999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27248.960000000003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27248.960000000003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27248.960000000003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27248.960000000003</v>
      </c>
      <c r="AZ46" s="227">
        <f>SUM(AZ20:AZ45)</f>
        <v>36356.81</v>
      </c>
      <c r="BA46" s="1"/>
      <c r="BB46" s="1"/>
      <c r="BC46" s="124">
        <f ca="1">SUM(BC20:BC45)</f>
        <v>4544.6012499999997</v>
      </c>
      <c r="BE46" s="227">
        <f ca="1">SUM(BE20:BE45)</f>
        <v>37222.230000000003</v>
      </c>
      <c r="BF46" s="1"/>
      <c r="BG46" s="1"/>
      <c r="BH46" s="124">
        <f ca="1">SUM(BH20:BH45)</f>
        <v>4652.7787500000004</v>
      </c>
      <c r="BJ46" s="227">
        <f ca="1">SUM(BJ20:BJ45)</f>
        <v>865.42000000000394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-1917.89</v>
      </c>
      <c r="AH47" s="125"/>
      <c r="AI47" s="125">
        <f>AI5-AH46</f>
        <v>1922.3900000000031</v>
      </c>
      <c r="AJ47" s="125">
        <f>AI17-AJ46</f>
        <v>0</v>
      </c>
      <c r="AK47" s="125">
        <f>AI17-AK46</f>
        <v>0</v>
      </c>
      <c r="AL47" s="125"/>
      <c r="AM47" s="125">
        <f>AM5-AL46</f>
        <v>-12147.070000000002</v>
      </c>
      <c r="AN47" s="125">
        <f>AM17-AN46</f>
        <v>0</v>
      </c>
      <c r="AO47" s="125">
        <f>AM17-AO46</f>
        <v>0</v>
      </c>
      <c r="AP47" s="125"/>
      <c r="AQ47" s="125">
        <f>AQ5-AP46</f>
        <v>-12147.070000000002</v>
      </c>
      <c r="AR47" s="125">
        <f>AQ17-AR46</f>
        <v>0</v>
      </c>
      <c r="AS47" s="125">
        <f>AQ17-AS46</f>
        <v>0</v>
      </c>
      <c r="AT47" s="140"/>
      <c r="AU47" s="125">
        <f>AU5-AT46</f>
        <v>-12147.070000000002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54535.214999999997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476</v>
      </c>
      <c r="AC54" s="388"/>
      <c r="AD54" s="239">
        <v>15</v>
      </c>
      <c r="AE54" s="95"/>
      <c r="AF54" s="387" t="s">
        <v>476</v>
      </c>
      <c r="AG54" s="388"/>
      <c r="AH54" s="239">
        <v>14</v>
      </c>
      <c r="AI54" s="95"/>
      <c r="AJ54" s="399"/>
      <c r="AK54" s="400"/>
      <c r="AL54" s="100"/>
      <c r="AM54" s="95"/>
      <c r="AN54" s="399"/>
      <c r="AO54" s="400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>
        <v>43666</v>
      </c>
      <c r="AB55" s="378" t="s">
        <v>235</v>
      </c>
      <c r="AC55" s="379"/>
      <c r="AD55" s="100"/>
      <c r="AE55" s="96">
        <v>43682</v>
      </c>
      <c r="AF55" s="378" t="s">
        <v>323</v>
      </c>
      <c r="AG55" s="379"/>
      <c r="AH55" s="100">
        <v>10</v>
      </c>
      <c r="AI55" s="96"/>
      <c r="AJ55" s="395"/>
      <c r="AK55" s="396"/>
      <c r="AL55" s="100"/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>
        <v>43702</v>
      </c>
      <c r="AF56" s="378" t="s">
        <v>151</v>
      </c>
      <c r="AG56" s="379"/>
      <c r="AH56" s="100">
        <v>10</v>
      </c>
      <c r="AI56" s="96"/>
      <c r="AJ56" s="389"/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389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385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389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565</v>
      </c>
      <c r="U70" s="379"/>
      <c r="V70" s="100">
        <v>3742.92</v>
      </c>
      <c r="W70" s="96"/>
      <c r="X70" s="378" t="s">
        <v>563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566</v>
      </c>
      <c r="U71" s="394"/>
      <c r="V71" s="101">
        <v>1872.17</v>
      </c>
      <c r="W71" s="97"/>
      <c r="X71" s="393" t="s">
        <v>564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57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20</v>
      </c>
      <c r="D75">
        <f>C75*D74</f>
        <v>64.516129032258064</v>
      </c>
      <c r="Z75" s="111"/>
    </row>
    <row r="76" spans="1:50">
      <c r="D76">
        <f>D75-D73</f>
        <v>7.5161290322580641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7" workbookViewId="0">
      <selection activeCell="D294" sqref="D294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3508.76</v>
      </c>
      <c r="L5" s="432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620.12</v>
      </c>
      <c r="L6" s="416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7494.86</v>
      </c>
      <c r="L7" s="416"/>
      <c r="M7" s="1"/>
      <c r="N7" s="1"/>
      <c r="R7" s="3"/>
    </row>
    <row r="8" spans="1:22" ht="15.75">
      <c r="A8" s="112">
        <f>'08'!A8+(B8-SUM(D8:F8))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163.63</v>
      </c>
      <c r="L9" s="416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>
        <f>20+120</f>
        <v>140</v>
      </c>
      <c r="L11" s="4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29171.350000000002</v>
      </c>
      <c r="L19" s="441"/>
      <c r="M19" s="1"/>
      <c r="N19" s="1"/>
      <c r="R19" s="3"/>
    </row>
    <row r="20" spans="1:18" ht="16.5" thickBot="1">
      <c r="A20" s="112">
        <f>SUM(A6:A15)</f>
        <v>1374.14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1468.0199999999998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22*8</f>
        <v>176</v>
      </c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'08'!A66+(B66-SUM(D66:F78))+B67</f>
        <v>176.53000000000003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286.53000000000003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70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32.880000000000003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709.00000000000011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1:8" ht="15" customHeight="1" thickBot="1">
      <c r="B283" s="412"/>
      <c r="C283" s="413"/>
      <c r="D283" s="413"/>
      <c r="E283" s="413"/>
      <c r="F283" s="413"/>
      <c r="G283" s="414"/>
    </row>
    <row r="284" spans="1:8">
      <c r="B284" s="401" t="s">
        <v>8</v>
      </c>
      <c r="C284" s="402"/>
      <c r="D284" s="401" t="s">
        <v>9</v>
      </c>
      <c r="E284" s="409"/>
      <c r="F284" s="409"/>
      <c r="G284" s="402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109.64999999999981</v>
      </c>
      <c r="B286" s="133">
        <v>50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771</v>
      </c>
      <c r="D299" s="135"/>
      <c r="E299" s="139"/>
      <c r="F299" s="139"/>
      <c r="G299" s="17"/>
    </row>
    <row r="300" spans="1:8" ht="16.5" thickBot="1">
      <c r="A300" s="112">
        <f>SUM(A286:A299)</f>
        <v>169.64999999999981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1:8" ht="15" customHeight="1" thickBot="1">
      <c r="B303" s="412"/>
      <c r="C303" s="413"/>
      <c r="D303" s="413"/>
      <c r="E303" s="413"/>
      <c r="F303" s="413"/>
      <c r="G303" s="414"/>
    </row>
    <row r="304" spans="1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'09'!A8+(B8-SUM(D8:F8))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'09'!A11+(B11-SUM(D11:F11))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1918.1399999999999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'09'!A27+(B27-SUM(D27:F27))</f>
        <v>398.04999999999995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2596.0200000000004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142.11000000000004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1292.1500000000001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45.230000000000018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'10'!A8+(B8-SUM(D8:F8))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'10'!A11+(B11-SUM(D11:F11))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2462.14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'10'!A27+(B27-SUM(D27:F27))</f>
        <v>568.04999999999995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3724.0200000000004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213.11000000000004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1671.62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'11'!A8+(B8-SUM(D8:F8))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'11'!A11+(B11-SUM(D11:F11))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3006.1399999999994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'11'!A27+(B27-SUM(D27:F27))</f>
        <v>738.05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4852.0199999999995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284.11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3366.7700000000018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2051.09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85.230000000000018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G14" sqref="G14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130048.84</v>
      </c>
      <c r="C4" s="114"/>
      <c r="E4" s="41"/>
    </row>
    <row r="5" spans="1:14" ht="12.75" customHeight="1">
      <c r="A5" t="s">
        <v>90</v>
      </c>
      <c r="B5" s="46">
        <f>Historico!H83</f>
        <v>341</v>
      </c>
      <c r="E5" s="42"/>
      <c r="J5" s="47" t="s">
        <v>91</v>
      </c>
      <c r="L5" s="44" t="s">
        <v>92</v>
      </c>
      <c r="M5" t="s">
        <v>93</v>
      </c>
      <c r="N5" t="s">
        <v>769</v>
      </c>
    </row>
    <row r="6" spans="1:14" ht="12.75" customHeight="1">
      <c r="A6" t="s">
        <v>94</v>
      </c>
      <c r="B6" s="48">
        <f>E19</f>
        <v>-0.35062499999999996</v>
      </c>
      <c r="C6" s="44" t="s">
        <v>95</v>
      </c>
      <c r="D6" s="43" t="s">
        <v>96</v>
      </c>
      <c r="E6" s="42"/>
      <c r="J6" t="s">
        <v>97</v>
      </c>
      <c r="K6" s="49">
        <f>B4-B15</f>
        <v>129675.47829456425</v>
      </c>
      <c r="L6" s="39">
        <f>B4*(E8/100)</f>
        <v>16.18837122916667</v>
      </c>
      <c r="M6" s="49">
        <f>B13-L6</f>
        <v>373.36170543574673</v>
      </c>
      <c r="N6" s="59">
        <f>L6/SUM(L6:M6)</f>
        <v>4.1556585915119008E-2</v>
      </c>
    </row>
    <row r="7" spans="1:14" ht="12.75" customHeight="1">
      <c r="E7" s="42"/>
      <c r="J7" t="s">
        <v>98</v>
      </c>
      <c r="K7" s="49">
        <f>K6-(B13-L7)</f>
        <v>129302.07011337455</v>
      </c>
      <c r="L7" s="39">
        <f>(K6*(E8/100))</f>
        <v>16.141895475208784</v>
      </c>
      <c r="M7" s="49">
        <f>B13-L7</f>
        <v>373.40818118970458</v>
      </c>
      <c r="N7" s="59">
        <f t="shared" ref="N7:N13" si="0">L7/SUM(L7:M7)</f>
        <v>4.1437279677636572E-2</v>
      </c>
    </row>
    <row r="8" spans="1:14" ht="12.75" customHeight="1">
      <c r="B8" s="42"/>
      <c r="D8" t="s">
        <v>183</v>
      </c>
      <c r="E8" s="50">
        <f>(B6+0.5)/12</f>
        <v>1.244791666666667E-2</v>
      </c>
      <c r="J8" t="s">
        <v>99</v>
      </c>
      <c r="K8" s="49">
        <f>K7-(B13-L8)</f>
        <v>128928.61545064562</v>
      </c>
      <c r="L8" s="39">
        <f>(K7*(E8/100))</f>
        <v>16.095413935987775</v>
      </c>
      <c r="M8" s="49">
        <f>B13-L8</f>
        <v>373.4546627289256</v>
      </c>
      <c r="N8" s="59">
        <f t="shared" si="0"/>
        <v>4.1317958589013118E-2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1.0001244791666666</v>
      </c>
      <c r="J9" t="s">
        <v>101</v>
      </c>
      <c r="K9" s="49">
        <f>K8-(B13-L9)</f>
        <v>128555.11430059149</v>
      </c>
      <c r="L9" s="39">
        <f>(K8*(E8/100))</f>
        <v>16.048926610783496</v>
      </c>
      <c r="M9" s="49">
        <f>B13-L9</f>
        <v>373.50115005412988</v>
      </c>
      <c r="N9" s="59">
        <f t="shared" si="0"/>
        <v>4.1198622647399971E-2</v>
      </c>
    </row>
    <row r="10" spans="1:14" ht="12.75" customHeight="1">
      <c r="B10" s="42"/>
      <c r="D10" t="s">
        <v>102</v>
      </c>
      <c r="E10" s="50">
        <f>E9^-B5</f>
        <v>0.95844341408488098</v>
      </c>
      <c r="J10" t="s">
        <v>103</v>
      </c>
      <c r="K10" s="49">
        <f>K9-(B13-L10)</f>
        <v>128181.56665742546</v>
      </c>
      <c r="L10" s="39">
        <f>(K9*(E8/100))</f>
        <v>16.002433498875718</v>
      </c>
      <c r="M10" s="49">
        <f>B13-L10</f>
        <v>373.54764316603769</v>
      </c>
      <c r="N10" s="59">
        <f t="shared" si="0"/>
        <v>4.1079271850948271E-2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4.1556585915119015</v>
      </c>
      <c r="J11" t="s">
        <v>106</v>
      </c>
      <c r="K11" s="51">
        <f>K10-(B13-L11)</f>
        <v>127807.97251536009</v>
      </c>
      <c r="L11" s="39">
        <f>(K10*(E8/100))</f>
        <v>15.955934599544111</v>
      </c>
      <c r="M11" s="49">
        <f>B13-L11</f>
        <v>373.59414206536928</v>
      </c>
      <c r="N11" s="59">
        <f t="shared" si="0"/>
        <v>4.0959906197808885E-2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389.55007666491338</v>
      </c>
      <c r="E13" s="42"/>
      <c r="F13" s="44"/>
      <c r="G13" s="53"/>
      <c r="L13" s="54">
        <f>SUM(L6:L11)</f>
        <v>96.432975349566547</v>
      </c>
      <c r="M13" s="54">
        <f>SUM(M6:M11)</f>
        <v>2240.867484639914</v>
      </c>
      <c r="N13" s="59">
        <f t="shared" si="0"/>
        <v>4.1258270812987628E-2</v>
      </c>
    </row>
    <row r="14" spans="1:14" ht="12.75" customHeight="1">
      <c r="A14" t="s">
        <v>108</v>
      </c>
      <c r="B14" s="55">
        <f>B4*(E8/100)</f>
        <v>16.18837122916667</v>
      </c>
      <c r="E14" s="42"/>
    </row>
    <row r="15" spans="1:14" ht="12.75" customHeight="1">
      <c r="A15" t="s">
        <v>109</v>
      </c>
      <c r="B15" s="55">
        <f>B13-B14</f>
        <v>373.36170543574673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389.55163666491336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-0.35062499999999996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-5.6099999999999994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2240.867484639914</v>
      </c>
      <c r="C22" s="58">
        <f>B22/170000</f>
        <v>1.3181573439058318E-2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127807.97251536009</v>
      </c>
      <c r="C23" s="59">
        <f>6/(40*6)</f>
        <v>2.5000000000000001E-2</v>
      </c>
      <c r="E23" s="42">
        <v>-0.308</v>
      </c>
      <c r="F23">
        <v>5</v>
      </c>
      <c r="G23" s="57">
        <v>1</v>
      </c>
    </row>
    <row r="24" spans="1:9" ht="12.75" customHeight="1">
      <c r="E24" s="42">
        <v>-0.31900000000000001</v>
      </c>
      <c r="F24">
        <v>6</v>
      </c>
      <c r="G24" s="57">
        <v>1</v>
      </c>
    </row>
    <row r="25" spans="1:9" ht="12.75" customHeight="1">
      <c r="E25" s="42">
        <v>-0.32200000000000001</v>
      </c>
      <c r="F25">
        <v>7</v>
      </c>
      <c r="G25" s="57">
        <v>1</v>
      </c>
    </row>
    <row r="26" spans="1:9" ht="12.75" customHeight="1">
      <c r="E26" s="42">
        <v>-0.33900000000000002</v>
      </c>
      <c r="F26">
        <v>8</v>
      </c>
      <c r="G26" s="57">
        <v>1</v>
      </c>
    </row>
    <row r="27" spans="1:9" ht="12.75" customHeight="1">
      <c r="E27" s="42">
        <v>-0.34300000000000003</v>
      </c>
      <c r="F27">
        <v>9</v>
      </c>
      <c r="G27" s="57">
        <v>1</v>
      </c>
    </row>
    <row r="28" spans="1:9" ht="12.75" customHeight="1">
      <c r="C28" s="59"/>
      <c r="E28" s="42">
        <v>-0.35199999999999998</v>
      </c>
      <c r="F28">
        <v>12</v>
      </c>
      <c r="G28" s="57">
        <v>1</v>
      </c>
    </row>
    <row r="29" spans="1:9" ht="12.75" customHeight="1">
      <c r="C29" s="59"/>
      <c r="E29" s="42">
        <v>-0.35699999999999998</v>
      </c>
      <c r="F29">
        <v>13</v>
      </c>
      <c r="G29" s="57">
        <v>1</v>
      </c>
    </row>
    <row r="30" spans="1:9" ht="12.75" customHeight="1">
      <c r="C30" s="59"/>
      <c r="E30" s="42">
        <v>-0.35</v>
      </c>
      <c r="F30">
        <v>14</v>
      </c>
      <c r="G30" s="57">
        <v>1</v>
      </c>
    </row>
    <row r="31" spans="1:9" ht="12.75" customHeight="1">
      <c r="E31" s="42">
        <v>-0.35299999999999998</v>
      </c>
      <c r="F31">
        <v>15</v>
      </c>
      <c r="G31" s="57">
        <v>1</v>
      </c>
    </row>
    <row r="32" spans="1:9" ht="12.75" customHeight="1">
      <c r="E32" s="42">
        <v>-0.38500000000000001</v>
      </c>
      <c r="F32">
        <v>16</v>
      </c>
      <c r="G32" s="57">
        <v>1</v>
      </c>
    </row>
    <row r="33" spans="2:7" ht="12.75" customHeight="1">
      <c r="C33" s="59"/>
      <c r="E33" s="42">
        <v>-0.39800000000000002</v>
      </c>
      <c r="F33">
        <v>19</v>
      </c>
      <c r="G33" s="57">
        <v>1</v>
      </c>
    </row>
    <row r="34" spans="2:7" ht="12.75" customHeight="1">
      <c r="C34" s="58"/>
      <c r="E34" s="42">
        <v>-0.39500000000000002</v>
      </c>
      <c r="F34">
        <v>20</v>
      </c>
      <c r="G34" s="57">
        <v>1</v>
      </c>
    </row>
    <row r="35" spans="2:7" ht="12.75" customHeight="1">
      <c r="C35" s="58"/>
      <c r="E35" s="42">
        <v>-0.39900000000000002</v>
      </c>
      <c r="F35">
        <v>21</v>
      </c>
      <c r="G35" s="57">
        <v>1</v>
      </c>
    </row>
    <row r="36" spans="2:7" ht="12.75" customHeight="1">
      <c r="E36" s="42">
        <v>-0.38600000000000001</v>
      </c>
      <c r="F36">
        <v>22</v>
      </c>
      <c r="G36" s="57">
        <v>1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16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F23" sqref="F2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0" workbookViewId="0">
      <selection activeCell="G28" sqref="G2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-3.5062499999999998E-3</v>
      </c>
      <c r="D25" s="73">
        <f>Hipoteca!B$13</f>
        <v>389.55007666491338</v>
      </c>
      <c r="E25" s="72">
        <f t="shared" ref="E25" si="10">D25-D24</f>
        <v>-13.529923335086607</v>
      </c>
      <c r="H25">
        <f>IF(MONTH(I26)&gt;MONTH(I25),MONTH(I26)-MONTH(I25),(MONTH(I26)+12)-MONTH(I25))</f>
        <v>6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/>
      <c r="C26" s="71"/>
      <c r="D26" s="73"/>
      <c r="E26" s="72"/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1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2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1"/>
        <v>6</v>
      </c>
      <c r="I28" s="79">
        <f t="shared" si="4"/>
        <v>44287</v>
      </c>
      <c r="J28" s="128"/>
      <c r="K28" s="127"/>
      <c r="L28" s="127"/>
      <c r="M28" s="72"/>
      <c r="O28">
        <f t="shared" si="12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1"/>
        <v>6</v>
      </c>
      <c r="I29" s="79">
        <f t="shared" si="4"/>
        <v>44470</v>
      </c>
      <c r="J29" s="128"/>
      <c r="K29" s="127"/>
      <c r="L29" s="127"/>
      <c r="M29" s="72"/>
      <c r="O29">
        <f t="shared" si="12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1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1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1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1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1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1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1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1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1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1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1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1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1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1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1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1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1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1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1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1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1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1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1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1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1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1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1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1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1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1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1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1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1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1"/>
        <v>6</v>
      </c>
      <c r="I63" s="79">
        <f t="shared" ref="I63:I81" si="13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1"/>
        <v>6</v>
      </c>
      <c r="I64" s="79">
        <f t="shared" si="13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1"/>
        <v>6</v>
      </c>
      <c r="I65" s="79">
        <f t="shared" si="13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1"/>
        <v>6</v>
      </c>
      <c r="I66" s="79">
        <f t="shared" si="13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1"/>
        <v>6</v>
      </c>
      <c r="I67" s="79">
        <f t="shared" si="13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1"/>
        <v>6</v>
      </c>
      <c r="I68" s="79">
        <f t="shared" si="13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1"/>
        <v>6</v>
      </c>
      <c r="I69" s="79">
        <f t="shared" si="13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1"/>
        <v>6</v>
      </c>
      <c r="I70" s="79">
        <f t="shared" si="13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1"/>
        <v>6</v>
      </c>
      <c r="I71" s="79">
        <f t="shared" si="13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1"/>
        <v>6</v>
      </c>
      <c r="I72" s="79">
        <f t="shared" si="13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1"/>
        <v>6</v>
      </c>
      <c r="I73" s="79">
        <f t="shared" si="13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1"/>
        <v>6</v>
      </c>
      <c r="I74" s="79">
        <f t="shared" si="13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1"/>
        <v>6</v>
      </c>
      <c r="I75" s="79">
        <f t="shared" si="13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1"/>
        <v>6</v>
      </c>
      <c r="I76" s="79">
        <f t="shared" si="13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1"/>
        <v>6</v>
      </c>
      <c r="I77" s="79">
        <f t="shared" si="13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1"/>
        <v>6</v>
      </c>
      <c r="I78" s="79">
        <f t="shared" si="13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1"/>
        <v>6</v>
      </c>
      <c r="I79" s="79">
        <f t="shared" si="13"/>
        <v>53601</v>
      </c>
      <c r="J79" s="128"/>
      <c r="K79" s="127"/>
      <c r="L79" s="127"/>
      <c r="M79" s="72"/>
    </row>
    <row r="80" spans="1:13" ht="12.75" customHeight="1">
      <c r="A80" s="120">
        <f t="shared" ref="A80:A81" si="14">EDATE(A79,6)</f>
        <v>53724</v>
      </c>
      <c r="B80" s="116"/>
      <c r="C80" s="71"/>
      <c r="D80" s="73"/>
      <c r="E80" s="72"/>
      <c r="H80">
        <f t="shared" si="11"/>
        <v>6</v>
      </c>
      <c r="I80" s="79">
        <f t="shared" si="13"/>
        <v>53783</v>
      </c>
      <c r="J80" s="128"/>
      <c r="K80" s="127"/>
      <c r="L80" s="127"/>
      <c r="M80" s="72"/>
    </row>
    <row r="81" spans="1:13" ht="12.75" customHeight="1">
      <c r="A81" s="120">
        <f t="shared" si="14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3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8.3641330227743251E-3</v>
      </c>
      <c r="D83" s="85">
        <f>AVERAGE(D2:D82)</f>
        <v>492.25232996929304</v>
      </c>
      <c r="E83" s="86">
        <f>AVERAGE(E3:E82)</f>
        <v>-19.934779275438551</v>
      </c>
      <c r="H83">
        <f>SUM(H25:H82)</f>
        <v>341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3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1490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43699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94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43699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535</v>
      </c>
      <c r="S4" s="341">
        <v>43708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545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43699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535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</row>
    <row r="11" spans="1:26">
      <c r="A11" s="445" t="s">
        <v>518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3.8153846153846156E-2</v>
      </c>
      <c r="X13" s="119">
        <f ca="1">W13*E13</f>
        <v>153.35056916923079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3.3846153846153845E-2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8.615384615384615E-3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0.53476923076923077</v>
      </c>
      <c r="X19" s="119">
        <f t="shared" ca="1" si="2"/>
        <v>2365.4981726030774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0.38892307692307693</v>
      </c>
      <c r="X20" s="119">
        <f t="shared" ca="1" si="2"/>
        <v>233.58720000000002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0.17723076923076922</v>
      </c>
      <c r="X25" s="119">
        <f t="shared" ca="1" si="2"/>
        <v>107.74979020799999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545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43699</v>
      </c>
      <c r="L28" s="302">
        <v>26.61</v>
      </c>
      <c r="M28" s="264">
        <f>(H28*L28)</f>
        <v>5215.5599999999995</v>
      </c>
      <c r="N28" s="264">
        <f>-(IF((M28*0.0075)&lt;30,30,(M28*0.0075)) + (M28*0.0035))</f>
        <v>-57.371159999999989</v>
      </c>
      <c r="O28" s="272">
        <f>J28+N28</f>
        <v>-113.38403999999998</v>
      </c>
      <c r="P28" s="273">
        <f ca="1">IF(K28=0,0,M28-E28+N28)</f>
        <v>10.095959999999351</v>
      </c>
      <c r="Q28" s="274">
        <f ca="1">P28/E28</f>
        <v>1.9611068089353026E-3</v>
      </c>
      <c r="R28" s="275" t="s">
        <v>517</v>
      </c>
      <c r="S28" s="59">
        <f ca="1">Q28+Q29+Q30+Q34</f>
        <v>2.636626089776363E-2</v>
      </c>
      <c r="W28" s="39">
        <f t="shared" ca="1" si="0"/>
        <v>0.33538461538461539</v>
      </c>
      <c r="X28" s="119">
        <f t="shared" ca="1" si="2"/>
        <v>1726.591150523077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1.3538461538461539E-2</v>
      </c>
      <c r="X33" s="119">
        <f t="shared" ca="1" si="2"/>
        <v>55.902016246153842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94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43699</v>
      </c>
      <c r="L35" s="302">
        <v>60.36</v>
      </c>
      <c r="M35" s="264">
        <f>(H35*L35)</f>
        <v>3742.32</v>
      </c>
      <c r="N35" s="264">
        <f>-(IF((M35*0.0075)&lt;30,30,(M35*0.0075)) + (M35*0.0035))</f>
        <v>-43.098120000000002</v>
      </c>
      <c r="O35" s="272">
        <f>J35+N35</f>
        <v>-87.584980000000002</v>
      </c>
      <c r="P35" s="273">
        <f ca="1">IF(K35=0,0,M35-E35+N35)</f>
        <v>-389.52498000000003</v>
      </c>
      <c r="Q35" s="274">
        <f ca="1">P35/E35</f>
        <v>-9.5267570563172504E-2</v>
      </c>
      <c r="R35" s="275" t="s">
        <v>412</v>
      </c>
      <c r="W35" s="39">
        <f t="shared" ca="1" si="0"/>
        <v>5.7846153846153846E-2</v>
      </c>
      <c r="X35" s="119">
        <f t="shared" ca="1" si="2"/>
        <v>236.51827990153848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2581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-371.05053900000001</v>
      </c>
      <c r="O42" s="315">
        <f>SUM(O13:O41)</f>
        <v>-557.24867699999993</v>
      </c>
      <c r="P42" s="315">
        <f ca="1">SUM(P13:P41)</f>
        <v>3272.2797029999997</v>
      </c>
      <c r="Q42" s="326">
        <f ca="1">SUM(Q13:Q41)</f>
        <v>3.8300592424068327</v>
      </c>
      <c r="R42" s="317"/>
      <c r="W42" s="327">
        <f ca="1">SUM(W13:W41)</f>
        <v>1.5883076923076924</v>
      </c>
      <c r="X42" s="328">
        <f ca="1">SUM(X13:X41)</f>
        <v>4879.1971786510776</v>
      </c>
      <c r="Y42" s="329">
        <f ca="1">P42/X42</f>
        <v>0.67065945137816041</v>
      </c>
      <c r="Z42" s="329">
        <f ca="1">Y42/(D$43/365)</f>
        <v>0.15064043061724836</v>
      </c>
    </row>
    <row r="43" spans="1:26">
      <c r="C43" s="119" t="s">
        <v>568</v>
      </c>
      <c r="D43" s="46">
        <f ca="1">_xlfn.DAYS(TODAY(),F13)</f>
        <v>1625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G15" sqref="G1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574</v>
      </c>
      <c r="B1" s="447"/>
      <c r="C1" s="447"/>
      <c r="D1" s="447"/>
      <c r="E1" s="447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-119.84154124977128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-134.84171937511437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-105.94706522330415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-28.894654151810222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-389.52498000000003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5" t="s">
        <v>603</v>
      </c>
      <c r="B15" s="445"/>
      <c r="C15" s="445"/>
      <c r="D15" s="445"/>
      <c r="E15" s="445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>
        <v>2018</v>
      </c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1">
        <v>2901.68</v>
      </c>
      <c r="L5" s="4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5">
        <v>620.05999999999995</v>
      </c>
      <c r="L6" s="416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5">
        <v>8035.29</v>
      </c>
      <c r="L7" s="4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5">
        <v>659.39</v>
      </c>
      <c r="L9" s="4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5">
        <f>240+35</f>
        <v>275</v>
      </c>
      <c r="L11" s="4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7">
        <f>SUM(K5:K18)</f>
        <v>26383.54</v>
      </c>
      <c r="L19" s="4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12"/>
      <c r="I22" s="419" t="s">
        <v>6</v>
      </c>
      <c r="J22" s="410"/>
      <c r="K22" s="410"/>
      <c r="L22" s="4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12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12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0" t="str">
        <f>AÑO!A8</f>
        <v>Manolo Salario</v>
      </c>
      <c r="J25" s="423" t="s">
        <v>291</v>
      </c>
      <c r="K25" s="4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1"/>
      <c r="J26" s="425"/>
      <c r="K26" s="4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1"/>
      <c r="J27" s="425"/>
      <c r="K27" s="4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1"/>
      <c r="J28" s="425"/>
      <c r="K28" s="4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2"/>
      <c r="J29" s="427"/>
      <c r="K29" s="4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0" t="str">
        <f>AÑO!A9</f>
        <v>Rocío Salario</v>
      </c>
      <c r="J30" s="423" t="s">
        <v>238</v>
      </c>
      <c r="K30" s="4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1"/>
      <c r="J31" s="425" t="s">
        <v>256</v>
      </c>
      <c r="K31" s="4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1"/>
      <c r="J32" s="433" t="s">
        <v>267</v>
      </c>
      <c r="K32" s="4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0" t="s">
        <v>218</v>
      </c>
      <c r="J35" s="423" t="s">
        <v>306</v>
      </c>
      <c r="K35" s="4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0" t="str">
        <f>AÑO!A11</f>
        <v>Finanazas</v>
      </c>
      <c r="J40" s="423" t="s">
        <v>239</v>
      </c>
      <c r="K40" s="4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1"/>
      <c r="J41" s="425" t="s">
        <v>240</v>
      </c>
      <c r="K41" s="426"/>
      <c r="L41" s="229">
        <v>1.87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12"/>
      <c r="I42" s="421"/>
      <c r="J42" s="425" t="s">
        <v>269</v>
      </c>
      <c r="K42" s="426"/>
      <c r="L42" s="229">
        <v>0.02</v>
      </c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12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12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0" t="str">
        <f>AÑO!A12</f>
        <v>Regalos</v>
      </c>
      <c r="J45" s="423" t="s">
        <v>299</v>
      </c>
      <c r="K45" s="4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1"/>
      <c r="J46" s="425"/>
      <c r="K46" s="4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2"/>
      <c r="J49" s="427"/>
      <c r="K49" s="4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0" t="str">
        <f>AÑO!A13</f>
        <v>Gubernamental</v>
      </c>
      <c r="J50" s="423" t="s">
        <v>259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2"/>
      <c r="J54" s="427"/>
      <c r="K54" s="4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2"/>
      <c r="J59" s="427"/>
      <c r="K59" s="4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0" t="str">
        <f>AÑO!A15</f>
        <v>Alquiler Cartama</v>
      </c>
      <c r="J60" s="423"/>
      <c r="K60" s="4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12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12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12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0" t="str">
        <f>AÑO!A16</f>
        <v>Otros</v>
      </c>
      <c r="J65" s="423" t="s">
        <v>296</v>
      </c>
      <c r="K65" s="4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1"/>
      <c r="J66" s="425"/>
      <c r="K66" s="4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1"/>
      <c r="J67" s="425"/>
      <c r="K67" s="4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1"/>
      <c r="J68" s="425"/>
      <c r="K68" s="4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12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12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12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12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12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12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12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12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  <c r="H202" s="112"/>
    </row>
    <row r="203" spans="2:12" ht="15" customHeight="1" thickBot="1">
      <c r="B203" s="412"/>
      <c r="C203" s="413"/>
      <c r="D203" s="413"/>
      <c r="E203" s="413"/>
      <c r="F203" s="413"/>
      <c r="G203" s="414"/>
      <c r="H203" s="112"/>
    </row>
    <row r="204" spans="2:12" ht="15.75">
      <c r="B204" s="401" t="s">
        <v>8</v>
      </c>
      <c r="C204" s="402"/>
      <c r="D204" s="409" t="s">
        <v>9</v>
      </c>
      <c r="E204" s="409"/>
      <c r="F204" s="409"/>
      <c r="G204" s="4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3" t="str">
        <f>AÑO!A31</f>
        <v>Deportes</v>
      </c>
      <c r="C222" s="410"/>
      <c r="D222" s="410"/>
      <c r="E222" s="410"/>
      <c r="F222" s="410"/>
      <c r="G222" s="411"/>
      <c r="H222" s="112"/>
    </row>
    <row r="223" spans="2:8" ht="15" customHeight="1" thickBot="1">
      <c r="B223" s="412"/>
      <c r="C223" s="413"/>
      <c r="D223" s="413"/>
      <c r="E223" s="413"/>
      <c r="F223" s="413"/>
      <c r="G223" s="414"/>
      <c r="H223" s="112"/>
    </row>
    <row r="224" spans="2:8" ht="15.75">
      <c r="B224" s="401" t="s">
        <v>8</v>
      </c>
      <c r="C224" s="402"/>
      <c r="D224" s="409" t="s">
        <v>9</v>
      </c>
      <c r="E224" s="409"/>
      <c r="F224" s="409"/>
      <c r="G224" s="4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3" t="str">
        <f>AÑO!A32</f>
        <v>Hogar</v>
      </c>
      <c r="C242" s="410"/>
      <c r="D242" s="410"/>
      <c r="E242" s="410"/>
      <c r="F242" s="410"/>
      <c r="G242" s="411"/>
      <c r="H242" s="112"/>
    </row>
    <row r="243" spans="2:8" ht="15" customHeight="1" thickBot="1">
      <c r="B243" s="412"/>
      <c r="C243" s="413"/>
      <c r="D243" s="413"/>
      <c r="E243" s="413"/>
      <c r="F243" s="413"/>
      <c r="G243" s="414"/>
      <c r="H243" s="112"/>
    </row>
    <row r="244" spans="2:8" ht="15" customHeight="1">
      <c r="B244" s="401" t="s">
        <v>8</v>
      </c>
      <c r="C244" s="402"/>
      <c r="D244" s="409" t="s">
        <v>9</v>
      </c>
      <c r="E244" s="409"/>
      <c r="F244" s="409"/>
      <c r="G244" s="4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3" t="str">
        <f>AÑO!A33</f>
        <v>Formación</v>
      </c>
      <c r="C262" s="410"/>
      <c r="D262" s="410"/>
      <c r="E262" s="410"/>
      <c r="F262" s="410"/>
      <c r="G262" s="411"/>
      <c r="H262" s="112"/>
    </row>
    <row r="263" spans="2:8" ht="15" customHeight="1" thickBot="1">
      <c r="B263" s="412"/>
      <c r="C263" s="413"/>
      <c r="D263" s="413"/>
      <c r="E263" s="413"/>
      <c r="F263" s="413"/>
      <c r="G263" s="414"/>
      <c r="H263" s="112"/>
    </row>
    <row r="264" spans="2:8" ht="15.75">
      <c r="B264" s="401" t="s">
        <v>8</v>
      </c>
      <c r="C264" s="402"/>
      <c r="D264" s="409" t="s">
        <v>9</v>
      </c>
      <c r="E264" s="409"/>
      <c r="F264" s="409"/>
      <c r="G264" s="4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  <c r="H282" s="112"/>
    </row>
    <row r="283" spans="2:8" ht="15" customHeight="1" thickBot="1">
      <c r="B283" s="412"/>
      <c r="C283" s="413"/>
      <c r="D283" s="413"/>
      <c r="E283" s="413"/>
      <c r="F283" s="413"/>
      <c r="G283" s="414"/>
      <c r="H283" s="112"/>
    </row>
    <row r="284" spans="2:8" ht="15.75">
      <c r="B284" s="401" t="s">
        <v>8</v>
      </c>
      <c r="C284" s="402"/>
      <c r="D284" s="409" t="s">
        <v>9</v>
      </c>
      <c r="E284" s="409"/>
      <c r="F284" s="409"/>
      <c r="G284" s="4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  <c r="H302" s="112"/>
    </row>
    <row r="303" spans="2:8" ht="15" customHeight="1" thickBot="1">
      <c r="B303" s="412"/>
      <c r="C303" s="413"/>
      <c r="D303" s="413"/>
      <c r="E303" s="413"/>
      <c r="F303" s="413"/>
      <c r="G303" s="414"/>
      <c r="H303" s="112"/>
    </row>
    <row r="304" spans="2:8" ht="15.75">
      <c r="B304" s="401" t="s">
        <v>8</v>
      </c>
      <c r="C304" s="402"/>
      <c r="D304" s="409" t="s">
        <v>9</v>
      </c>
      <c r="E304" s="409"/>
      <c r="F304" s="409"/>
      <c r="G304" s="4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3" t="str">
        <f>AÑO!A36</f>
        <v>Nenas</v>
      </c>
      <c r="C322" s="410"/>
      <c r="D322" s="410"/>
      <c r="E322" s="410"/>
      <c r="F322" s="410"/>
      <c r="G322" s="411"/>
      <c r="H322" s="112"/>
    </row>
    <row r="323" spans="2:8" ht="15" customHeight="1" thickBot="1">
      <c r="B323" s="412"/>
      <c r="C323" s="413"/>
      <c r="D323" s="413"/>
      <c r="E323" s="413"/>
      <c r="F323" s="413"/>
      <c r="G323" s="414"/>
      <c r="H323" s="112"/>
    </row>
    <row r="324" spans="2:8" ht="15.75">
      <c r="B324" s="401" t="s">
        <v>8</v>
      </c>
      <c r="C324" s="402"/>
      <c r="D324" s="409" t="s">
        <v>9</v>
      </c>
      <c r="E324" s="409"/>
      <c r="F324" s="409"/>
      <c r="G324" s="4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3" t="str">
        <f>AÑO!A37</f>
        <v>Impuestos</v>
      </c>
      <c r="C342" s="410"/>
      <c r="D342" s="410"/>
      <c r="E342" s="410"/>
      <c r="F342" s="410"/>
      <c r="G342" s="411"/>
      <c r="H342" s="112"/>
    </row>
    <row r="343" spans="2:8" ht="15" customHeight="1" thickBot="1">
      <c r="B343" s="412"/>
      <c r="C343" s="413"/>
      <c r="D343" s="413"/>
      <c r="E343" s="413"/>
      <c r="F343" s="413"/>
      <c r="G343" s="414"/>
      <c r="H343" s="112"/>
    </row>
    <row r="344" spans="2:8" ht="15.75">
      <c r="B344" s="401" t="s">
        <v>8</v>
      </c>
      <c r="C344" s="402"/>
      <c r="D344" s="409" t="s">
        <v>9</v>
      </c>
      <c r="E344" s="409"/>
      <c r="F344" s="409"/>
      <c r="G344" s="4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3" t="str">
        <f>AÑO!A38</f>
        <v>Gastos Curros</v>
      </c>
      <c r="C362" s="410"/>
      <c r="D362" s="410"/>
      <c r="E362" s="410"/>
      <c r="F362" s="410"/>
      <c r="G362" s="411"/>
      <c r="H362" s="112"/>
    </row>
    <row r="363" spans="2:8" ht="15" customHeight="1" thickBot="1">
      <c r="B363" s="412"/>
      <c r="C363" s="413"/>
      <c r="D363" s="413"/>
      <c r="E363" s="413"/>
      <c r="F363" s="413"/>
      <c r="G363" s="414"/>
      <c r="H363" s="112"/>
    </row>
    <row r="364" spans="2:8" ht="15.75">
      <c r="B364" s="401" t="s">
        <v>8</v>
      </c>
      <c r="C364" s="402"/>
      <c r="D364" s="409" t="s">
        <v>9</v>
      </c>
      <c r="E364" s="409"/>
      <c r="F364" s="409"/>
      <c r="G364" s="4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3" t="str">
        <f>AÑO!A39</f>
        <v>Dreamed Holidays</v>
      </c>
      <c r="C382" s="410"/>
      <c r="D382" s="410"/>
      <c r="E382" s="410"/>
      <c r="F382" s="410"/>
      <c r="G382" s="411"/>
      <c r="H382" s="112"/>
    </row>
    <row r="383" spans="2:8" ht="15" customHeight="1" thickBot="1">
      <c r="B383" s="412"/>
      <c r="C383" s="413"/>
      <c r="D383" s="413"/>
      <c r="E383" s="413"/>
      <c r="F383" s="413"/>
      <c r="G383" s="414"/>
      <c r="H383" s="112"/>
    </row>
    <row r="384" spans="2:8" ht="15.75">
      <c r="B384" s="401" t="s">
        <v>8</v>
      </c>
      <c r="C384" s="402"/>
      <c r="D384" s="409" t="s">
        <v>9</v>
      </c>
      <c r="E384" s="409"/>
      <c r="F384" s="409"/>
      <c r="G384" s="4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3" t="str">
        <f>AÑO!A40</f>
        <v>Financieros</v>
      </c>
      <c r="C402" s="410"/>
      <c r="D402" s="410"/>
      <c r="E402" s="410"/>
      <c r="F402" s="410"/>
      <c r="G402" s="411"/>
      <c r="H402" s="112"/>
    </row>
    <row r="403" spans="2:8" ht="15" customHeight="1" thickBot="1">
      <c r="B403" s="412"/>
      <c r="C403" s="413"/>
      <c r="D403" s="413"/>
      <c r="E403" s="413"/>
      <c r="F403" s="413"/>
      <c r="G403" s="414"/>
      <c r="H403" s="112"/>
    </row>
    <row r="404" spans="2:8" ht="15.75">
      <c r="B404" s="401" t="s">
        <v>8</v>
      </c>
      <c r="C404" s="402"/>
      <c r="D404" s="409" t="s">
        <v>9</v>
      </c>
      <c r="E404" s="409"/>
      <c r="F404" s="409"/>
      <c r="G404" s="4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  <c r="H422" s="112"/>
    </row>
    <row r="423" spans="1:8" ht="15" customHeight="1" thickBot="1">
      <c r="B423" s="406"/>
      <c r="C423" s="407"/>
      <c r="D423" s="407"/>
      <c r="E423" s="407"/>
      <c r="F423" s="407"/>
      <c r="G423" s="408"/>
      <c r="H423" s="112"/>
    </row>
    <row r="424" spans="1:8" ht="15.75">
      <c r="B424" s="401" t="s">
        <v>8</v>
      </c>
      <c r="C424" s="402"/>
      <c r="D424" s="409" t="s">
        <v>9</v>
      </c>
      <c r="E424" s="409"/>
      <c r="F424" s="409"/>
      <c r="G424" s="402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3" t="str">
        <f>AÑO!A42</f>
        <v>Dinero Bloqueado</v>
      </c>
      <c r="C442" s="404"/>
      <c r="D442" s="404"/>
      <c r="E442" s="404"/>
      <c r="F442" s="404"/>
      <c r="G442" s="405"/>
      <c r="H442" s="112"/>
    </row>
    <row r="443" spans="2:8" ht="15" customHeight="1" thickBot="1">
      <c r="B443" s="406"/>
      <c r="C443" s="407"/>
      <c r="D443" s="407"/>
      <c r="E443" s="407"/>
      <c r="F443" s="407"/>
      <c r="G443" s="408"/>
      <c r="H443" s="112"/>
    </row>
    <row r="444" spans="2:8" ht="15.75">
      <c r="B444" s="401" t="s">
        <v>8</v>
      </c>
      <c r="C444" s="402"/>
      <c r="D444" s="409" t="s">
        <v>9</v>
      </c>
      <c r="E444" s="409"/>
      <c r="F444" s="409"/>
      <c r="G444" s="4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3" t="str">
        <f>AÑO!A43</f>
        <v>Cartama Finanazas</v>
      </c>
      <c r="C462" s="404"/>
      <c r="D462" s="404"/>
      <c r="E462" s="404"/>
      <c r="F462" s="404"/>
      <c r="G462" s="405"/>
      <c r="H462" s="112"/>
    </row>
    <row r="463" spans="2:8" ht="15" customHeight="1" thickBot="1">
      <c r="B463" s="406"/>
      <c r="C463" s="407"/>
      <c r="D463" s="407"/>
      <c r="E463" s="407"/>
      <c r="F463" s="407"/>
      <c r="G463" s="408"/>
      <c r="H463" s="112"/>
    </row>
    <row r="464" spans="2:8" ht="15.75">
      <c r="B464" s="401" t="s">
        <v>8</v>
      </c>
      <c r="C464" s="402"/>
      <c r="D464" s="409" t="s">
        <v>9</v>
      </c>
      <c r="E464" s="409"/>
      <c r="F464" s="409"/>
      <c r="G464" s="402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3" t="str">
        <f>AÑO!A44</f>
        <v>NULO</v>
      </c>
      <c r="C482" s="404"/>
      <c r="D482" s="404"/>
      <c r="E482" s="404"/>
      <c r="F482" s="404"/>
      <c r="G482" s="405"/>
      <c r="H482" s="112"/>
    </row>
    <row r="483" spans="2:8" ht="15" customHeight="1" thickBot="1">
      <c r="B483" s="406"/>
      <c r="C483" s="407"/>
      <c r="D483" s="407"/>
      <c r="E483" s="407"/>
      <c r="F483" s="407"/>
      <c r="G483" s="408"/>
      <c r="H483" s="112"/>
    </row>
    <row r="484" spans="2:8" ht="15.75">
      <c r="B484" s="401" t="s">
        <v>8</v>
      </c>
      <c r="C484" s="402"/>
      <c r="D484" s="409" t="s">
        <v>9</v>
      </c>
      <c r="E484" s="409"/>
      <c r="F484" s="409"/>
      <c r="G484" s="4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3" t="str">
        <f>AÑO!A45</f>
        <v>OTROS</v>
      </c>
      <c r="C502" s="404"/>
      <c r="D502" s="404"/>
      <c r="E502" s="404"/>
      <c r="F502" s="404"/>
      <c r="G502" s="405"/>
      <c r="H502" s="112"/>
    </row>
    <row r="503" spans="2:8" ht="15" customHeight="1" thickBot="1">
      <c r="B503" s="406"/>
      <c r="C503" s="407"/>
      <c r="D503" s="407"/>
      <c r="E503" s="407"/>
      <c r="F503" s="407"/>
      <c r="G503" s="408"/>
      <c r="H503" s="112"/>
    </row>
    <row r="504" spans="2:8" ht="15.75">
      <c r="B504" s="401" t="s">
        <v>8</v>
      </c>
      <c r="C504" s="402"/>
      <c r="D504" s="409" t="s">
        <v>9</v>
      </c>
      <c r="E504" s="409"/>
      <c r="F504" s="409"/>
      <c r="G504" s="4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2397.48-4.45</f>
        <v>2393.0300000000002</v>
      </c>
      <c r="L5" s="4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>
        <f>7340.23-4.45</f>
        <v>7335.78</v>
      </c>
      <c r="L7" s="4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7001.87</v>
      </c>
      <c r="L8" s="4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669.52</v>
      </c>
      <c r="L9" s="4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160+155</f>
        <v>315</v>
      </c>
      <c r="L11" s="4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25229.379999999997</v>
      </c>
      <c r="L19" s="4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314</v>
      </c>
      <c r="K30" s="4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319</v>
      </c>
      <c r="K31" s="4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 t="s">
        <v>314</v>
      </c>
      <c r="K33" s="4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359</v>
      </c>
      <c r="K35" s="4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160</v>
      </c>
      <c r="K45" s="4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0" t="str">
        <f>AÑO!A13</f>
        <v>Gubernamental</v>
      </c>
      <c r="J50" s="423" t="s">
        <v>259</v>
      </c>
      <c r="K50" s="4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0" t="str">
        <f>AÑO!A15</f>
        <v>Alquiler Cartama</v>
      </c>
      <c r="J60" s="423" t="s">
        <v>315</v>
      </c>
      <c r="K60" s="4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1"/>
      <c r="J66" s="425"/>
      <c r="K66" s="4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1"/>
      <c r="J67" s="425"/>
      <c r="K67" s="4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1"/>
      <c r="J68" s="425"/>
      <c r="K68" s="4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8" ht="15" customHeight="1" thickBot="1">
      <c r="B423" s="406"/>
      <c r="C423" s="407"/>
      <c r="D423" s="407"/>
      <c r="E423" s="407"/>
      <c r="F423" s="407"/>
      <c r="G423" s="408"/>
    </row>
    <row r="424" spans="1:8">
      <c r="B424" s="401" t="s">
        <v>8</v>
      </c>
      <c r="C424" s="402"/>
      <c r="D424" s="409" t="s">
        <v>9</v>
      </c>
      <c r="E424" s="409"/>
      <c r="F424" s="409"/>
      <c r="G424" s="4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1559.34</v>
      </c>
      <c r="L5" s="43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5">
        <v>8577.0300000000007</v>
      </c>
      <c r="L7" s="4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3501.87</v>
      </c>
      <c r="L8" s="4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5">
        <v>4167.34</v>
      </c>
      <c r="L9" s="4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255</v>
      </c>
      <c r="L11" s="4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25574.760000000002</v>
      </c>
      <c r="L19" s="418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362</v>
      </c>
      <c r="K30" s="4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238</v>
      </c>
      <c r="K31" s="4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379</v>
      </c>
      <c r="K45" s="4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21"/>
      <c r="J46" s="425" t="s">
        <v>160</v>
      </c>
      <c r="K46" s="42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20" t="str">
        <f>AÑO!A13</f>
        <v>Gubernamental</v>
      </c>
      <c r="J50" s="423" t="s">
        <v>259</v>
      </c>
      <c r="K50" s="4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21"/>
      <c r="J51" s="425" t="s">
        <v>417</v>
      </c>
      <c r="K51" s="42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20" t="str">
        <f>AÑO!A14</f>
        <v>Mutualite/DKV</v>
      </c>
      <c r="J55" s="439" t="str">
        <f>G306</f>
        <v>12/03 Chirec</v>
      </c>
      <c r="K55" s="4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366</v>
      </c>
      <c r="K60" s="4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8" ht="15" customHeight="1" thickBot="1">
      <c r="B243" s="412"/>
      <c r="C243" s="413"/>
      <c r="D243" s="413"/>
      <c r="E243" s="413"/>
      <c r="F243" s="413"/>
      <c r="G243" s="414"/>
    </row>
    <row r="244" spans="1:8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7" ht="15" customHeight="1" thickBot="1">
      <c r="B263" s="412"/>
      <c r="C263" s="413"/>
      <c r="D263" s="413"/>
      <c r="E263" s="413"/>
      <c r="F263" s="413"/>
      <c r="G263" s="414"/>
    </row>
    <row r="264" spans="1:7">
      <c r="B264" s="401" t="s">
        <v>8</v>
      </c>
      <c r="C264" s="402"/>
      <c r="D264" s="409" t="s">
        <v>9</v>
      </c>
      <c r="E264" s="409"/>
      <c r="F264" s="409"/>
      <c r="G264" s="4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861.84</v>
      </c>
      <c r="L5" s="432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10075.709999999999</v>
      </c>
      <c r="L7" s="41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3501.87</v>
      </c>
      <c r="L8" s="4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35.96</v>
      </c>
      <c r="L9" s="41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370</v>
      </c>
      <c r="L11" s="4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5092.08+4084.2</f>
        <v>9176.2799999999988</v>
      </c>
      <c r="L12" s="4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362</v>
      </c>
      <c r="K30" s="42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430</v>
      </c>
      <c r="K31" s="42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424</v>
      </c>
      <c r="K40" s="42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 t="s">
        <v>444</v>
      </c>
      <c r="K41" s="426"/>
      <c r="L41" s="229">
        <v>352.82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 t="s">
        <v>60</v>
      </c>
      <c r="K42" s="426"/>
      <c r="L42" s="229">
        <v>0.02</v>
      </c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20" t="str">
        <f>AÑO!A13</f>
        <v>Gubernamental</v>
      </c>
      <c r="J50" s="423" t="s">
        <v>433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39" t="str">
        <f>'03'!G307</f>
        <v>22/03 Chirec</v>
      </c>
      <c r="K55" s="42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42" t="str">
        <f>'03'!G309</f>
        <v>26/03 Ginecologa</v>
      </c>
      <c r="K56" s="4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 t="s">
        <v>448</v>
      </c>
      <c r="K57" s="4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7" ht="15" customHeight="1" thickBot="1">
      <c r="B263" s="412"/>
      <c r="C263" s="413"/>
      <c r="D263" s="413"/>
      <c r="E263" s="413"/>
      <c r="F263" s="413"/>
      <c r="G263" s="414"/>
    </row>
    <row r="264" spans="1:7">
      <c r="B264" s="401" t="s">
        <v>8</v>
      </c>
      <c r="C264" s="402"/>
      <c r="D264" s="401" t="s">
        <v>9</v>
      </c>
      <c r="E264" s="409"/>
      <c r="F264" s="409"/>
      <c r="G264" s="4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1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1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1773.93</v>
      </c>
      <c r="L5" s="432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7144.52</v>
      </c>
      <c r="L7" s="41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10005.620000000001</v>
      </c>
      <c r="L8" s="4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514.82000000000005</v>
      </c>
      <c r="L9" s="41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210</f>
        <v>210</v>
      </c>
      <c r="L11" s="4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430</v>
      </c>
      <c r="K30" s="424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362</v>
      </c>
      <c r="K31" s="426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472</v>
      </c>
      <c r="K40" s="424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20" t="str">
        <f>AÑO!A13</f>
        <v>Gubernamental</v>
      </c>
      <c r="J50" s="423" t="s">
        <v>483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20" t="str">
        <f>AÑO!A14</f>
        <v>Mutualite/DKV</v>
      </c>
      <c r="J55" s="423" t="s">
        <v>477</v>
      </c>
      <c r="K55" s="424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1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1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8" ht="15" customHeight="1" thickBot="1">
      <c r="B423" s="406"/>
      <c r="C423" s="407"/>
      <c r="D423" s="407"/>
      <c r="E423" s="407"/>
      <c r="F423" s="407"/>
      <c r="G423" s="408"/>
    </row>
    <row r="424" spans="1:8">
      <c r="B424" s="401" t="s">
        <v>8</v>
      </c>
      <c r="C424" s="402"/>
      <c r="D424" s="401" t="s">
        <v>9</v>
      </c>
      <c r="E424" s="409"/>
      <c r="F424" s="409"/>
      <c r="G424" s="40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M5+2156.93</f>
        <v>1614.1099999999997</v>
      </c>
      <c r="L5" s="432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f>9234.42-58.2</f>
        <v>9176.2199999999993</v>
      </c>
      <c r="L7" s="41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5">
        <v>169.67</v>
      </c>
      <c r="L9" s="41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190</v>
      </c>
      <c r="L11" s="4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626</v>
      </c>
      <c r="K30" s="424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430</v>
      </c>
      <c r="K31" s="426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359</v>
      </c>
      <c r="K35" s="424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160</v>
      </c>
      <c r="K45" s="424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20" t="str">
        <f>AÑO!A13</f>
        <v>Gubernamental</v>
      </c>
      <c r="J50" s="423" t="s">
        <v>639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627</v>
      </c>
      <c r="K60" s="424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9" ht="15" customHeight="1" thickBot="1">
      <c r="B283" s="412"/>
      <c r="C283" s="413"/>
      <c r="D283" s="413"/>
      <c r="E283" s="413"/>
      <c r="F283" s="413"/>
      <c r="G283" s="414"/>
    </row>
    <row r="284" spans="2:9">
      <c r="B284" s="401" t="s">
        <v>8</v>
      </c>
      <c r="C284" s="402"/>
      <c r="D284" s="401" t="s">
        <v>9</v>
      </c>
      <c r="E284" s="409"/>
      <c r="F284" s="409"/>
      <c r="G284" s="40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2939.95</f>
        <v>2939.95</v>
      </c>
      <c r="L5" s="432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8049.26</v>
      </c>
      <c r="L7" s="41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169.67</v>
      </c>
      <c r="L9" s="41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260</v>
      </c>
      <c r="L11" s="4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430</v>
      </c>
      <c r="K30" s="424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626</v>
      </c>
      <c r="K31" s="426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692</v>
      </c>
      <c r="K32" s="4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679</v>
      </c>
      <c r="K40" s="424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 t="s">
        <v>60</v>
      </c>
      <c r="K41" s="426"/>
      <c r="L41" s="229">
        <v>0.02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20" t="str">
        <f>AÑO!A13</f>
        <v>Gubernamental</v>
      </c>
      <c r="J50" s="423" t="s">
        <v>639</v>
      </c>
      <c r="K50" s="424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 t="s">
        <v>693</v>
      </c>
      <c r="K55" s="424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 t="s">
        <v>693</v>
      </c>
      <c r="K56" s="426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 t="s">
        <v>693</v>
      </c>
      <c r="K57" s="4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708</v>
      </c>
      <c r="K60" s="424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A387" workbookViewId="0">
      <selection activeCell="J395" sqref="J39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3508.76</v>
      </c>
      <c r="L5" s="432"/>
      <c r="M5" s="1"/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620.12</v>
      </c>
      <c r="L6" s="416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7490.36</v>
      </c>
      <c r="L7" s="41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163.63</v>
      </c>
      <c r="L9" s="41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20+120</f>
        <v>140</v>
      </c>
      <c r="L11" s="4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830.1400000000001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146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231"/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328</v>
      </c>
      <c r="K30" s="424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749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746</v>
      </c>
      <c r="D48" s="137">
        <v>22.34</v>
      </c>
      <c r="E48" s="138"/>
      <c r="F48" s="138"/>
      <c r="G48" s="16" t="s">
        <v>750</v>
      </c>
      <c r="H48" s="1">
        <f>20*8</f>
        <v>160</v>
      </c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49.31</v>
      </c>
      <c r="E49" s="138"/>
      <c r="F49" s="138"/>
      <c r="G49" s="16" t="s">
        <v>756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763</v>
      </c>
      <c r="H50" s="1"/>
      <c r="I50" s="420" t="str">
        <f>AÑO!A13</f>
        <v>Gubernamental</v>
      </c>
      <c r="J50" s="423" t="s">
        <v>639</v>
      </c>
      <c r="K50" s="424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764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48">
        <v>43692</v>
      </c>
      <c r="K55" s="424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39</v>
      </c>
      <c r="K60" s="4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'07'!A66+(B66-SUM(D66:F78))+B67</f>
        <v>16.530000000000037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755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>
        <f>23+8.15</f>
        <v>31.15</v>
      </c>
      <c r="E67" s="138"/>
      <c r="F67" s="138">
        <v>30</v>
      </c>
      <c r="G67" s="31" t="s">
        <v>754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19.5</v>
      </c>
      <c r="E68" s="138"/>
      <c r="F68" s="138">
        <v>5.5</v>
      </c>
      <c r="G68" s="16" t="s">
        <v>760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761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116.53000000000003</v>
      </c>
      <c r="B80" s="233">
        <f>SUM(B66:B79)</f>
        <v>170</v>
      </c>
      <c r="C80" s="17" t="s">
        <v>53</v>
      </c>
      <c r="D80" s="135">
        <f>SUM(D66:D79)</f>
        <v>127.44999999999999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752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753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95.69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40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57.5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770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>
        <v>23</v>
      </c>
      <c r="E207" s="138"/>
      <c r="F207" s="138"/>
      <c r="G207" s="16" t="s">
        <v>767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-12.119999999999997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747</v>
      </c>
    </row>
    <row r="247" spans="1:7" ht="15" customHeight="1">
      <c r="A247" s="112"/>
      <c r="B247" s="134"/>
      <c r="C247" s="16"/>
      <c r="D247" s="137">
        <v>16.52</v>
      </c>
      <c r="E247" s="138"/>
      <c r="F247" s="138"/>
      <c r="G247" s="16" t="s">
        <v>762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619.00000000000011</v>
      </c>
      <c r="B260" s="135">
        <f>SUM(B246:B259)</f>
        <v>90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1:8" ht="15" customHeight="1" thickBot="1">
      <c r="B283" s="412"/>
      <c r="C283" s="413"/>
      <c r="D283" s="413"/>
      <c r="E283" s="413"/>
      <c r="F283" s="413"/>
      <c r="G283" s="414"/>
    </row>
    <row r="284" spans="1:8">
      <c r="B284" s="401" t="s">
        <v>8</v>
      </c>
      <c r="C284" s="402"/>
      <c r="D284" s="401" t="s">
        <v>9</v>
      </c>
      <c r="E284" s="409"/>
      <c r="F284" s="409"/>
      <c r="G284" s="402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59.649999999999807</v>
      </c>
      <c r="B286" s="133">
        <v>70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771</v>
      </c>
      <c r="D299" s="135"/>
      <c r="E299" s="139"/>
      <c r="F299" s="139"/>
      <c r="G299" s="17"/>
    </row>
    <row r="300" spans="1:8" ht="16.5" thickBot="1">
      <c r="A300" s="112">
        <f>SUM(A286:A299)</f>
        <v>79.649999999999807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1:8" ht="15" customHeight="1" thickBot="1">
      <c r="B303" s="412"/>
      <c r="C303" s="413"/>
      <c r="D303" s="413"/>
      <c r="E303" s="413"/>
      <c r="F303" s="413"/>
      <c r="G303" s="414"/>
    </row>
    <row r="304" spans="1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>
        <v>35.96</v>
      </c>
      <c r="E306" s="138"/>
      <c r="F306" s="138"/>
      <c r="G306" s="16" t="s">
        <v>757</v>
      </c>
    </row>
    <row r="307" spans="2:7">
      <c r="B307" s="134">
        <v>13.15</v>
      </c>
      <c r="C307" s="27" t="s">
        <v>765</v>
      </c>
      <c r="D307" s="137"/>
      <c r="E307" s="138"/>
      <c r="F307" s="138">
        <v>70</v>
      </c>
      <c r="G307" s="16" t="s">
        <v>759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143.15</v>
      </c>
      <c r="C320" s="17" t="s">
        <v>53</v>
      </c>
      <c r="D320" s="135">
        <f>SUM(D306:D319)</f>
        <v>35.96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/>
      <c r="C327" s="16"/>
      <c r="D327" s="137">
        <v>10</v>
      </c>
      <c r="E327" s="138"/>
      <c r="F327" s="138"/>
      <c r="G327" s="16" t="s">
        <v>747</v>
      </c>
    </row>
    <row r="328" spans="2:7">
      <c r="B328" s="134"/>
      <c r="C328" s="16"/>
      <c r="D328" s="137">
        <v>187.13</v>
      </c>
      <c r="E328" s="138"/>
      <c r="F328" s="138"/>
      <c r="G328" s="16" t="s">
        <v>751</v>
      </c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197.13</v>
      </c>
      <c r="E340" s="135">
        <f>SUM(E326:E339)</f>
        <v>94.14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</f>
        <v>29.8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29.8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AÑO!AE17</f>
        <v>971.78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-2941.37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-2941.37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23.43</v>
      </c>
      <c r="E506" s="138"/>
      <c r="F506" s="138"/>
      <c r="G506" s="16" t="s">
        <v>758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2019-08-22T14:07:37Z</dcterms:modified>
</cp:coreProperties>
</file>