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44933DB-A576-4C05-9FF4-40B8DAAF654D}" xr6:coauthVersionLast="41" xr6:coauthVersionMax="41" xr10:uidLastSave="{00000000-0000-0000-0000-000000000000}"/>
  <bookViews>
    <workbookView xWindow="-108" yWindow="12852" windowWidth="22224" windowHeight="13176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8" l="1"/>
  <c r="H257" i="9"/>
  <c r="H257" i="8"/>
  <c r="B258" i="8"/>
  <c r="B49" i="8"/>
  <c r="A257" i="9"/>
  <c r="A256" i="9"/>
  <c r="A246" i="9"/>
  <c r="A129" i="9"/>
  <c r="A127" i="9"/>
  <c r="A126" i="9"/>
  <c r="B308" i="8"/>
  <c r="D308" i="8"/>
  <c r="B8" i="8"/>
  <c r="D207" i="8"/>
  <c r="A140" i="9" l="1"/>
  <c r="L55" i="8"/>
  <c r="D47" i="8" l="1"/>
  <c r="D206" i="8" l="1"/>
  <c r="P32" i="18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9" i="5"/>
  <c r="A129" i="6" s="1"/>
  <c r="A129" i="7" s="1"/>
  <c r="A129" i="8" s="1"/>
  <c r="A126" i="5"/>
  <c r="A126" i="6" s="1"/>
  <c r="A126" i="7" s="1"/>
  <c r="A126" i="8" s="1"/>
  <c r="A140" i="8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B5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8" l="1"/>
  <c r="B22" i="14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6" i="7" l="1"/>
  <c r="A260" i="6"/>
  <c r="A258" i="7"/>
  <c r="A258" i="8" s="1"/>
  <c r="A258" i="9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<sst xmlns="http://schemas.openxmlformats.org/spreadsheetml/2006/main" count="5498" uniqueCount="716">
  <si>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</si>
  <si>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</si>
  <si>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</si>
  <si>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</si>
  <si>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</si>
  <si>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</si>
  <si>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</si>
  <si>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</si>
  <si>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</si>
  <si>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</si>
  <si>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</si>
  <si>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</si>
  <si>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</si>
  <si>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</si>
  <si>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</si>
  <si>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</si>
  <si>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</si>
  <si>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</si>
  <si>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</si>
  <si>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</si>
  <si>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</si>
  <si>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</si>
  <si>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</si>
  <si>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</si>
  <si>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</si>
  <si>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</si>
  <si>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</si>
  <si>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</si>
  <si>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</si>
  <si>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</si>
  <si>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</si>
  <si>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</si>
  <si>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</si>
  <si>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</si>
  <si>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</si>
  <si>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</si>
  <si>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</si>
  <si>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</si>
  <si>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</si>
  <si>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</si>
  <si>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</si>
  <si>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</si>
  <si>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</si>
  <si>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</si>
  <si>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</si>
  <si>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</si>
  <si>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</si>
  <si>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</si>
  <si>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</si>
  <si>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</si>
  <si>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</si>
  <si>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</si>
  <si>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</si>
  <si>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</si>
  <si>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</si>
  <si>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</si>
  <si>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</si>
  <si>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</si>
  <si>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</si>
  <si>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</si>
  <si>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</si>
  <si>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</si>
  <si>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</si>
  <si>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</si>
  <si>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</si>
  <si>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</si>
  <si>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</si>
  <si>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</si>
  <si>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</si>
  <si>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</si>
  <si>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</si>
  <si>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</si>
  <si>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</si>
  <si>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</si>
  <si>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</si>
  <si>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</si>
  <si>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</si>
  <si>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</si>
  <si>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</si>
  <si>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</si>
  <si>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</si>
  <si>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</si>
  <si>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</si>
  <si>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</si>
  <si>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</si>
  <si>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</si>
  <si>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</si>
  <si>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</si>
  <si>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</si>
  <si>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</si>
  <si>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</si>
  <si>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</si>
  <si>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</si>
  <si>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</si>
  <si>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</si>
  <si>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</si>
  <si>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</si>
  <si>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</si>
  <si>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</si>
  <si>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</si>
  <si>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</si>
  <si>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</si>
  <si>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</si>
  <si>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</si>
  <si>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</si>
  <si>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</si>
  <si>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</si>
  <si>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</si>
  <si>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</si>
  <si>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</si>
  <si>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</si>
  <si>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</si>
  <si>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</si>
  <si>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</si>
  <si>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</si>
  <si>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</si>
  <si>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</si>
  <si>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</si>
  <si>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</si>
  <si>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</si>
  <si>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</si>
  <si>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</si>
  <si>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</si>
  <si>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</si>
  <si>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</si>
  <si>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</si>
  <si>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</si>
  <si>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</si>
  <si>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</si>
  <si>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</si>
  <si>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</si>
  <si>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</si>
  <si>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</si>
  <si>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</si>
  <si>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</si>
  <si>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</si>
  <si>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</si>
  <si>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</si>
  <si>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</si>
  <si>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</si>
  <si>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</si>
  <si>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</si>
  <si>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</si>
  <si>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</si>
  <si>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</si>
  <si>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</si>
  <si>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</si>
  <si>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</si>
  <si>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</si>
  <si>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</si>
  <si>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</si>
  <si>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</si>
  <si>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</si>
  <si>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</si>
  <si>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</si>
  <si>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</si>
  <si>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</si>
  <si>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</si>
  <si>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</si>
  <si>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</si>
  <si>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</si>
  <si>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</si>
  <si>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</si>
  <si>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</si>
  <si>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</si>
  <si>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</si>
  <si>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</si>
  <si>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</si>
  <si>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</si>
  <si>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</si>
  <si>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</si>
  <si>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</si>
  <si>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</si>
  <si>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</si>
  <si>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</si>
  <si>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</si>
  <si>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</si>
  <si>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</si>
  <si>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</si>
  <si>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</si>
  <si>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</si>
  <si>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</si>
  <si>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</si>
  <si>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</si>
  <si>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</si>
  <si>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</si>
  <si>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</si>
  <si>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</si>
  <si>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</si>
  <si>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</si>
  <si>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</si>
  <si>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</si>
  <si>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</si>
  <si>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</si>
  <si>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</si>
  <si>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</si>
  <si>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</si>
  <si>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</si>
  <si>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</si>
  <si>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</si>
  <si>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</si>
  <si>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</si>
  <si>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</si>
  <si>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</si>
  <si>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</si>
  <si>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</si>
  <si>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</si>
  <si>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</si>
  <si>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</si>
  <si>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</si>
  <si>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</si>
  <si>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</si>
  <si>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</si>
  <si>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</si>
  <si>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</si>
  <si>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</si>
  <si>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</si>
  <si>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</si>
  <si>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</si>
  <si>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</si>
  <si>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</si>
  <si>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</si>
  <si>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</si>
  <si>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</si>
  <si>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</si>
  <si>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</si>
  <si>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</si>
  <si>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</si>
  <si>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</si>
  <si>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</si>
  <si>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</si>
  <si>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</si>
  <si>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</si>
  <si>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</si>
  <si>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</si>
  <si>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</si>
  <si>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</si>
  <si>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</si>
  <si>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</si>
  <si>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</si>
  <si>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</si>
  <si>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</si>
  <si>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</si>
  <si>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</si>
  <si>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</si>
  <si>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</si>
  <si>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</si>
  <si>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</si>
  <si>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</si>
  <si>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</si>
  <si>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</si>
  <si>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</si>
  <si>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</si>
  <si>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</si>
  <si>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</si>
  <si>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</si>
  <si>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</si>
  <si>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</si>
  <si>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</si>
  <si>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</si>
  <si>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</si>
  <si>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</si>
  <si>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</si>
  <si>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</si>
  <si>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</si>
  <si>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</si>
  <si>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</si>
  <si>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</si>
  <si>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</si>
  <si>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</si>
  <si>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</si>
  <si>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</si>
  <si>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</si>
  <si>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</si>
  <si>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</si>
  <si>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</si>
  <si>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</si>
  <si>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</si>
  <si>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</si>
  <si>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</si>
  <si>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</si>
  <si>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</si>
  <si>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</si>
  <si>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</si>
  <si>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</si>
  <si>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</si>
  <si>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</si>
  <si>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</si>
  <si>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</si>
  <si>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</si>
  <si>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</si>
  <si>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</si>
  <si>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</si>
  <si>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</si>
  <si>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</si>
  <si>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</si>
  <si>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</si>
  <si>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</si>
  <si>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</si>
  <si>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</si>
  <si>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</si>
  <si>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</si>
  <si>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</si>
  <si>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</si>
  <si>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</si>
  <si>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</si>
  <si>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</si>
  <si>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</si>
  <si>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</si>
  <si>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</si>
  <si>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</si>
  <si>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</si>
  <si>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</si>
  <si>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</si>
  <si>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</si>
  <si>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</si>
  <si>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</si>
  <si>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</si>
  <si>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</si>
  <si>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</si>
  <si>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</si>
  <si>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</si>
  <si>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</si>
  <si>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</si>
  <si>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</si>
  <si>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</si>
  <si>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</si>
  <si>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</si>
  <si>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</si>
  <si>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</si>
  <si>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</si>
  <si>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</si>
  <si>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</si>
  <si>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</si>
  <si>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</si>
  <si>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</si>
  <si>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</si>
  <si>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</si>
  <si>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</si>
  <si>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</si>
  <si>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</si>
  <si>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</si>
  <si>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</si>
  <si>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</si>
  <si>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</si>
  <si>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</si>
  <si>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</si>
  <si>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</si>
  <si>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</si>
  <si>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</si>
  <si>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</si>
  <si>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</si>
  <si>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</si>
  <si>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</si>
  <si>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</si>
  <si>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</si>
  <si>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</si>
  <si>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</si>
  <si>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</si>
  <si>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</si>
  <si>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</si>
  <si>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</si>
  <si>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</si>
  <si>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</si>
  <si>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</si>
  <si>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</si>
  <si>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</si>
  <si>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</si>
  <si>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</si>
  <si>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</si>
  <si>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</si>
  <si>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</si>
  <si>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</si>
  <si>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</si>
  <si>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</si>
  <si>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</si>
  <si>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</si>
  <si>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</si>
  <si>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</si>
  <si>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</si>
  <si>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</si>
  <si>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</si>
  <si>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</si>
  <si>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</si>
  <si>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</si>
  <si>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</si>
  <si>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</si>
  <si>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</si>
  <si>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</si>
  <si>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</si>
  <si>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</si>
  <si>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</si>
  <si>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</si>
  <si>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</si>
  <si>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</si>
  <si>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</si>
  <si>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</si>
  <si>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</si>
  <si>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</si>
  <si>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</si>
  <si>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</si>
  <si>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</si>
  <si>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</si>
  <si>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</si>
  <si>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</si>
  <si>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</si>
  <si>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</si>
  <si>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</si>
  <si>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</si>
  <si>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</si>
  <si>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</si>
  <si>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</si>
  <si>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</si>
  <si>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</si>
  <si>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</si>
  <si>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</si>
  <si>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</si>
  <si>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</si>
  <si>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</si>
  <si>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</si>
  <si>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</si>
  <si>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</si>
  <si>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</si>
  <si>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</si>
  <si>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</si>
  <si>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</si>
  <si>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</si>
  <si>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</si>
  <si>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</si>
  <si>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</si>
  <si>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</si>
  <si>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</si>
  <si>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</si>
  <si>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</si>
  <si>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</si>
  <si>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</si>
  <si>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</si>
  <si>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</si>
  <si>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</si>
  <si>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</si>
  <si>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</si>
  <si>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</si>
  <si>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</si>
  <si>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</si>
  <si>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</si>
  <si>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</si>
  <si>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</si>
  <si>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</si>
  <si>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</si>
  <si>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</si>
  <si>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</si>
  <si>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</si>
  <si>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</si>
  <si>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</si>
  <si>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</si>
  <si>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</si>
  <si>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</si>
  <si>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</si>
  <si>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</si>
  <si>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</si>
  <si>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</si>
  <si>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</si>
  <si>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</si>
  <si>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</si>
  <si>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</si>
  <si>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</si>
  <si>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</si>
  <si>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</si>
  <si>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</si>
  <si>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</si>
  <si>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</si>
  <si>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</si>
  <si>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</si>
  <si>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</si>
  <si>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</si>
  <si>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</si>
  <si>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</si>
  <si>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</si>
  <si>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</si>
  <si>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</si>
  <si>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</si>
  <si>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</si>
  <si>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</si>
  <si>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</si>
  <si>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</si>
  <si>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</si>
  <si>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</si>
  <si>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</si>
  <si>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</si>
  <si>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</si>
  <si>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</si>
  <si>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</si>
  <si>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</si>
  <si>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</si>
  <si>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</si>
  <si>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</si>
  <si>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</si>
  <si>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</si>
  <si>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</si>
  <si>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</si>
  <si>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</si>
  <si>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</si>
  <si>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</si>
  <si>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</si>
  <si>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</si>
  <si>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</si>
  <si>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</si>
  <si>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</si>
  <si>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</si>
  <si>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</si>
  <si>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</si>
  <si>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</si>
  <si>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</si>
  <si>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</si>
  <si>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</si>
  <si>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</si>
  <si>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</si>
  <si>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</si>
  <si>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</si>
  <si>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</si>
  <si>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</si>
  <si>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</si>
  <si>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</si>
  <si>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</si>
  <si>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</si>
  <si>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</si>
  <si>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</si>
  <si>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</si>
  <si>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</si>
  <si>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</si>
  <si>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</si>
  <si>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</si>
  <si>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</si>
  <si>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</si>
  <si>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</si>
  <si>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</si>
  <si>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</si>
  <si>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</si>
  <si>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</si>
  <si>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</si>
  <si>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</si>
  <si>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</si>
  <si>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</si>
  <si>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</si>
  <si>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</si>
  <si>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</si>
  <si>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</si>
  <si>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</si>
  <si>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</si>
  <si>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</si>
  <si>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</si>
  <si>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</si>
  <si>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</si>
  <si>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</si>
  <si>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</si>
  <si>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</si>
  <si>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</si>
  <si>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</si>
  <si>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</si>
  <si>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</si>
  <si>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</si>
  <si>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</si>
  <si>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</si>
  <si>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</si>
  <si>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</si>
  <si>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</si>
  <si>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</si>
  <si>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</si>
  <si>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</si>
  <si>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</si>
  <si>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</si>
  <si>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</si>
  <si>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</si>
  <si>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</si>
  <si>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</si>
  <si>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</si>
  <si>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</si>
  <si>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</si>
  <si>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</si>
  <si>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</si>
  <si>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</si>
  <si>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</si>
  <si>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</si>
  <si>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</si>
  <si>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</si>
  <si>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</si>
  <si>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</si>
  <si>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</si>
  <si>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</si>
  <si>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</si>
  <si>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</si>
  <si>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</si>
  <si>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</si>
  <si>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</si>
  <si>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</si>
  <si>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</si>
  <si>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</si>
  <si>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</si>
  <si>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</si>
  <si>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</si>
  <si>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</si>
  <si>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</si>
  <si>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</si>
  <si>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</si>
  <si>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</si>
  <si>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</si>
  <si>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</si>
  <si>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</si>
  <si>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</si>
  <si>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</si>
  <si>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</si>
  <si>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</si>
  <si>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</si>
  <si>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</si>
  <si>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</si>
  <si>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</si>
  <si>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</si>
  <si>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</si>
  <si>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</si>
  <si>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</si>
  <si>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</si>
  <si>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</si>
  <si>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</si>
  <si>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</si>
  <si>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</si>
  <si>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</si>
  <si>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</si>
  <si>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</si>
  <si>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</si>
  <si>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</si>
  <si>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</si>
  <si>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</si>
  <si>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</si>
  <si>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</si>
  <si>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</si>
  <si>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</si>
  <si>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</si>
  <si>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</si>
  <si>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</si>
  <si>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</si>
  <si>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</si>
  <si>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</si>
  <si>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</si>
  <si>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</si>
  <si>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</si>
  <si>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</si>
  <si>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</si>
  <si>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</si>
  <si>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</si>
  <si>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</si>
  <si>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</si>
  <si>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</si>
  <si>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</si>
  <si>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</si>
  <si>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</si>
  <si>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</si>
  <si>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</si>
  <si>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</si>
  <si>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</si>
  <si>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</si>
  <si>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</si>
  <si>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</si>
  <si>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</si>
  <si>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</si>
  <si>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</si>
  <si>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</si>
  <si>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</si>
  <si>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</si>
  <si>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</si>
  <si>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</si>
  <si>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</si>
  <si>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</si>
  <si>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</si>
  <si>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</si>
  <si>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</si>
  <si>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</si>
  <si>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</si>
  <si>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</si>
  <si>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</si>
  <si>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</si>
  <si>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</si>
  <si>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</si>
  <si>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</si>
  <si>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</si>
  <si>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</si>
  <si>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</si>
  <si>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</si>
  <si>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</si>
  <si>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</si>
  <si>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</si>
  <si>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</si>
  <si>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</si>
  <si>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</si>
  <si>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</si>
  <si>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</si>
  <si>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</si>
  <si>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</si>
  <si>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</si>
  <si>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</si>
  <si>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</si>
  <si>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</si>
  <si>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</si>
  <si>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</si>
  <si>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</si>
  <si>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</si>
  <si>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</si>
  <si>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</si>
  <si>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</si>
  <si>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</si>
  <si>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</si>
  <si>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</si>
  <si>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</si>
  <si>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</si>
  <si>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&lt;250</t>
  </si>
  <si>
    <t>PC (hasta 1006.66€)</t>
  </si>
  <si>
    <t>PC (hasta 905.99€)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</si>
</sst>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4" zoomScaleNormal="100" workbookViewId="0">
      <pane xSplit="1" topLeftCell="W1" activePane="topRight" state="frozen"/>
      <selection pane="topRight" activeCell="AD50" sqref="AD5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29282.959999999999</v>
      </c>
      <c r="AF5" s="358"/>
      <c r="AG5" s="358"/>
      <c r="AH5" s="359"/>
      <c r="AI5" s="364">
        <f>'09'!K19</f>
        <v>15101.890000000001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0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0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0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58.191428571428567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0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116.53</v>
      </c>
      <c r="BA14" s="112">
        <f t="shared" ca="1" si="0"/>
        <v>16.647142857142857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1945.1999999999998</v>
      </c>
      <c r="AB17" s="366"/>
      <c r="AC17" s="366"/>
      <c r="AD17" s="367"/>
      <c r="AE17" s="365">
        <f>SUM(AE8:AE16)</f>
        <v>0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33557.39</v>
      </c>
      <c r="BA17" s="112">
        <f ca="1">AZ17/BC$17</f>
        <v>4793.9128571428573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57526.954285714288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42.230000000000004</v>
      </c>
      <c r="AD20" s="145">
        <f t="shared" ref="AD20:AD45" si="8">Z20+AB20-AC20</f>
        <v>823.21999999999991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1367.2199999999998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1911.2199999999998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2455.2199999999998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2999.22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3543.22</v>
      </c>
      <c r="AZ20" s="123">
        <f t="shared" ref="AZ20:AZ27" si="14">E20+I20+M20+Q20+U20+Y20+AC20+AG20+AK20+AO20+AS20+AW20</f>
        <v>3732.5800000000004</v>
      </c>
      <c r="BA20" s="21">
        <f t="shared" ref="BA20:BA45" si="15">AZ20/AZ$46</f>
        <v>0.11499821922180609</v>
      </c>
      <c r="BB20" s="22">
        <f>_xlfn.RANK.EQ(BA20,$BA$20:$BA$45,)</f>
        <v>3</v>
      </c>
      <c r="BC20" s="22">
        <f t="shared" ref="BC20:BC45" ca="1" si="16">AZ20/BC$17</f>
        <v>533.22571428571439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4107.0200000000004</v>
      </c>
      <c r="BF20" s="21">
        <f t="shared" ref="BF20:BF45" ca="1" si="18">BE20/BE$46</f>
        <v>0.12238794495042676</v>
      </c>
      <c r="BG20" s="22">
        <f ca="1">_xlfn.RANK.EQ(BF20,$BF$20:$BF$45,)</f>
        <v>3</v>
      </c>
      <c r="BH20" s="22">
        <f t="shared" ref="BH20:BH45" ca="1" si="19">BE20/BC$17</f>
        <v>586.7171428571429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374.44000000000028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1528.1499999999994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2656.1499999999996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3784.1499999999996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4912.1499999999996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6040.15</v>
      </c>
      <c r="AZ21" s="152">
        <f t="shared" si="14"/>
        <v>8333.7100000000009</v>
      </c>
      <c r="BA21" s="21">
        <f t="shared" si="15"/>
        <v>0.25675586578478093</v>
      </c>
      <c r="BB21" s="22">
        <f t="shared" ref="BB21:BB45" si="20">_xlfn.RANK.EQ(BA21,$BA$20:$BA$45,)</f>
        <v>1</v>
      </c>
      <c r="BC21" s="22">
        <f t="shared" ca="1" si="16"/>
        <v>1190.5300000000002</v>
      </c>
      <c r="BE21" s="224">
        <f t="shared" ca="1" si="17"/>
        <v>8061</v>
      </c>
      <c r="BF21" s="21">
        <f t="shared" ca="1" si="18"/>
        <v>0.24021534451874837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-272.71000000000026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250.37</v>
      </c>
      <c r="AC22" s="155">
        <f>SUM('07'!D60:F60)</f>
        <v>30.549999999999997</v>
      </c>
      <c r="AD22" s="156">
        <f t="shared" si="8"/>
        <v>709.50000000000023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1009.5000000000002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1499.5000000000002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1989.5000000000002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2479.5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2969.5</v>
      </c>
      <c r="AZ22" s="157">
        <f t="shared" si="14"/>
        <v>1940.94</v>
      </c>
      <c r="BA22" s="21">
        <f t="shared" si="15"/>
        <v>5.9799024700441059E-2</v>
      </c>
      <c r="BB22" s="22">
        <f t="shared" si="20"/>
        <v>6</v>
      </c>
      <c r="BC22" s="22">
        <f t="shared" ca="1" si="16"/>
        <v>277.27714285714285</v>
      </c>
      <c r="BE22" s="225">
        <f t="shared" ca="1" si="17"/>
        <v>2404.37</v>
      </c>
      <c r="BF22" s="21">
        <f t="shared" ca="1" si="18"/>
        <v>7.1649493598876443E-2</v>
      </c>
      <c r="BG22" s="22">
        <f t="shared" ca="1" si="21"/>
        <v>6</v>
      </c>
      <c r="BH22" s="22">
        <f t="shared" ca="1" si="19"/>
        <v>343.48142857142858</v>
      </c>
      <c r="BJ22" s="225">
        <f t="shared" ca="1" si="22"/>
        <v>463.43000000000006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52</v>
      </c>
      <c r="AD23" s="151">
        <f t="shared" si="8"/>
        <v>219.68000000000006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389.68000000000006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539.68000000000006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689.68000000000006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839.68000000000006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989.68000000000006</v>
      </c>
      <c r="AZ23" s="152">
        <f t="shared" si="14"/>
        <v>1057.4499999999998</v>
      </c>
      <c r="BA23" s="21">
        <f t="shared" si="15"/>
        <v>3.2579306248251561E-2</v>
      </c>
      <c r="BB23" s="22">
        <f t="shared" si="20"/>
        <v>8</v>
      </c>
      <c r="BC23" s="22">
        <f t="shared" ca="1" si="16"/>
        <v>151.06428571428569</v>
      </c>
      <c r="BE23" s="224">
        <f t="shared" ca="1" si="17"/>
        <v>1235</v>
      </c>
      <c r="BF23" s="21">
        <f t="shared" ca="1" si="18"/>
        <v>3.6802623803579487E-2</v>
      </c>
      <c r="BG23" s="22">
        <f t="shared" ca="1" si="21"/>
        <v>10</v>
      </c>
      <c r="BH23" s="22">
        <f t="shared" ca="1" si="19"/>
        <v>176.42857142857142</v>
      </c>
      <c r="BJ23" s="224">
        <f t="shared" ca="1" si="22"/>
        <v>177.55000000000004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2.7728072088858979E-2</v>
      </c>
      <c r="BB24" s="22">
        <f t="shared" si="20"/>
        <v>10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3.4269649695640822E-2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327.38</v>
      </c>
      <c r="AD25" s="151">
        <f t="shared" si="8"/>
        <v>3090.2399999999975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3535.2399999999975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3940.2399999999975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4345.239999999998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4750.239999999998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5155.239999999998</v>
      </c>
      <c r="AZ25" s="152">
        <f t="shared" si="14"/>
        <v>2355.6600000000003</v>
      </c>
      <c r="BA25" s="21">
        <f t="shared" si="15"/>
        <v>7.2576262288293822E-2</v>
      </c>
      <c r="BB25" s="22">
        <f t="shared" si="20"/>
        <v>5</v>
      </c>
      <c r="BC25" s="22">
        <f t="shared" ca="1" si="16"/>
        <v>336.52285714285716</v>
      </c>
      <c r="BE25" s="224">
        <f t="shared" ca="1" si="17"/>
        <v>2283.35</v>
      </c>
      <c r="BF25" s="21">
        <f t="shared" ca="1" si="18"/>
        <v>6.8043134463079538E-2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-72.310000000000855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7.99</v>
      </c>
      <c r="AD26" s="156">
        <f t="shared" si="8"/>
        <v>65.040000000000006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118.04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166.04000000000002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214.04000000000002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262.04000000000002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310.04000000000002</v>
      </c>
      <c r="AZ26" s="157">
        <f t="shared" si="14"/>
        <v>320.95000000000005</v>
      </c>
      <c r="BA26" s="21">
        <f t="shared" si="15"/>
        <v>9.8882484660043901E-3</v>
      </c>
      <c r="BB26" s="22">
        <f t="shared" si="20"/>
        <v>17</v>
      </c>
      <c r="BC26" s="22">
        <f t="shared" ca="1" si="16"/>
        <v>45.850000000000009</v>
      </c>
      <c r="BE26" s="225">
        <f t="shared" ca="1" si="17"/>
        <v>366.45</v>
      </c>
      <c r="BF26" s="21">
        <f t="shared" ca="1" si="18"/>
        <v>1.0920098374754416E-2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45.500000000000057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9.6867555700153891E-3</v>
      </c>
      <c r="BB27" s="22">
        <f t="shared" si="20"/>
        <v>18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8.6419116623789888E-3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0.10339882160546088</v>
      </c>
      <c r="BB28" s="22">
        <f t="shared" si="20"/>
        <v>4</v>
      </c>
      <c r="BC28" s="22">
        <f t="shared" ca="1" si="16"/>
        <v>479.44142857142862</v>
      </c>
      <c r="BE28" s="223">
        <f t="shared" ca="1" si="17"/>
        <v>3080.04</v>
      </c>
      <c r="BF28" s="21">
        <f t="shared" ca="1" si="18"/>
        <v>9.1784253781357863E-2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-276.04999999999984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47.94</v>
      </c>
      <c r="AD29" s="160">
        <f t="shared" si="8"/>
        <v>67.080000000000069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137.08000000000007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207.08000000000007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277.08000000000004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347.08000000000004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417.08000000000004</v>
      </c>
      <c r="AZ29" s="152">
        <f t="shared" si="23"/>
        <v>360.25</v>
      </c>
      <c r="BA29" s="21">
        <f t="shared" si="15"/>
        <v>1.109905440061717E-2</v>
      </c>
      <c r="BB29" s="22">
        <f t="shared" si="20"/>
        <v>16</v>
      </c>
      <c r="BC29" s="22">
        <f t="shared" ca="1" si="16"/>
        <v>51.464285714285715</v>
      </c>
      <c r="BE29" s="224">
        <f t="shared" ca="1" si="17"/>
        <v>474</v>
      </c>
      <c r="BF29" s="21">
        <f t="shared" ca="1" si="18"/>
        <v>1.412505561368152E-2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113.75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6.3852297696819112E-3</v>
      </c>
      <c r="BB30" s="22">
        <f t="shared" si="20"/>
        <v>19</v>
      </c>
      <c r="BC30" s="22">
        <f t="shared" ca="1" si="16"/>
        <v>29.607142857142858</v>
      </c>
      <c r="BE30" s="225">
        <f t="shared" ca="1" si="17"/>
        <v>285</v>
      </c>
      <c r="BF30" s="21">
        <f t="shared" ca="1" si="18"/>
        <v>8.4929131854414204E-3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77.75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4.2017738769081743E-3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4.171957354251926E-3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149.63</v>
      </c>
      <c r="AC32" s="155">
        <f>SUM('07'!D260:F260)</f>
        <v>349</v>
      </c>
      <c r="AD32" s="161">
        <f t="shared" si="8"/>
        <v>613.91999999999996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713.92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763.92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813.92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863.92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913.92</v>
      </c>
      <c r="AZ32" s="157">
        <f t="shared" si="23"/>
        <v>834.58999999999992</v>
      </c>
      <c r="BA32" s="21">
        <f t="shared" si="15"/>
        <v>2.5713143128969003E-2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1462.7600000000002</v>
      </c>
      <c r="BF32" s="21">
        <f t="shared" ca="1" si="18"/>
        <v>4.3589802425039625E-2</v>
      </c>
      <c r="BG32" s="22">
        <f t="shared" ca="1" si="21"/>
        <v>8</v>
      </c>
      <c r="BH32" s="22">
        <f t="shared" ca="1" si="19"/>
        <v>208.96571428571431</v>
      </c>
      <c r="BJ32" s="225">
        <f t="shared" ca="1" si="22"/>
        <v>628.16999999999996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0.13543311113658013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0.1302824802524869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151.31</v>
      </c>
      <c r="AD34" s="161">
        <f t="shared" si="8"/>
        <v>21.599999999999795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111.5999999999998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201.5999999999998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291.5999999999998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381.5999999999998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471.5999999999998</v>
      </c>
      <c r="AZ34" s="152">
        <f t="shared" si="23"/>
        <v>1134.4100000000001</v>
      </c>
      <c r="BA34" s="21">
        <f t="shared" si="15"/>
        <v>3.4950390846923321E-2</v>
      </c>
      <c r="BB34" s="22">
        <f t="shared" si="20"/>
        <v>7</v>
      </c>
      <c r="BC34" s="22">
        <f t="shared" ca="1" si="16"/>
        <v>162.05857142857144</v>
      </c>
      <c r="BE34" s="225">
        <f t="shared" ca="1" si="17"/>
        <v>1054.4099999999999</v>
      </c>
      <c r="BF34" s="21">
        <f t="shared" ca="1" si="18"/>
        <v>3.1421096813548377E-2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-80.000000000000114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2019.0100000000004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2134.0100000000002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2249.0100000000002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2364.0100000000002</v>
      </c>
      <c r="AZ35" s="188">
        <f t="shared" si="23"/>
        <v>967.6</v>
      </c>
      <c r="BA35" s="21">
        <f t="shared" si="15"/>
        <v>2.9811089626751351E-2</v>
      </c>
      <c r="BB35" s="22">
        <f t="shared" si="20"/>
        <v>9</v>
      </c>
      <c r="BC35" s="22">
        <f t="shared" ca="1" si="16"/>
        <v>138.22857142857143</v>
      </c>
      <c r="BE35" s="224">
        <f t="shared" ca="1" si="17"/>
        <v>1252.01</v>
      </c>
      <c r="BF35" s="21">
        <f t="shared" ca="1" si="18"/>
        <v>3.7309516622121099E-2</v>
      </c>
      <c r="BG35" s="22">
        <f t="shared" ca="1" si="21"/>
        <v>9</v>
      </c>
      <c r="BH35" s="22">
        <f t="shared" ca="1" si="19"/>
        <v>178.85857142857142</v>
      </c>
      <c r="BJ35" s="224">
        <f t="shared" ca="1" si="22"/>
        <v>284.41000000000008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1.6824656815081277E-2</v>
      </c>
      <c r="BB36" s="22">
        <f t="shared" si="20"/>
        <v>12</v>
      </c>
      <c r="BC36" s="22">
        <f t="shared" ca="1" si="16"/>
        <v>78.012857142857129</v>
      </c>
      <c r="BE36" s="223">
        <f t="shared" ca="1" si="17"/>
        <v>840.02</v>
      </c>
      <c r="BF36" s="21">
        <f t="shared" ca="1" si="18"/>
        <v>2.5032340119419304E-2</v>
      </c>
      <c r="BG36" s="22">
        <f t="shared" ca="1" si="21"/>
        <v>13</v>
      </c>
      <c r="BH36" s="22">
        <f t="shared" ca="1" si="19"/>
        <v>120.00285714285714</v>
      </c>
      <c r="BJ36" s="223">
        <f t="shared" ca="1" si="22"/>
        <v>293.93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1.1327043304335607E-2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1.1025887293380089E-2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22.6</v>
      </c>
      <c r="AD38" s="156">
        <f t="shared" si="8"/>
        <v>89.030000000000058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159.03000000000006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229.03000000000006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299.03000000000009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369.03000000000009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439.03000000000009</v>
      </c>
      <c r="AZ38" s="157">
        <f t="shared" si="23"/>
        <v>470.17000000000007</v>
      </c>
      <c r="BA38" s="21">
        <f t="shared" si="15"/>
        <v>1.4485613900175366E-2</v>
      </c>
      <c r="BB38" s="22">
        <f t="shared" si="20"/>
        <v>14</v>
      </c>
      <c r="BC38" s="22">
        <f t="shared" ca="1" si="16"/>
        <v>67.167142857142863</v>
      </c>
      <c r="BE38" s="225">
        <f t="shared" ca="1" si="17"/>
        <v>520</v>
      </c>
      <c r="BF38" s="21">
        <f t="shared" ca="1" si="18"/>
        <v>1.5495841601507153E-2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49.830000000000027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-3.3785106648639845E-2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51.02</v>
      </c>
      <c r="AC40" s="166">
        <f>SUM('07'!D420:F420)</f>
        <v>3.06</v>
      </c>
      <c r="AD40" s="156">
        <f t="shared" si="8"/>
        <v>130.94000000000059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180.94000000000059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200.94000000000059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220.94000000000059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240.94000000000059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260.94000000000062</v>
      </c>
      <c r="AZ40" s="157">
        <f t="shared" si="23"/>
        <v>161.12</v>
      </c>
      <c r="BA40" s="21">
        <f t="shared" si="15"/>
        <v>4.9639962387992747E-3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-512.45000000000005</v>
      </c>
      <c r="BF40" s="21">
        <f t="shared" ca="1" si="18"/>
        <v>-1.5270853901331425E-2</v>
      </c>
      <c r="BG40" s="22">
        <f t="shared" ca="1" si="21"/>
        <v>24</v>
      </c>
      <c r="BH40" s="22">
        <f t="shared" ca="1" si="19"/>
        <v>-73.20714285714287</v>
      </c>
      <c r="BJ40" s="225">
        <f t="shared" ca="1" si="22"/>
        <v>-673.56999999999982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-2220.9500000000007</v>
      </c>
      <c r="AC41" s="165">
        <f>SUM('07'!D440:F440)</f>
        <v>0</v>
      </c>
      <c r="AD41" s="151">
        <f t="shared" si="8"/>
        <v>5779.34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1879.3400000000001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-2020.6599999999999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-5920.66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-9820.66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-13720.66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-2770.659999999998</v>
      </c>
      <c r="BF41" s="21">
        <f t="shared" ca="1" si="18"/>
        <v>-8.256482402236881E-2</v>
      </c>
      <c r="BG41" s="22">
        <f t="shared" ca="1" si="21"/>
        <v>26</v>
      </c>
      <c r="BH41" s="22">
        <f t="shared" ca="1" si="19"/>
        <v>-395.80857142857116</v>
      </c>
      <c r="BJ41" s="224">
        <f t="shared" ca="1" si="22"/>
        <v>-2770.659999999998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0.12057671946477366</v>
      </c>
      <c r="BG42" s="22">
        <f t="shared" ca="1" si="21"/>
        <v>4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1.5404655656651174E-2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5.3827189778466109E-3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1.9896653246130654E-3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1945.1999999999998</v>
      </c>
      <c r="AC46" s="219">
        <f>SUM(AC20:AC45)</f>
        <v>3744.95</v>
      </c>
      <c r="AD46" s="220">
        <f>SUM(AD20:AD45)</f>
        <v>27483.21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27483.210000000003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27483.210000000003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27483.209999999995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27483.209999999995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27483.209999999995</v>
      </c>
      <c r="AZ46" s="227">
        <f>SUM(AZ20:AZ45)</f>
        <v>32457.720000000005</v>
      </c>
      <c r="BA46" s="1"/>
      <c r="BB46" s="1"/>
      <c r="BC46" s="124">
        <f ca="1">SUM(BC20:BC45)</f>
        <v>4636.8171428571432</v>
      </c>
      <c r="BE46" s="227">
        <f ca="1">SUM(BE20:BE45)</f>
        <v>33557.389999999992</v>
      </c>
      <c r="BF46" s="1"/>
      <c r="BG46" s="1"/>
      <c r="BH46" s="124">
        <f ca="1">SUM(BH20:BH45)</f>
        <v>4793.91285714286</v>
      </c>
      <c r="BJ46" s="227">
        <f ca="1">SUM(BJ20:BJ45)</f>
        <v>1099.6700000000028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-1799.75</v>
      </c>
      <c r="AD47" s="125"/>
      <c r="AE47" s="125">
        <f>AE5-AD46</f>
        <v>1799.75</v>
      </c>
      <c r="AF47" s="125">
        <f>AE17-AF46</f>
        <v>0</v>
      </c>
      <c r="AG47" s="125">
        <f>AE17-AG46</f>
        <v>0</v>
      </c>
      <c r="AH47" s="125"/>
      <c r="AI47" s="125">
        <f>AI5-AH46</f>
        <v>-12381.320000000002</v>
      </c>
      <c r="AJ47" s="125">
        <f>AI17-AJ46</f>
        <v>0</v>
      </c>
      <c r="AK47" s="125">
        <f>AI17-AK46</f>
        <v>0</v>
      </c>
      <c r="AL47" s="125"/>
      <c r="AM47" s="125">
        <f>AM5-AL46</f>
        <v>-12381.320000000002</v>
      </c>
      <c r="AN47" s="125">
        <f>AM17-AN46</f>
        <v>0</v>
      </c>
      <c r="AO47" s="125">
        <f>AM17-AO46</f>
        <v>0</v>
      </c>
      <c r="AP47" s="125"/>
      <c r="AQ47" s="125">
        <f>AQ5-AP46</f>
        <v>-12381.319999999994</v>
      </c>
      <c r="AR47" s="125">
        <f>AQ17-AR46</f>
        <v>0</v>
      </c>
      <c r="AS47" s="125">
        <f>AQ17-AS46</f>
        <v>0</v>
      </c>
      <c r="AT47" s="140"/>
      <c r="AU47" s="125">
        <f>AU5-AT46</f>
        <v>-12381.319999999994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55641.805714285714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30.549999999999997</v>
      </c>
      <c r="AD50" s="119" t="s">
        <v>713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477</v>
      </c>
      <c r="AC54" s="388"/>
      <c r="AD54" s="239">
        <v>15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/>
      <c r="AB55" s="378"/>
      <c r="AC55" s="379"/>
      <c r="AD55" s="100"/>
      <c r="AE55" s="96"/>
      <c r="AF55" s="395"/>
      <c r="AG55" s="396"/>
      <c r="AH55" s="100"/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390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386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390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566</v>
      </c>
      <c r="U70" s="379"/>
      <c r="V70" s="100">
        <v>3742.92</v>
      </c>
      <c r="W70" s="96"/>
      <c r="X70" s="378" t="s">
        <v>564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567</v>
      </c>
      <c r="U71" s="394"/>
      <c r="V71" s="101">
        <v>1872.17</v>
      </c>
      <c r="W71" s="97"/>
      <c r="X71" s="393" t="s">
        <v>565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'08'!A11+(B11-SUM(D11:F11))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1923.2199999999998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'08'!A27+(B27-SUM(D27:F27))</f>
        <v>394.03999999999996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2656.1500000000005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1242.06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'09'!A11+(B11-SUM(D11:F11))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2467.2199999999998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'09'!A27+(B27-SUM(D27:F27))</f>
        <v>564.04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3784.1500000000005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1621.53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'10'!A11+(B11-SUM(D11:F11))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3011.22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'10'!A27+(B27-SUM(D27:F27))</f>
        <v>734.04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4912.1499999999996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284.02000000000004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'11'!A11+(B11-SUM(D11:F11))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3555.22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'11'!A27+(B27-SUM(D27:F27))</f>
        <v>904.04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6040.15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355.02000000000004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2380.4700000000003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14" sqref="B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</v>
      </c>
      <c r="C6" s="44" t="s">
        <v>95</v>
      </c>
      <c r="D6" s="43" t="s">
        <v>96</v>
      </c>
      <c r="E6" s="42"/>
      <c r="J6" t="s">
        <v>97</v>
      </c>
      <c r="K6" s="49">
        <f>B4-B15</f>
        <v>129678.16808539932</v>
      </c>
      <c r="L6" s="39">
        <f>B4*(E8/100)</f>
        <v>21.674806666666665</v>
      </c>
      <c r="M6" s="49">
        <f>B13-L6</f>
        <v>370.67191460067761</v>
      </c>
    </row>
    <row r="7" spans="1:13" ht="12.75" customHeight="1">
      <c r="E7" s="42"/>
      <c r="J7" t="s">
        <v>98</v>
      </c>
      <c r="K7" s="49">
        <f>K6-(B13-L7)</f>
        <v>129307.4343921462</v>
      </c>
      <c r="L7" s="39">
        <f>(K6*(E8/100))</f>
        <v>21.613028014233219</v>
      </c>
      <c r="M7" s="49">
        <f>B13-L7</f>
        <v>370.73369325311103</v>
      </c>
    </row>
    <row r="8" spans="1:13" ht="12.75" customHeight="1">
      <c r="B8" s="42"/>
      <c r="D8" t="s">
        <v>183</v>
      </c>
      <c r="E8" s="50">
        <f>(B6+0.5)/12</f>
        <v>1.6666666666666666E-2</v>
      </c>
      <c r="J8" t="s">
        <v>99</v>
      </c>
      <c r="K8" s="49">
        <f>K7-(B13-L8)</f>
        <v>128936.63890994422</v>
      </c>
      <c r="L8" s="39">
        <f>(K7*(E8/100))</f>
        <v>21.551239065357699</v>
      </c>
      <c r="M8" s="49">
        <f>B13-L8</f>
        <v>370.79548220198654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1.0001666666666666</v>
      </c>
      <c r="J9" t="s">
        <v>101</v>
      </c>
      <c r="K9" s="49">
        <f>K8-(B13-L9)</f>
        <v>128565.7816284952</v>
      </c>
      <c r="L9" s="39">
        <f>(K8*(E8/100))</f>
        <v>21.489439818324037</v>
      </c>
      <c r="M9" s="49">
        <f>B13-L9</f>
        <v>370.85728144902021</v>
      </c>
    </row>
    <row r="10" spans="1:13" ht="12.75" customHeight="1">
      <c r="B10" s="42"/>
      <c r="D10" t="s">
        <v>102</v>
      </c>
      <c r="E10" s="50">
        <f>E9^-B5</f>
        <v>0.94475598879314326</v>
      </c>
      <c r="J10" t="s">
        <v>103</v>
      </c>
      <c r="K10" s="49">
        <f>K9-(B13-L10)</f>
        <v>128194.86253749927</v>
      </c>
      <c r="L10" s="39">
        <f>(K9*(E8/100))</f>
        <v>21.427630271415865</v>
      </c>
      <c r="M10" s="49">
        <f>B13-L10</f>
        <v>370.9190909959284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5.524401120685674</v>
      </c>
      <c r="J11" t="s">
        <v>106</v>
      </c>
      <c r="K11" s="51">
        <f>K10-(B13-L11)</f>
        <v>127823.88162665484</v>
      </c>
      <c r="L11" s="39">
        <f>(K10*(E8/100))</f>
        <v>21.365810422916546</v>
      </c>
      <c r="M11" s="49">
        <f>B13-L11</f>
        <v>370.98091084442774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392.34672126734426</v>
      </c>
      <c r="E13" s="42"/>
      <c r="F13" s="44"/>
      <c r="G13" s="53"/>
      <c r="L13" s="54">
        <f>SUM(L6:L11)</f>
        <v>129.12195425891403</v>
      </c>
      <c r="M13" s="54">
        <f>SUM(M6:M11)</f>
        <v>2224.9583733451518</v>
      </c>
    </row>
    <row r="14" spans="1:13" ht="12.75" customHeight="1">
      <c r="A14" t="s">
        <v>108</v>
      </c>
      <c r="B14" s="55">
        <f>B4*(E8/100)</f>
        <v>21.674806666666665</v>
      </c>
      <c r="E14" s="42"/>
    </row>
    <row r="15" spans="1:13" ht="12.75" customHeight="1">
      <c r="A15" t="s">
        <v>109</v>
      </c>
      <c r="B15" s="55">
        <f>B13-B14</f>
        <v>370.67191460067761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392.34828126734425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2224.9583733451518</v>
      </c>
      <c r="C22" s="58">
        <f>B22/170000</f>
        <v>1.308799043144207E-2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127823.88162665484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-0.3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2" sqref="G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-3.0000000000000001E-3</v>
      </c>
      <c r="D25" s="73">
        <f>Hipoteca!B$13</f>
        <v>392.34672126734426</v>
      </c>
      <c r="E25" s="72">
        <f t="shared" ref="E25" si="10">D25-D24</f>
        <v>-10.73327873265572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8.386143892339543E-3</v>
      </c>
      <c r="D83" s="85">
        <f>AVERAGE(D2:D82)</f>
        <v>492.36885682772771</v>
      </c>
      <c r="E83" s="86">
        <f>AVERAGE(E3:E82)</f>
        <v>-19.813186031854599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K1" workbookViewId="0">
      <selection activeCell="Q35" sqref="Q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1456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43665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60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43665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511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43665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3.8969201759899437E-2</v>
      </c>
      <c r="X13" s="119">
        <f ca="1">W13*E13</f>
        <v>156.62770263984916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3.4569453174104335E-2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8.7994971715901951E-3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0.54619736015084852</v>
      </c>
      <c r="X19" s="119">
        <f t="shared" ca="1" si="2"/>
        <v>2416.0493591954751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0.39723444374607164</v>
      </c>
      <c r="X20" s="119">
        <f t="shared" ca="1" si="2"/>
        <v>238.57900691389062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0.18101822752985544</v>
      </c>
      <c r="X25" s="119">
        <f t="shared" ca="1" si="2"/>
        <v>110.05242557385291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511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43665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t="shared" ca="1" si="0"/>
        <v>0.32118164676304212</v>
      </c>
      <c r="X28" s="119">
        <f t="shared" ca="1" si="2"/>
        <v>1653.4729488874923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1.3827781269641735E-2</v>
      </c>
      <c r="X33" s="119">
        <f t="shared" ca="1" si="2"/>
        <v>57.096653928346946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60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43665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3.7712130735386547E-2</v>
      </c>
      <c r="X35" s="119">
        <f t="shared" ca="1" si="2"/>
        <v>154.19535612822125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2513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1.5795097423004398</v>
      </c>
      <c r="X42" s="328">
        <f ca="1">SUM(X13:X41)</f>
        <v>4786.0734532671295</v>
      </c>
      <c r="Y42" s="329">
        <f ca="1">P42/X42</f>
        <v>0.78562793064390846</v>
      </c>
      <c r="Z42" s="329">
        <f ca="1">Y42/(D$43/365)</f>
        <v>0.18023519464803683</v>
      </c>
    </row>
    <row r="43" spans="1:26">
      <c r="C43" s="119" t="s">
        <v>569</v>
      </c>
      <c r="D43" s="46">
        <f ca="1">_xlfn.DAYS(TODAY(),F13)</f>
        <v>1591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380</v>
      </c>
      <c r="K45" s="42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3"/>
      <c r="J51" s="427" t="s">
        <v>418</v>
      </c>
      <c r="K51" s="42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367</v>
      </c>
      <c r="K60" s="42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42" workbookViewId="0">
      <selection activeCell="C257" sqref="C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425</v>
      </c>
      <c r="K40" s="42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445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449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42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363</v>
      </c>
      <c r="K31" s="42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473</v>
      </c>
      <c r="K40" s="42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22" t="str">
        <f>AÑO!A13</f>
        <v>Gubernamental</v>
      </c>
      <c r="J50" s="425" t="s">
        <v>484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22" t="str">
        <f>AÑO!A14</f>
        <v>Mutualite/DKV</v>
      </c>
      <c r="J55" s="425" t="s">
        <v>478</v>
      </c>
      <c r="K55" s="42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42" zoomScaleNormal="100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627</v>
      </c>
      <c r="K30" s="42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628</v>
      </c>
      <c r="K60" s="42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topLeftCell="A443" workbookViewId="0">
      <selection activeCell="G450" sqref="G4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835.22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627</v>
      </c>
      <c r="K31" s="42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693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680</v>
      </c>
      <c r="K40" s="42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60</v>
      </c>
      <c r="K41" s="428"/>
      <c r="L41" s="229">
        <v>0.02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8.1</v>
      </c>
      <c r="E48" s="138"/>
      <c r="F48" s="138"/>
      <c r="G48" s="16" t="s">
        <v>710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-10-4.38-20-15.25</f>
        <v>-49.629999999999995</v>
      </c>
      <c r="C49" s="16" t="s">
        <v>688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694</v>
      </c>
      <c r="K55" s="42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694</v>
      </c>
      <c r="K56" s="42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694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250.37</v>
      </c>
      <c r="C60" s="17" t="s">
        <v>53</v>
      </c>
      <c r="D60" s="135">
        <f>SUM(D46:D59)</f>
        <v>30.549999999999997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709</v>
      </c>
      <c r="K60" s="42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109.68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695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199.68</v>
      </c>
      <c r="B80" s="233">
        <f>SUM(B66:B79)</f>
        <v>170</v>
      </c>
      <c r="C80" s="17" t="s">
        <v>53</v>
      </c>
      <c r="D80" s="135">
        <f>SUM(D66:D79)</f>
        <v>42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47.94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'06'!A257+(B257-SUM(D257:F257))</f>
        <v>656.79000000000008</v>
      </c>
      <c r="B257" s="134">
        <v>25</v>
      </c>
      <c r="C257" s="16" t="s">
        <v>714</v>
      </c>
      <c r="D257" s="137"/>
      <c r="E257" s="138"/>
      <c r="F257" s="138"/>
      <c r="G257" s="16"/>
      <c r="H257" s="89">
        <f>1208-(100.67*2)</f>
        <v>1006.66</v>
      </c>
    </row>
    <row r="258" spans="1:8" ht="15.75">
      <c r="A258" s="112">
        <f>'06'!A258+(B258-SUM(D258:F258))</f>
        <v>-134.37</v>
      </c>
      <c r="B258" s="134">
        <f>25+10+4.38+35.25</f>
        <v>74.63</v>
      </c>
      <c r="C258" s="16" t="s">
        <v>404</v>
      </c>
      <c r="D258" s="137">
        <v>349</v>
      </c>
      <c r="E258" s="138"/>
      <c r="F258" s="138"/>
      <c r="G258" s="16" t="s">
        <v>689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623.92000000000007</v>
      </c>
      <c r="B260" s="135">
        <f>SUM(B246:B259)</f>
        <v>149.63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>
        <v>50</v>
      </c>
      <c r="G287" s="16" t="s">
        <v>700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701</v>
      </c>
    </row>
    <row r="289" spans="2:8">
      <c r="B289" s="134"/>
      <c r="C289" s="16"/>
      <c r="D289" s="137">
        <v>26.31</v>
      </c>
      <c r="E289" s="138"/>
      <c r="F289" s="138"/>
      <c r="G289" s="16" t="s">
        <v>703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0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f>37.49+14.27+14.27</f>
        <v>66.03</v>
      </c>
      <c r="C308" s="27" t="s">
        <v>694</v>
      </c>
      <c r="D308" s="137">
        <f>37.5+37.5</f>
        <v>75</v>
      </c>
      <c r="E308" s="138"/>
      <c r="F308" s="138"/>
      <c r="G308" s="16" t="s">
        <v>711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708</v>
      </c>
    </row>
    <row r="327" spans="2:7">
      <c r="B327" s="134">
        <v>100</v>
      </c>
      <c r="C327" s="16" t="s">
        <v>699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4+4.5+4.5+4</f>
        <v>17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17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51.02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1945.1999999999998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-2220.9500000000007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-2220.9500000000007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41" workbookViewId="0">
      <selection activeCell="G258" sqref="G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1379.2199999999998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1528.1499999999999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'07'!A66+(B66-SUM(D66:F78))+B67</f>
        <v>269.68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369.68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67.5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116.5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'07'!A257+(B257-SUM(D257:F257))</f>
        <v>681.79000000000008</v>
      </c>
      <c r="B257" s="134">
        <v>25</v>
      </c>
      <c r="C257" s="16" t="s">
        <v>715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>
        <f>'07'!A258+(B258-SUM(D258:F258))</f>
        <v>-109.37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723.92000000000007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2019-07-19T15:09:11Z</dcterms:modified>
</cp:coreProperties>
</file>