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435976BF-ED7B-44B3-B089-6EEB9F38049E}" xr6:coauthVersionLast="41" xr6:coauthVersionMax="41" xr10:uidLastSave="{00000000-0000-0000-0000-000000000000}"/>
  <bookViews>
    <workbookView xWindow="-108" yWindow="12852" windowWidth="22164" windowHeight="13176" activeTab="1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9" i="13" l="1"/>
  <c r="A66" i="13"/>
  <c r="A80" i="13" l="1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68" i="13"/>
  <c r="B480" i="13" s="1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3" i="19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<sst xmlns="http://schemas.openxmlformats.org/spreadsheetml/2006/main" count="5862" uniqueCount="936">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</sst>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  <xf numFmtId="49" fontId="4" fillId="0" borderId="29" xfId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49" fontId="4" fillId="0" borderId="29" xfId="1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4" zoomScaleNormal="100" workbookViewId="0">
      <pane xSplit="1" topLeftCell="AK1" activePane="topRight" state="frozen"/>
      <selection pane="topRight" activeCell="AU4" sqref="AU4:AX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2588.0700000000002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30226.359999999997</v>
      </c>
      <c r="BA8" s="112">
        <f t="shared" ref="BA8:BA16" ca="1" si="0">AZ8/BC$17</f>
        <v>2747.8509090909088</v>
      </c>
      <c r="BB8" s="1"/>
      <c r="BC8" s="1"/>
    </row>
    <row r="9" spans="1:55" ht="15.75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6264.2300000000014</v>
      </c>
      <c r="BA9" s="112">
        <f t="shared" ca="1" si="0"/>
        <v>569.47545454545468</v>
      </c>
      <c r="BB9" s="1"/>
      <c r="BC9" s="1"/>
    </row>
    <row r="10" spans="1:55" ht="15.75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75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2212.4300000000003</v>
      </c>
      <c r="BA12" s="112">
        <f t="shared" ca="1" si="0"/>
        <v>201.13000000000002</v>
      </c>
      <c r="BB12" s="1"/>
      <c r="BC12" s="1"/>
    </row>
    <row r="13" spans="1:55" ht="15.75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75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393.02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594.04999999999995</v>
      </c>
      <c r="BA14" s="112">
        <f t="shared" ca="1" si="0"/>
        <v>54.00454545454545</v>
      </c>
      <c r="BB14" s="3"/>
      <c r="BC14" s="3"/>
    </row>
    <row r="15" spans="1:55" ht="15.75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4500.4000000000005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53650.9</v>
      </c>
      <c r="BA17" s="112">
        <f ca="1">AZ17/BC$17</f>
        <v>4877.3545454545456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58528.254545454547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1154.0499999999997</v>
      </c>
      <c r="AU20" s="143" t="s">
        <v>84</v>
      </c>
      <c r="AV20" s="144">
        <f>'12'!B20</f>
        <v>505.18</v>
      </c>
      <c r="AW20" s="144">
        <f>SUM('12'!D20:F20)</f>
        <v>0</v>
      </c>
      <c r="AX20" s="145">
        <f t="shared" ref="AX20:AX45" si="13">AT20+AV20-AW20</f>
        <v>1659.2299999999998</v>
      </c>
      <c r="AZ20" s="123">
        <f t="shared" ref="AZ20:AZ27" si="14">E20+I20+M20+Q20+U20+Y20+AC20+AG20+AK20+AO20+AS20+AW20</f>
        <v>5724.25</v>
      </c>
      <c r="BA20" s="21">
        <f t="shared" ref="BA20:BA45" si="15">AZ20/AZ$46</f>
        <v>0.11924879871040264</v>
      </c>
      <c r="BB20" s="22">
        <f>_xlfn.RANK.EQ(BA20,$BA$20:$BA$45,)</f>
        <v>2</v>
      </c>
      <c r="BC20" s="22">
        <f t="shared" ref="BC20:BC45" ca="1" si="16">AZ20/BC$17</f>
        <v>520.38636363636363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6429.52</v>
      </c>
      <c r="BF20" s="21">
        <f t="shared" ref="BF20:BF45" ca="1" si="18">BE20/BE$46</f>
        <v>0.11983993331013355</v>
      </c>
      <c r="BG20" s="22">
        <f ca="1">_xlfn.RANK.EQ(BF20,$BF$20:$BF$45,)</f>
        <v>2</v>
      </c>
      <c r="BH20" s="22">
        <f t="shared" ref="BH20:BH45" ca="1" si="19">BE20/BC$17</f>
        <v>584.50181818181818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705.2700000000001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1148</v>
      </c>
      <c r="AW21" s="150">
        <f>SUM('12'!D40:F40)</f>
        <v>0</v>
      </c>
      <c r="AX21" s="151">
        <f t="shared" si="13"/>
        <v>1495.3399999999992</v>
      </c>
      <c r="AZ21" s="152">
        <f t="shared" si="14"/>
        <v>12958.52</v>
      </c>
      <c r="BA21" s="21">
        <f t="shared" si="15"/>
        <v>0.26995465660387419</v>
      </c>
      <c r="BB21" s="22">
        <f t="shared" ref="BB21:BB45" si="20">_xlfn.RANK.EQ(BA21,$BA$20:$BA$45,)</f>
        <v>1</v>
      </c>
      <c r="BC21" s="22">
        <f t="shared" ca="1" si="16"/>
        <v>1178.0472727272727</v>
      </c>
      <c r="BE21" s="224">
        <f t="shared" ca="1" si="17"/>
        <v>12653</v>
      </c>
      <c r="BF21" s="21">
        <f t="shared" ca="1" si="18"/>
        <v>0.23583948353424825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-305.52000000000044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242.68</v>
      </c>
      <c r="AT22" s="156">
        <f t="shared" si="12"/>
        <v>535.08999999999992</v>
      </c>
      <c r="AU22" s="143" t="s">
        <v>84</v>
      </c>
      <c r="AV22" s="155">
        <f>'12'!B60</f>
        <v>300</v>
      </c>
      <c r="AW22" s="155">
        <f>SUM('12'!D60:F60)</f>
        <v>0</v>
      </c>
      <c r="AX22" s="156">
        <f t="shared" si="13"/>
        <v>835.08999999999992</v>
      </c>
      <c r="AZ22" s="157">
        <f t="shared" si="14"/>
        <v>3197.2099999999996</v>
      </c>
      <c r="BA22" s="21">
        <f t="shared" si="15"/>
        <v>6.6604961649977965E-2</v>
      </c>
      <c r="BB22" s="22">
        <f t="shared" si="20"/>
        <v>6</v>
      </c>
      <c r="BC22" s="22">
        <f t="shared" ca="1" si="16"/>
        <v>290.65545454545452</v>
      </c>
      <c r="BE22" s="225">
        <f t="shared" ca="1" si="17"/>
        <v>3486.23</v>
      </c>
      <c r="BF22" s="21">
        <f t="shared" ca="1" si="18"/>
        <v>6.4979900630807108E-2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289.01999999999975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126.39999999999999</v>
      </c>
      <c r="AT23" s="151">
        <f t="shared" si="12"/>
        <v>205.15000000000009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390.15000000000009</v>
      </c>
      <c r="AZ23" s="152">
        <f t="shared" si="14"/>
        <v>1931.98</v>
      </c>
      <c r="BA23" s="21">
        <f t="shared" si="15"/>
        <v>4.024742003450648E-2</v>
      </c>
      <c r="BB23" s="22">
        <f t="shared" si="20"/>
        <v>8</v>
      </c>
      <c r="BC23" s="22">
        <f t="shared" ca="1" si="16"/>
        <v>175.63454545454545</v>
      </c>
      <c r="BE23" s="224">
        <f t="shared" ca="1" si="17"/>
        <v>2095</v>
      </c>
      <c r="BF23" s="21">
        <f t="shared" ca="1" si="18"/>
        <v>3.9048740852307758E-2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163.02000000000007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296.25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446.25</v>
      </c>
      <c r="AZ24" s="157">
        <f t="shared" si="14"/>
        <v>1463.7500000000002</v>
      </c>
      <c r="BA24" s="21">
        <f t="shared" si="15"/>
        <v>3.0493152659711212E-2</v>
      </c>
      <c r="BB24" s="22">
        <f t="shared" si="20"/>
        <v>10</v>
      </c>
      <c r="BC24" s="22">
        <f t="shared" ca="1" si="16"/>
        <v>133.06818181818184</v>
      </c>
      <c r="BE24" s="225">
        <f t="shared" ca="1" si="17"/>
        <v>1760</v>
      </c>
      <c r="BF24" s="21">
        <f t="shared" ca="1" si="18"/>
        <v>3.2804670119361175E-2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296.25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327.38</v>
      </c>
      <c r="AT25" s="151">
        <f t="shared" si="12"/>
        <v>4639.5215974244957</v>
      </c>
      <c r="AU25" s="148" t="s">
        <v>84</v>
      </c>
      <c r="AV25" s="149">
        <f>'12'!B120</f>
        <v>457.47</v>
      </c>
      <c r="AW25" s="150">
        <f>SUM('12'!D120:F120)</f>
        <v>0</v>
      </c>
      <c r="AX25" s="151">
        <f t="shared" si="13"/>
        <v>5096.9915974244959</v>
      </c>
      <c r="AZ25" s="152">
        <f t="shared" si="14"/>
        <v>3665.1800000000007</v>
      </c>
      <c r="BA25" s="21">
        <f t="shared" si="15"/>
        <v>7.6353812649236782E-2</v>
      </c>
      <c r="BB25" s="22">
        <f t="shared" si="20"/>
        <v>4</v>
      </c>
      <c r="BC25" s="22">
        <f t="shared" ca="1" si="16"/>
        <v>333.19818181818187</v>
      </c>
      <c r="BE25" s="224">
        <f t="shared" ca="1" si="17"/>
        <v>5142.1515974244985</v>
      </c>
      <c r="BF25" s="21">
        <f t="shared" ca="1" si="18"/>
        <v>9.5844651623441343E-2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1476.9715974244973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17.990000000000002</v>
      </c>
      <c r="AT26" s="156">
        <f t="shared" si="12"/>
        <v>10.079999999999977</v>
      </c>
      <c r="AU26" s="143" t="s">
        <v>84</v>
      </c>
      <c r="AV26" s="155">
        <f>'12'!B140</f>
        <v>53</v>
      </c>
      <c r="AW26" s="155">
        <f>SUM('12'!D140:F140)</f>
        <v>0</v>
      </c>
      <c r="AX26" s="156">
        <f t="shared" si="13"/>
        <v>63.079999999999977</v>
      </c>
      <c r="AZ26" s="157">
        <f t="shared" si="14"/>
        <v>587.91000000000008</v>
      </c>
      <c r="BA26" s="21">
        <f t="shared" si="15"/>
        <v>1.2247466698664947E-2</v>
      </c>
      <c r="BB26" s="22">
        <f t="shared" si="20"/>
        <v>15</v>
      </c>
      <c r="BC26" s="22">
        <f t="shared" ca="1" si="16"/>
        <v>53.446363636363643</v>
      </c>
      <c r="BE26" s="225">
        <f t="shared" ca="1" si="17"/>
        <v>578.45000000000005</v>
      </c>
      <c r="BF26" s="21">
        <f t="shared" ca="1" si="18"/>
        <v>1.0781739449172996E-2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-9.4599999999999724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8.6462019333127492E-3</v>
      </c>
      <c r="BB27" s="22">
        <f t="shared" si="20"/>
        <v>18</v>
      </c>
      <c r="BC27" s="22">
        <f t="shared" ca="1" si="16"/>
        <v>37.730909090909087</v>
      </c>
      <c r="BE27" s="224">
        <f t="shared" ca="1" si="17"/>
        <v>490</v>
      </c>
      <c r="BF27" s="21">
        <f t="shared" ca="1" si="18"/>
        <v>9.1331183855039629E-3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74.960000000000036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7.0831401145521763E-2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7.2320131960185302E-2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12.049999999999983</v>
      </c>
      <c r="AZ29" s="152">
        <f t="shared" si="23"/>
        <v>1021.9399999999999</v>
      </c>
      <c r="BA29" s="21">
        <f t="shared" si="15"/>
        <v>2.1289272368276869E-2</v>
      </c>
      <c r="BB29" s="22">
        <f t="shared" si="20"/>
        <v>13</v>
      </c>
      <c r="BC29" s="22">
        <f t="shared" ca="1" si="16"/>
        <v>92.903636363636352</v>
      </c>
      <c r="BE29" s="224">
        <f t="shared" ca="1" si="17"/>
        <v>1010.6600000000001</v>
      </c>
      <c r="BF29" s="21">
        <f t="shared" ca="1" si="18"/>
        <v>1.8837709035700891E-2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-11.280000000000086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5.5465768714931573E-3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7.9215822731411919E-3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4.5893366564880456E-3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4.1005837649201468E-3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95</v>
      </c>
      <c r="AW32" s="155">
        <f>SUM('12'!D260:F260)</f>
        <v>0</v>
      </c>
      <c r="AX32" s="161">
        <f t="shared" si="13"/>
        <v>587.5799999999997</v>
      </c>
      <c r="AZ32" s="157">
        <f t="shared" si="23"/>
        <v>1825.5000000000002</v>
      </c>
      <c r="BA32" s="21">
        <f t="shared" si="15"/>
        <v>3.8029205930181255E-2</v>
      </c>
      <c r="BB32" s="22">
        <f t="shared" si="20"/>
        <v>9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4.3472338783800933E-2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60</v>
      </c>
      <c r="AW33" s="150">
        <f>SUM('12'!D280:F280)</f>
        <v>0</v>
      </c>
      <c r="AX33" s="160">
        <f t="shared" si="13"/>
        <v>628.09000000000026</v>
      </c>
      <c r="AZ33" s="152">
        <f t="shared" si="23"/>
        <v>4483.8500000000004</v>
      </c>
      <c r="BA33" s="21">
        <f t="shared" si="15"/>
        <v>9.3408520958665142E-2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8.6334808927655576E-2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308.45999999999981</v>
      </c>
      <c r="AZ34" s="152">
        <f t="shared" si="23"/>
        <v>1297.5500000000002</v>
      </c>
      <c r="BA34" s="21">
        <f t="shared" si="15"/>
        <v>2.7030838759083367E-2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2.6363212195185018E-2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523.02</v>
      </c>
      <c r="AS35" s="186">
        <f>SUM('11'!D320:F320)</f>
        <v>469.05</v>
      </c>
      <c r="AT35" s="187">
        <f t="shared" si="12"/>
        <v>1486.5600000000004</v>
      </c>
      <c r="AU35" s="185" t="s">
        <v>84</v>
      </c>
      <c r="AV35" s="186">
        <f>'12'!B320</f>
        <v>130</v>
      </c>
      <c r="AW35" s="186">
        <f>SUM('12'!D320:F320)</f>
        <v>0</v>
      </c>
      <c r="AX35" s="187">
        <f t="shared" si="13"/>
        <v>1616.5600000000004</v>
      </c>
      <c r="AZ35" s="188">
        <f t="shared" si="23"/>
        <v>2252.5700000000002</v>
      </c>
      <c r="BA35" s="21">
        <f t="shared" si="15"/>
        <v>4.6926019393124289E-2</v>
      </c>
      <c r="BB35" s="22">
        <f t="shared" si="20"/>
        <v>7</v>
      </c>
      <c r="BC35" s="22">
        <f t="shared" ca="1" si="16"/>
        <v>204.77909090909091</v>
      </c>
      <c r="BE35" s="224">
        <f t="shared" ca="1" si="17"/>
        <v>2249.5299999999997</v>
      </c>
      <c r="BF35" s="21">
        <f t="shared" ca="1" si="18"/>
        <v>4.192902816682189E-2</v>
      </c>
      <c r="BG35" s="22">
        <f t="shared" ca="1" si="21"/>
        <v>8</v>
      </c>
      <c r="BH35" s="22">
        <f t="shared" ca="1" si="19"/>
        <v>204.50272727272724</v>
      </c>
      <c r="BJ35" s="224">
        <f t="shared" ca="1" si="22"/>
        <v>-3.0399999999999636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2.6550031269152612E-2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3.874995740798199E-2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1.0352568549440467E-2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1.0611192442586542E-2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78.53</v>
      </c>
      <c r="AT38" s="156">
        <f t="shared" si="12"/>
        <v>152.70000000000007</v>
      </c>
      <c r="AU38" s="143" t="s">
        <v>84</v>
      </c>
      <c r="AV38" s="166">
        <f>'12'!B380</f>
        <v>65</v>
      </c>
      <c r="AW38" s="166">
        <f>SUM('12'!D380:F380)</f>
        <v>0</v>
      </c>
      <c r="AX38" s="156">
        <f t="shared" si="13"/>
        <v>217.70000000000007</v>
      </c>
      <c r="AZ38" s="157">
        <f t="shared" si="23"/>
        <v>671.5</v>
      </c>
      <c r="BA38" s="21">
        <f t="shared" si="15"/>
        <v>1.3988831433643774E-2</v>
      </c>
      <c r="BB38" s="22">
        <f t="shared" si="20"/>
        <v>14</v>
      </c>
      <c r="BC38" s="22">
        <f t="shared" ca="1" si="16"/>
        <v>61.045454545454547</v>
      </c>
      <c r="BE38" s="225">
        <f t="shared" ca="1" si="17"/>
        <v>785</v>
      </c>
      <c r="BF38" s="21">
        <f t="shared" ca="1" si="18"/>
        <v>1.4631628433919614E-2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113.50000000000004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15</v>
      </c>
      <c r="AW39" s="165">
        <f>SUM('12'!D400:F400)</f>
        <v>0</v>
      </c>
      <c r="AX39" s="151">
        <f t="shared" si="13"/>
        <v>1489.2807879809902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5.485104643285256E-3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3.5993898661280293E-3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1.5686151405286591E-2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-363.34000000000015</v>
      </c>
      <c r="AS41" s="165">
        <f>SUM('11'!D440:F440)</f>
        <v>0</v>
      </c>
      <c r="AT41" s="151">
        <f t="shared" si="12"/>
        <v>7764.0400000000018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3864.0400000000018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-785.95999999999674</v>
      </c>
      <c r="BF41" s="21">
        <f t="shared" ca="1" si="18"/>
        <v>-1.4649521890348296E-2</v>
      </c>
      <c r="BG41" s="22">
        <f t="shared" ca="1" si="21"/>
        <v>26</v>
      </c>
      <c r="BH41" s="22">
        <f t="shared" ca="1" si="19"/>
        <v>-71.450909090908794</v>
      </c>
      <c r="BJ41" s="224">
        <f t="shared" ca="1" si="22"/>
        <v>-785.9599999999964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3.690525388428166E-5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86.35</v>
      </c>
      <c r="AW43" s="149">
        <f>SUM('12'!D480:F480)</f>
        <v>0</v>
      </c>
      <c r="AX43" s="151">
        <f t="shared" si="13"/>
        <v>1596.8391905564922</v>
      </c>
      <c r="AZ43" s="152">
        <f t="shared" si="23"/>
        <v>500</v>
      </c>
      <c r="BA43" s="21">
        <f t="shared" si="15"/>
        <v>1.0416106800926117E-2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1.9524168948751357E-2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-59.069999999999972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-59.069999999999972</v>
      </c>
      <c r="AZ45" s="177">
        <f t="shared" si="23"/>
        <v>174.99</v>
      </c>
      <c r="BA45" s="21">
        <f t="shared" si="15"/>
        <v>3.6454290581881222E-3</v>
      </c>
      <c r="BB45" s="22">
        <f t="shared" si="20"/>
        <v>21</v>
      </c>
      <c r="BC45" s="22">
        <f t="shared" ca="1" si="16"/>
        <v>15.908181818181818</v>
      </c>
      <c r="BE45" s="226">
        <f t="shared" ca="1" si="17"/>
        <v>20</v>
      </c>
      <c r="BF45" s="21">
        <f t="shared" ca="1" si="18"/>
        <v>3.7278034226546789E-4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-154.99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4500.3999999999996</v>
      </c>
      <c r="AS46" s="219">
        <f>SUM(AS20:AS45)</f>
        <v>2571.9200000000005</v>
      </c>
      <c r="AT46" s="220">
        <f>SUM(AT20:AT45)</f>
        <v>32031.857679999997</v>
      </c>
      <c r="AU46" s="218"/>
      <c r="AV46" s="219">
        <f>SUM(AV20:AV45)</f>
        <v>5.4001247917767614E-13</v>
      </c>
      <c r="AW46" s="219">
        <f>SUM(AW20:AW45)</f>
        <v>0</v>
      </c>
      <c r="AX46" s="220">
        <f>SUM(AX20:AX45)</f>
        <v>32031.857680000001</v>
      </c>
      <c r="AZ46" s="227">
        <f>SUM(AZ20:AZ45)</f>
        <v>48002.58</v>
      </c>
      <c r="BA46" s="1"/>
      <c r="BB46" s="1"/>
      <c r="BC46" s="124">
        <f ca="1">SUM(BC20:BC45)</f>
        <v>4363.8709090909088</v>
      </c>
      <c r="BE46" s="227">
        <f ca="1">SUM(BE20:BE45)</f>
        <v>53650.897680000009</v>
      </c>
      <c r="BF46" s="1"/>
      <c r="BG46" s="1"/>
      <c r="BH46" s="124">
        <f ca="1">SUM(BH20:BH45)</f>
        <v>4877.3543345454555</v>
      </c>
      <c r="BJ46" s="227">
        <f ca="1">SUM(BJ20:BJ45)</f>
        <v>5648.3176800000037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0</v>
      </c>
      <c r="AS47" s="125">
        <f>AQ17-AS46</f>
        <v>1928.48</v>
      </c>
      <c r="AT47" s="140"/>
      <c r="AU47" s="125">
        <f>AU5-AT46</f>
        <v>-1928.4776799999927</v>
      </c>
      <c r="AV47" s="125">
        <f>AU17-AV46</f>
        <v>-5.4001247917767614E-13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52366.450909090905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242.68</v>
      </c>
      <c r="AT50" s="119" t="s">
        <v>913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6" t="s">
        <v>475</v>
      </c>
      <c r="AS54" s="387"/>
      <c r="AT54" s="239">
        <v>7</v>
      </c>
      <c r="AU54" s="95"/>
      <c r="AV54" s="373"/>
      <c r="AW54" s="374"/>
      <c r="AX54" s="100"/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>
        <v>43798</v>
      </c>
      <c r="AR55" s="377" t="s">
        <v>153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>
        <v>43791</v>
      </c>
      <c r="AR56" s="377" t="s">
        <v>933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32</v>
      </c>
      <c r="F73">
        <f>F72*20</f>
        <v>21.799999999999997</v>
      </c>
      <c r="L73" s="119"/>
    </row>
    <row r="74" spans="1:50">
      <c r="A74" t="s">
        <v>253</v>
      </c>
      <c r="C74">
        <v>30</v>
      </c>
      <c r="D74">
        <f>100/C74</f>
        <v>3.3333333333333335</v>
      </c>
    </row>
    <row r="75" spans="1:50">
      <c r="A75" t="s">
        <v>254</v>
      </c>
      <c r="C75">
        <v>12</v>
      </c>
      <c r="D75">
        <f>C75*D74</f>
        <v>40</v>
      </c>
      <c r="Z75" s="111"/>
    </row>
    <row r="76" spans="1:50">
      <c r="D76">
        <f>D75-D73</f>
        <v>8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98" workbookViewId="0">
      <selection activeCell="H113" sqref="H11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75">
      <c r="A6" s="112">
        <f>'10'!A6+(B6-SUM(D6:F6))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1166.05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687</v>
      </c>
      <c r="K31" s="425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 t="s">
        <v>920</v>
      </c>
      <c r="K46" s="425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20"/>
      <c r="J47" s="424" t="s">
        <v>921</v>
      </c>
      <c r="K47" s="425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242.68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131.33000000000004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185.15000000000003</v>
      </c>
      <c r="B80" s="233">
        <f>SUM(B66:B79)</f>
        <v>185</v>
      </c>
      <c r="C80" s="17" t="s">
        <v>53</v>
      </c>
      <c r="D80" s="135">
        <f>SUM(D66:D79)</f>
        <v>126.39999999999999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685.48</v>
      </c>
      <c r="B120" s="135">
        <f>SUM(B106:B119)</f>
        <v>457.47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'10'!A257+(B257-SUM(D257:F257))</f>
        <v>424.11000000000007</v>
      </c>
      <c r="B257" s="134">
        <v>40</v>
      </c>
      <c r="C257" s="16" t="s">
        <v>865</v>
      </c>
      <c r="D257" s="137"/>
      <c r="E257" s="138"/>
      <c r="F257" s="138"/>
      <c r="G257" s="16" t="s">
        <v>404</v>
      </c>
      <c r="H257" s="89">
        <f>1208-(100.67*6)</f>
        <v>603.98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93.02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4500.4000000000005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topLeftCell="A118" workbookViewId="0">
      <selection activeCell="B122" sqref="B122:G1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55" t="str">
        <f>AÑO!A20</f>
        <v>Cártama Gastos</v>
      </c>
      <c r="C2" s="450"/>
      <c r="D2" s="450"/>
      <c r="E2" s="450"/>
      <c r="F2" s="450"/>
      <c r="G2" s="451"/>
      <c r="H2" s="222"/>
      <c r="I2" s="449" t="s">
        <v>4</v>
      </c>
      <c r="J2" s="450"/>
      <c r="K2" s="450"/>
      <c r="L2" s="451"/>
      <c r="M2" s="1"/>
      <c r="N2" s="1"/>
      <c r="R2" s="3"/>
    </row>
    <row r="3" spans="1:22" ht="16.5" thickBot="1">
      <c r="A3" s="1"/>
      <c r="B3" s="452"/>
      <c r="C3" s="453"/>
      <c r="D3" s="453"/>
      <c r="E3" s="453"/>
      <c r="F3" s="453"/>
      <c r="G3" s="454"/>
      <c r="H3" s="1"/>
      <c r="I3" s="452"/>
      <c r="J3" s="453"/>
      <c r="K3" s="453"/>
      <c r="L3" s="454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75">
      <c r="A6" s="112">
        <f>'11'!A6+(B6-SUM(D6:F6))</f>
        <v>784.52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'11'!A12+(B12-SUM(D12:F12))</f>
        <v>263.04000000000002</v>
      </c>
      <c r="B12" s="134">
        <v>0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1671.23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55" t="str">
        <f>AÑO!A21</f>
        <v>Waterloo</v>
      </c>
      <c r="C22" s="450"/>
      <c r="D22" s="450"/>
      <c r="E22" s="450"/>
      <c r="F22" s="450"/>
      <c r="G22" s="451"/>
      <c r="H22" s="1"/>
      <c r="I22" s="449" t="s">
        <v>6</v>
      </c>
      <c r="J22" s="450"/>
      <c r="K22" s="450"/>
      <c r="L22" s="451"/>
      <c r="M22" s="1"/>
      <c r="R22" s="3"/>
    </row>
    <row r="23" spans="1:18" ht="16.149999999999999" customHeight="1" thickBot="1">
      <c r="A23" s="1"/>
      <c r="B23" s="452"/>
      <c r="C23" s="453"/>
      <c r="D23" s="453"/>
      <c r="E23" s="453"/>
      <c r="F23" s="453"/>
      <c r="G23" s="454"/>
      <c r="H23" s="1"/>
      <c r="I23" s="452"/>
      <c r="J23" s="453"/>
      <c r="K23" s="453"/>
      <c r="L23" s="454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1495.34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55" t="str">
        <f>AÑO!A22</f>
        <v>Comida+Limpieza</v>
      </c>
      <c r="C42" s="450"/>
      <c r="D42" s="450"/>
      <c r="E42" s="450"/>
      <c r="F42" s="450"/>
      <c r="G42" s="451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52"/>
      <c r="C43" s="453"/>
      <c r="D43" s="453"/>
      <c r="E43" s="453"/>
      <c r="F43" s="453"/>
      <c r="G43" s="454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55" t="str">
        <f>AÑO!A23</f>
        <v>Ocio</v>
      </c>
      <c r="C62" s="450"/>
      <c r="D62" s="450"/>
      <c r="E62" s="450"/>
      <c r="F62" s="450"/>
      <c r="G62" s="451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52"/>
      <c r="C63" s="453"/>
      <c r="D63" s="453"/>
      <c r="E63" s="453"/>
      <c r="F63" s="453"/>
      <c r="G63" s="454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'11'!A66+(B66-SUM(D66:F78))+B67</f>
        <v>306.33000000000004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370.15000000000003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55" t="str">
        <f>AÑO!A24</f>
        <v>Transportes</v>
      </c>
      <c r="C82" s="450"/>
      <c r="D82" s="450"/>
      <c r="E82" s="450"/>
      <c r="F82" s="450"/>
      <c r="G82" s="451"/>
      <c r="H82" s="1"/>
      <c r="M82" s="1"/>
      <c r="R82" s="3"/>
    </row>
    <row r="83" spans="1:18" ht="16.149999999999999" customHeight="1" thickBot="1">
      <c r="A83" s="1"/>
      <c r="B83" s="452"/>
      <c r="C83" s="453"/>
      <c r="D83" s="453"/>
      <c r="E83" s="453"/>
      <c r="F83" s="453"/>
      <c r="G83" s="454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55" t="str">
        <f>AÑO!A25</f>
        <v>Coche</v>
      </c>
      <c r="C102" s="450"/>
      <c r="D102" s="450"/>
      <c r="E102" s="450"/>
      <c r="F102" s="450"/>
      <c r="G102" s="451"/>
      <c r="H102" s="1"/>
      <c r="M102" s="1"/>
      <c r="R102" s="3"/>
    </row>
    <row r="103" spans="1:18" ht="16.149999999999999" customHeight="1" thickBot="1">
      <c r="A103" s="1"/>
      <c r="B103" s="452"/>
      <c r="C103" s="453"/>
      <c r="D103" s="453"/>
      <c r="E103" s="453"/>
      <c r="F103" s="453"/>
      <c r="G103" s="454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1062.95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160</v>
      </c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 t="s">
        <v>401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408</v>
      </c>
      <c r="D256" s="137"/>
      <c r="E256" s="138"/>
      <c r="F256" s="138"/>
      <c r="G256" s="16"/>
    </row>
    <row r="257" spans="2:8">
      <c r="B257" s="134">
        <v>40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2:8">
      <c r="B258" s="134"/>
      <c r="C258" s="16"/>
      <c r="D258" s="137"/>
      <c r="E258" s="138"/>
      <c r="F258" s="138"/>
      <c r="G258" s="16"/>
    </row>
    <row r="259" spans="2:8" ht="15.75" thickBot="1">
      <c r="B259" s="135"/>
      <c r="C259" s="17"/>
      <c r="D259" s="135"/>
      <c r="E259" s="139"/>
      <c r="F259" s="139"/>
      <c r="G259" s="17"/>
    </row>
    <row r="260" spans="2:8" ht="15.75" thickBot="1"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8" ht="15.75" thickBot="1">
      <c r="B261" s="5"/>
      <c r="C261" s="3"/>
      <c r="D261" s="5"/>
      <c r="E261" s="5"/>
    </row>
    <row r="262" spans="2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8" ht="15" customHeight="1" thickBot="1">
      <c r="B263" s="411"/>
      <c r="C263" s="412"/>
      <c r="D263" s="412"/>
      <c r="E263" s="412"/>
      <c r="F263" s="412"/>
      <c r="G263" s="413"/>
    </row>
    <row r="264" spans="2:8">
      <c r="B264" s="400" t="s">
        <v>8</v>
      </c>
      <c r="C264" s="401"/>
      <c r="D264" s="400" t="s">
        <v>9</v>
      </c>
      <c r="E264" s="408"/>
      <c r="F264" s="408"/>
      <c r="G264" s="401"/>
    </row>
    <row r="265" spans="2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8">
      <c r="B266" s="133">
        <v>50</v>
      </c>
      <c r="C266" s="19"/>
      <c r="D266" s="137"/>
      <c r="E266" s="138"/>
      <c r="F266" s="138"/>
      <c r="G266" s="16"/>
    </row>
    <row r="267" spans="2:8">
      <c r="B267" s="134">
        <v>10</v>
      </c>
      <c r="C267" s="16"/>
      <c r="D267" s="137"/>
      <c r="E267" s="138"/>
      <c r="F267" s="138"/>
      <c r="G267" s="16"/>
    </row>
    <row r="268" spans="2:8">
      <c r="B268" s="134"/>
      <c r="C268" s="16"/>
      <c r="D268" s="137"/>
      <c r="E268" s="138"/>
      <c r="F268" s="138"/>
      <c r="G268" s="16"/>
    </row>
    <row r="269" spans="2:8">
      <c r="B269" s="134"/>
      <c r="C269" s="16"/>
      <c r="D269" s="137"/>
      <c r="E269" s="138"/>
      <c r="F269" s="138"/>
      <c r="G269" s="16"/>
    </row>
    <row r="270" spans="2:8">
      <c r="B270" s="134"/>
      <c r="C270" s="16"/>
      <c r="D270" s="137"/>
      <c r="E270" s="138"/>
      <c r="F270" s="138"/>
      <c r="G270" s="16"/>
    </row>
    <row r="271" spans="2:8">
      <c r="B271" s="134"/>
      <c r="C271" s="16"/>
      <c r="D271" s="137"/>
      <c r="E271" s="138"/>
      <c r="F271" s="138"/>
      <c r="G271" s="16"/>
    </row>
    <row r="272" spans="2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>
        <v>40</v>
      </c>
      <c r="C299" s="17" t="s">
        <v>765</v>
      </c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0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>
        <v>35</v>
      </c>
      <c r="C358" s="16" t="s">
        <v>732</v>
      </c>
      <c r="D358" s="137"/>
      <c r="E358" s="138"/>
      <c r="F358" s="138"/>
      <c r="G358" s="16"/>
    </row>
    <row r="359" spans="2:7" ht="15.75" thickBot="1">
      <c r="B359" s="135">
        <v>10</v>
      </c>
      <c r="C359" s="17" t="s">
        <v>864</v>
      </c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803.43919055649235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243.4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1596.8391905564924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Q26:AT26" display="AÑO!AQ26:AT26" xr:uid="{00000000-0004-0000-0C00-000011000000}"/>
    <hyperlink ref="B142" location="Trimestre!C25:F26" display="HIPOTECA" xr:uid="{00000000-0004-0000-0C00-000012000000}"/>
    <hyperlink ref="B142:G143" location="AÑO!AQ27:AT27" display="AÑO!AQ27:AT27" xr:uid="{00000000-0004-0000-0C00-000013000000}"/>
    <hyperlink ref="B162" location="Trimestre!C25:F26" display="HIPOTECA" xr:uid="{00000000-0004-0000-0C00-000014000000}"/>
    <hyperlink ref="B162:G163" location="AÑO!AQ28:AT28" display="AÑO!AQ28:AT28" xr:uid="{00000000-0004-0000-0C00-000015000000}"/>
    <hyperlink ref="B182" location="Trimestre!C25:F26" display="HIPOTECA" xr:uid="{00000000-0004-0000-0C00-000016000000}"/>
    <hyperlink ref="B182:G183" location="AÑO!AQ29:AT29" display="AÑO!AQ29:AT29" xr:uid="{00000000-0004-0000-0C00-000017000000}"/>
    <hyperlink ref="B202" location="Trimestre!C25:F26" display="HIPOTECA" xr:uid="{00000000-0004-0000-0C00-000018000000}"/>
    <hyperlink ref="B202:G203" location="AÑO!AQ30:AT30" display="AÑO!AQ30:AT30" xr:uid="{00000000-0004-0000-0C00-000019000000}"/>
    <hyperlink ref="B222" location="Trimestre!C25:F26" display="HIPOTECA" xr:uid="{00000000-0004-0000-0C00-00001A000000}"/>
    <hyperlink ref="B222:G223" location="AÑO!AQ31:AT31" display="AÑO!AQ31:AT31" xr:uid="{00000000-0004-0000-0C00-00001B000000}"/>
    <hyperlink ref="B242" location="Trimestre!C25:F26" display="HIPOTECA" xr:uid="{00000000-0004-0000-0C00-00001C000000}"/>
    <hyperlink ref="B242:G243" location="AÑO!AQ32:AT32" display="AÑO!AQ32:AT32" xr:uid="{00000000-0004-0000-0C00-00001D000000}"/>
    <hyperlink ref="B262" location="Trimestre!C25:F26" display="HIPOTECA" xr:uid="{00000000-0004-0000-0C00-00001E000000}"/>
    <hyperlink ref="B262:G263" location="AÑO!AQ33:AT33" display="AÑO!AQ33:AT33" xr:uid="{00000000-0004-0000-0C00-00001F000000}"/>
    <hyperlink ref="B282" location="Trimestre!C25:F26" display="HIPOTECA" xr:uid="{00000000-0004-0000-0C00-000020000000}"/>
    <hyperlink ref="B282:G283" location="AÑO!AQ34:AT34" display="AÑO!AQ34:AT34" xr:uid="{00000000-0004-0000-0C00-000021000000}"/>
    <hyperlink ref="B302" location="Trimestre!C25:F26" display="HIPOTECA" xr:uid="{00000000-0004-0000-0C00-000022000000}"/>
    <hyperlink ref="B302:G303" location="AÑO!AQ35:AT35" display="AÑO!AQ35:AT35" xr:uid="{00000000-0004-0000-0C00-000023000000}"/>
    <hyperlink ref="B322" location="Trimestre!C25:F26" display="HIPOTECA" xr:uid="{00000000-0004-0000-0C00-000024000000}"/>
    <hyperlink ref="B322:G323" location="AÑO!AQ36:AT36" display="AÑO!AQ36:AT36" xr:uid="{00000000-0004-0000-0C00-000025000000}"/>
    <hyperlink ref="B342" location="Trimestre!C25:F26" display="HIPOTECA" xr:uid="{00000000-0004-0000-0C00-000026000000}"/>
    <hyperlink ref="B342:G343" location="AÑO!AQ37:AT37" display="AÑO!AQ37:AT37" xr:uid="{00000000-0004-0000-0C00-000027000000}"/>
    <hyperlink ref="B362" location="Trimestre!C25:F26" display="HIPOTECA" xr:uid="{00000000-0004-0000-0C00-000028000000}"/>
    <hyperlink ref="B362:G363" location="AÑO!AQ38:AT38" display="AÑO!AQ38:AT38" xr:uid="{00000000-0004-0000-0C00-000029000000}"/>
    <hyperlink ref="B382" location="Trimestre!C25:F26" display="HIPOTECA" xr:uid="{00000000-0004-0000-0C00-00002A000000}"/>
    <hyperlink ref="B382:G383" location="AÑO!AQ39:AT39" display="AÑO!AQ39:AT39" xr:uid="{00000000-0004-0000-0C00-00002B000000}"/>
    <hyperlink ref="B402" location="Trimestre!C25:F26" display="HIPOTECA" xr:uid="{00000000-0004-0000-0C00-00002C000000}"/>
    <hyperlink ref="B402:G403" location="AÑO!AQ40:AT40" display="AÑO!AQ40:AT40" xr:uid="{00000000-0004-0000-0C00-00002D000000}"/>
    <hyperlink ref="B422" location="Trimestre!C25:F26" display="HIPOTECA" xr:uid="{00000000-0004-0000-0C00-00002E000000}"/>
    <hyperlink ref="B422:G423" location="AÑO!AQ41:AT41" display="AÑO!AQ41:AT41" xr:uid="{00000000-0004-0000-0C00-00002F000000}"/>
    <hyperlink ref="B442" location="Trimestre!C25:F26" display="HIPOTECA" xr:uid="{00000000-0004-0000-0C00-000030000000}"/>
    <hyperlink ref="B442:G443" location="AÑO!AQ42:AT42" display="AÑO!AQ42:AT42" xr:uid="{00000000-0004-0000-0C00-000031000000}"/>
    <hyperlink ref="B462" location="Trimestre!C25:F26" display="HIPOTECA" xr:uid="{00000000-0004-0000-0C00-000032000000}"/>
    <hyperlink ref="B462:G463" location="AÑO!AQ43:AT43" display="AÑO!AQ43:AT43" xr:uid="{00000000-0004-0000-0C00-000033000000}"/>
    <hyperlink ref="B482" location="Trimestre!C25:F26" display="HIPOTECA" xr:uid="{00000000-0004-0000-0C00-000034000000}"/>
    <hyperlink ref="B482:G483" location="AÑO!AQ44:AT44" display="AÑO!AQ44:AT44" xr:uid="{00000000-0004-0000-0C00-000035000000}"/>
    <hyperlink ref="B502" location="Trimestre!C25:F26" display="HIPOTECA" xr:uid="{00000000-0004-0000-0C00-000036000000}"/>
    <hyperlink ref="B502:G503" location="AÑO!AQ45:AT45" display="AÑO!AQ45:AT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3" workbookViewId="0">
      <selection activeCell="B26" sqref="B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E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1582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43791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186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43791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637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43791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3.6109493302271402E-2</v>
      </c>
      <c r="Y13" s="119">
        <f ca="1">X13*E13</f>
        <v>145.1337652300524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3.2032615026208501E-2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8.1537565521258015E-3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0.50611531741409432</v>
      </c>
      <c r="Y19" s="119">
        <f t="shared" ca="1" si="3"/>
        <v>2238.7504545602796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0.36808386721025044</v>
      </c>
      <c r="Y20" s="119">
        <f t="shared" ca="1" si="3"/>
        <v>221.07117064647642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0.16773442050087362</v>
      </c>
      <c r="Y25" s="119">
        <f t="shared" ca="1" si="3"/>
        <v>101.97635939895166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637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43791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0.37099592312172391</v>
      </c>
      <c r="Y28" s="119">
        <f t="shared" ca="1" si="3"/>
        <v>1909.9214703319742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1.28130460104834E-2</v>
      </c>
      <c r="Y33" s="119">
        <f t="shared" ca="1" si="3"/>
        <v>52.906683983692481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8.6779266161910312E-2</v>
      </c>
      <c r="Y35" s="119">
        <f t="shared" ca="1" si="3"/>
        <v>354.81845203261508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2728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1.5888177052999415</v>
      </c>
      <c r="Y42" s="328">
        <f ca="1">SUM(Y13:Y41)</f>
        <v>5024.5783561840417</v>
      </c>
      <c r="Z42" s="329">
        <f ca="1">P42/Y42</f>
        <v>0.83862748758090178</v>
      </c>
      <c r="AA42" s="329">
        <f ca="1">Z42/(D$43/365)</f>
        <v>0.17827549968959183</v>
      </c>
    </row>
    <row r="43" spans="1:27">
      <c r="C43" s="119" t="s">
        <v>567</v>
      </c>
      <c r="D43" s="46">
        <f ca="1">_xlfn.DAYS(TODAY(),F13)</f>
        <v>1717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D33" sqref="D3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43"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2019-11-22T16:57:58Z</dcterms:modified>
</cp:coreProperties>
</file>