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 activeTab="1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11" l="1"/>
  <c r="I127" i="13"/>
  <c r="I127" i="12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<sst xmlns="http://schemas.openxmlformats.org/spreadsheetml/2006/main" count="5782" uniqueCount="884">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</sst>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opLeftCell="A15" zoomScaleNormal="100" workbookViewId="0">
      <pane xSplit="1" topLeftCell="AI1" activePane="topRight" state="frozen"/>
      <selection pane="topRight" activeCell="AM29" sqref="AM29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13819.86</v>
      </c>
      <c r="AR5" s="388"/>
      <c r="AS5" s="388"/>
      <c r="AT5" s="389"/>
      <c r="AU5" s="387">
        <f>'12'!K19</f>
        <v>15101.890000000001</v>
      </c>
      <c r="AV5" s="388"/>
      <c r="AW5" s="388"/>
      <c r="AX5" s="389"/>
      <c r="AZ5" s="6"/>
      <c r="BA5" s="7"/>
      <c r="BB5" s="1"/>
      <c r="BC5" s="1"/>
    </row>
    <row r="6" spans="1:55" ht="16.8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84" t="s">
        <v>230</v>
      </c>
      <c r="D7" s="385"/>
      <c r="E7" s="385"/>
      <c r="F7" s="386"/>
      <c r="G7" s="384" t="s">
        <v>230</v>
      </c>
      <c r="H7" s="385"/>
      <c r="I7" s="385"/>
      <c r="J7" s="386"/>
      <c r="K7" s="384" t="s">
        <v>230</v>
      </c>
      <c r="L7" s="385"/>
      <c r="M7" s="385"/>
      <c r="N7" s="386"/>
      <c r="O7" s="384" t="s">
        <v>230</v>
      </c>
      <c r="P7" s="385"/>
      <c r="Q7" s="385"/>
      <c r="R7" s="386"/>
      <c r="S7" s="384" t="s">
        <v>230</v>
      </c>
      <c r="T7" s="385"/>
      <c r="U7" s="385"/>
      <c r="V7" s="386"/>
      <c r="W7" s="384" t="s">
        <v>230</v>
      </c>
      <c r="X7" s="385"/>
      <c r="Y7" s="385"/>
      <c r="Z7" s="386"/>
      <c r="AA7" s="384" t="s">
        <v>230</v>
      </c>
      <c r="AB7" s="385"/>
      <c r="AC7" s="385"/>
      <c r="AD7" s="386"/>
      <c r="AE7" s="384" t="s">
        <v>230</v>
      </c>
      <c r="AF7" s="385"/>
      <c r="AG7" s="385"/>
      <c r="AH7" s="386"/>
      <c r="AI7" s="384" t="s">
        <v>230</v>
      </c>
      <c r="AJ7" s="385"/>
      <c r="AK7" s="385"/>
      <c r="AL7" s="386"/>
      <c r="AM7" s="384" t="s">
        <v>230</v>
      </c>
      <c r="AN7" s="385"/>
      <c r="AO7" s="385"/>
      <c r="AP7" s="386"/>
      <c r="AQ7" s="384" t="s">
        <v>230</v>
      </c>
      <c r="AR7" s="385"/>
      <c r="AS7" s="385"/>
      <c r="AT7" s="386"/>
      <c r="AU7" s="384" t="s">
        <v>230</v>
      </c>
      <c r="AV7" s="385"/>
      <c r="AW7" s="385"/>
      <c r="AX7" s="386"/>
      <c r="AZ7" s="9" t="s">
        <v>232</v>
      </c>
      <c r="BA7" s="13" t="s">
        <v>188</v>
      </c>
      <c r="BB7" s="1"/>
      <c r="BC7" s="1"/>
    </row>
    <row r="8" spans="1:55" ht="15.6">
      <c r="A8" s="206" t="s">
        <v>212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0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27638.289999999997</v>
      </c>
      <c r="BA8" s="112">
        <f t="shared" ref="BA8:BA16" ca="1" si="0">AZ8/BC$17</f>
        <v>2763.8289999999997</v>
      </c>
      <c r="BB8" s="1"/>
      <c r="BC8" s="1"/>
    </row>
    <row r="9" spans="1:55" ht="15.6">
      <c r="A9" s="189" t="s">
        <v>213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0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5961.4400000000014</v>
      </c>
      <c r="BA9" s="112">
        <f t="shared" ca="1" si="0"/>
        <v>596.14400000000012</v>
      </c>
      <c r="BB9" s="1"/>
      <c r="BC9" s="1"/>
    </row>
    <row r="10" spans="1:55" ht="15.6">
      <c r="A10" s="190" t="s">
        <v>218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6">
      <c r="A11" s="189" t="s">
        <v>214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0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6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6">
      <c r="A13" s="189" t="s">
        <v>215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0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6">
      <c r="A14" s="190" t="s">
        <v>216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28.54</v>
      </c>
      <c r="AN14" s="395"/>
      <c r="AO14" s="395"/>
      <c r="AP14" s="396"/>
      <c r="AQ14" s="394">
        <f>SUM('11'!L55:'11'!L59)</f>
        <v>0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172.48999999999998</v>
      </c>
      <c r="BA14" s="112">
        <f t="shared" ca="1" si="0"/>
        <v>17.248999999999999</v>
      </c>
      <c r="BB14" s="3"/>
      <c r="BC14" s="3"/>
    </row>
    <row r="15" spans="1:55" ht="15.6">
      <c r="A15" s="189" t="s">
        <v>217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0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2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3944.0499999999997</v>
      </c>
      <c r="AN17" s="375"/>
      <c r="AO17" s="375"/>
      <c r="AP17" s="376"/>
      <c r="AQ17" s="374">
        <f>SUM(AQ8:AQ16)</f>
        <v>0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49121.959999999992</v>
      </c>
      <c r="BA17" s="112">
        <f ca="1">AZ17/BC$17</f>
        <v>4912.195999999999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58946.351999999984</v>
      </c>
      <c r="BB18" s="1"/>
      <c r="BC18" s="1"/>
    </row>
    <row r="19" spans="1:62" ht="16.8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140.12</v>
      </c>
      <c r="AP20" s="145">
        <f t="shared" ref="AP20:AP45" si="11">AL20+AN20-AO20</f>
        <v>982.4799999999999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1487.6599999999999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2031.6599999999999</v>
      </c>
      <c r="AZ20" s="123">
        <f t="shared" ref="AZ20:AZ27" si="14">E20+I20+M20+Q20+U20+Y20+AC20+AG20+AK20+AO20+AS20+AW20</f>
        <v>5292.76</v>
      </c>
      <c r="BA20" s="21">
        <f t="shared" ref="BA20:BA45" si="15">AZ20/AZ$46</f>
        <v>0.11950504199574567</v>
      </c>
      <c r="BB20" s="22">
        <f>_xlfn.RANK.EQ(BA20,$BA$20:$BA$45,)</f>
        <v>2</v>
      </c>
      <c r="BC20" s="22">
        <f t="shared" ref="BC20:BC45" ca="1" si="16">AZ20/BC$17</f>
        <v>529.27600000000007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0.11861212938531236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533.70000000000027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1103.94</v>
      </c>
      <c r="AP21" s="151">
        <f t="shared" si="11"/>
        <v>408.13999999999919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1556.1399999999992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2684.1399999999994</v>
      </c>
      <c r="AZ21" s="152">
        <f t="shared" si="14"/>
        <v>11749.720000000001</v>
      </c>
      <c r="BA21" s="21">
        <f t="shared" si="15"/>
        <v>0.26529651486903866</v>
      </c>
      <c r="BB21" s="22">
        <f t="shared" ref="BB21:BB45" si="20">_xlfn.RANK.EQ(BA21,$BA$20:$BA$45,)</f>
        <v>1</v>
      </c>
      <c r="BC21" s="22">
        <f t="shared" ca="1" si="16"/>
        <v>1174.9720000000002</v>
      </c>
      <c r="BE21" s="224">
        <f t="shared" ca="1" si="17"/>
        <v>11505</v>
      </c>
      <c r="BF21" s="21">
        <f t="shared" ca="1" si="18"/>
        <v>0.2342129781338958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-244.72000000000048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6.6710229016182565E-2</v>
      </c>
      <c r="BB22" s="22">
        <f t="shared" si="20"/>
        <v>6</v>
      </c>
      <c r="BC22" s="22">
        <f t="shared" ca="1" si="16"/>
        <v>295.45299999999997</v>
      </c>
      <c r="BE22" s="225">
        <f t="shared" ca="1" si="17"/>
        <v>3186.23</v>
      </c>
      <c r="BF22" s="21">
        <f t="shared" ca="1" si="18"/>
        <v>6.4863660783968949E-2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231.69999999999982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3.891936171072688E-2</v>
      </c>
      <c r="BB23" s="22">
        <f t="shared" si="20"/>
        <v>8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3.8882815144349499E-2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153.76999999999998</v>
      </c>
      <c r="AP24" s="156">
        <f t="shared" si="11"/>
        <v>202.65999999999997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352.65999999999997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512.66</v>
      </c>
      <c r="AZ24" s="157">
        <f t="shared" si="14"/>
        <v>1407.3400000000001</v>
      </c>
      <c r="BA24" s="21">
        <f t="shared" si="15"/>
        <v>3.1776280391004455E-2</v>
      </c>
      <c r="BB24" s="22">
        <f t="shared" si="20"/>
        <v>10</v>
      </c>
      <c r="BC24" s="22">
        <f t="shared" ca="1" si="16"/>
        <v>140.73400000000001</v>
      </c>
      <c r="BE24" s="225">
        <f t="shared" ca="1" si="17"/>
        <v>1610</v>
      </c>
      <c r="BF24" s="21">
        <f t="shared" ca="1" si="18"/>
        <v>3.2775566692357434E-2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202.65999999999997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7.5364068873971235E-2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9.5368381446488321E-2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45.49</v>
      </c>
      <c r="AP26" s="156">
        <f t="shared" si="11"/>
        <v>40.069999999999972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93.069999999999965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141.06999999999996</v>
      </c>
      <c r="AZ26" s="157">
        <f t="shared" si="14"/>
        <v>504.92000000000007</v>
      </c>
      <c r="BA26" s="21">
        <f t="shared" si="15"/>
        <v>1.1400570931705181E-2</v>
      </c>
      <c r="BB26" s="22">
        <f t="shared" si="20"/>
        <v>15</v>
      </c>
      <c r="BC26" s="22">
        <f t="shared" ca="1" si="16"/>
        <v>50.492000000000004</v>
      </c>
      <c r="BE26" s="225">
        <f t="shared" ca="1" si="17"/>
        <v>525.45000000000005</v>
      </c>
      <c r="BF26" s="21">
        <f t="shared" ca="1" si="18"/>
        <v>1.0696845663664108E-2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20.530000000000022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8.9968143338494122E-3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8.9572977295883666E-3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7.6770512594433696E-2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7.4916395310896292E-2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2.1625680953356145E-2</v>
      </c>
      <c r="BB29" s="22">
        <f t="shared" si="20"/>
        <v>13</v>
      </c>
      <c r="BC29" s="22">
        <f t="shared" ca="1" si="16"/>
        <v>95.777999999999992</v>
      </c>
      <c r="BE29" s="224">
        <f t="shared" ca="1" si="17"/>
        <v>940.66000000000008</v>
      </c>
      <c r="BF29" s="21">
        <f t="shared" ca="1" si="18"/>
        <v>1.914948109616953E-2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-17.12000000000009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5.4810437171659513E-3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7.9394229875896886E-3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4.5004392737611424E-3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4.0714989679947119E-3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71.53</v>
      </c>
      <c r="AP32" s="161">
        <f t="shared" si="11"/>
        <v>498.24999999999977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593.24999999999977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643.24999999999977</v>
      </c>
      <c r="AZ32" s="157">
        <f t="shared" si="23"/>
        <v>1724.8300000000002</v>
      </c>
      <c r="BA32" s="21">
        <f t="shared" si="15"/>
        <v>3.8944875941006589E-2</v>
      </c>
      <c r="BB32" s="22">
        <f t="shared" si="20"/>
        <v>7</v>
      </c>
      <c r="BC32" s="22">
        <f t="shared" ca="1" si="16"/>
        <v>172.483</v>
      </c>
      <c r="BE32" s="225">
        <f t="shared" ca="1" si="17"/>
        <v>2237.33</v>
      </c>
      <c r="BF32" s="21">
        <f t="shared" ca="1" si="18"/>
        <v>4.5546433930318042E-2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512.49999999999977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0.10124069153950382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9.3073244958668727E-2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36.9</v>
      </c>
      <c r="AP34" s="161">
        <f t="shared" si="11"/>
        <v>137.45999999999981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227.45999999999981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317.45999999999981</v>
      </c>
      <c r="AZ34" s="152">
        <f t="shared" si="23"/>
        <v>1288.5500000000002</v>
      </c>
      <c r="BA34" s="21">
        <f t="shared" si="15"/>
        <v>2.9094125156556901E-2</v>
      </c>
      <c r="BB34" s="22">
        <f t="shared" si="20"/>
        <v>11</v>
      </c>
      <c r="BC34" s="22">
        <f t="shared" ca="1" si="16"/>
        <v>128.85500000000002</v>
      </c>
      <c r="BE34" s="225">
        <f t="shared" ca="1" si="17"/>
        <v>1324.4099999999999</v>
      </c>
      <c r="BF34" s="21">
        <f t="shared" ca="1" si="18"/>
        <v>2.6961669741009379E-2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35.8599999999999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158.54</v>
      </c>
      <c r="AO35" s="186">
        <f>SUM('10'!D320:F320)</f>
        <v>295.99</v>
      </c>
      <c r="AP35" s="187">
        <f t="shared" si="11"/>
        <v>1612.8300000000004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1742.8300000000004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1857.8300000000004</v>
      </c>
      <c r="AZ35" s="188">
        <f t="shared" si="23"/>
        <v>1574.74</v>
      </c>
      <c r="BA35" s="21">
        <f t="shared" si="15"/>
        <v>3.5555999106776148E-2</v>
      </c>
      <c r="BB35" s="22">
        <f t="shared" si="20"/>
        <v>9</v>
      </c>
      <c r="BC35" s="22">
        <f t="shared" ca="1" si="16"/>
        <v>157.47399999999999</v>
      </c>
      <c r="BE35" s="224">
        <f t="shared" ca="1" si="17"/>
        <v>1697.97</v>
      </c>
      <c r="BF35" s="21">
        <f t="shared" ca="1" si="18"/>
        <v>3.4566415513429906E-2</v>
      </c>
      <c r="BG35" s="22">
        <f t="shared" ca="1" si="21"/>
        <v>9</v>
      </c>
      <c r="BH35" s="22">
        <f t="shared" ca="1" si="19"/>
        <v>169.797</v>
      </c>
      <c r="BJ35" s="224">
        <f t="shared" ca="1" si="22"/>
        <v>123.23000000000002</v>
      </c>
    </row>
    <row r="36" spans="1:62" ht="15.6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2.8437528858739441E-2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3.1736723730673579E-2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9.7529838666522463E-3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1.0673434544598136E-2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301.23000000000008</v>
      </c>
      <c r="AZ38" s="157">
        <f t="shared" si="23"/>
        <v>592.97</v>
      </c>
      <c r="BA38" s="21">
        <f t="shared" si="15"/>
        <v>1.3388648786685456E-2</v>
      </c>
      <c r="BB38" s="22">
        <f t="shared" si="20"/>
        <v>14</v>
      </c>
      <c r="BC38" s="22">
        <f t="shared" ca="1" si="16"/>
        <v>59.297000000000004</v>
      </c>
      <c r="BE38" s="225">
        <f t="shared" ca="1" si="17"/>
        <v>720</v>
      </c>
      <c r="BF38" s="21">
        <f t="shared" ca="1" si="18"/>
        <v>1.4657396284780962E-2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127.03000000000004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5.6854572002267584E-3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3.8490361378590312E-3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1.5242391374455882E-2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4227.3800000000019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327.38000000000193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-422.61999999999659</v>
      </c>
      <c r="BF41" s="21">
        <f t="shared" ca="1" si="18"/>
        <v>-8.603484469269557E-3</v>
      </c>
      <c r="BG41" s="22">
        <f t="shared" ca="1" si="21"/>
        <v>26</v>
      </c>
      <c r="BH41" s="22">
        <f t="shared" ca="1" si="19"/>
        <v>-42.261999999999659</v>
      </c>
      <c r="BJ41" s="224">
        <f t="shared" ca="1" si="22"/>
        <v>-422.61999999999625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4.0307839783148015E-5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1.1289482424646656E-2</v>
      </c>
      <c r="BB43" s="22">
        <f t="shared" si="20"/>
        <v>16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1.9566386112250159E-2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2.1000695206327708E-3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4.0714989679947121E-4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3944.0476799999997</v>
      </c>
      <c r="AO46" s="219">
        <f>SUM(AO20:AO45)</f>
        <v>2817.03</v>
      </c>
      <c r="AP46" s="220">
        <f>SUM(AP20:AP45)</f>
        <v>31216.487679999998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31216.487679999991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31216.487679999998</v>
      </c>
      <c r="AZ46" s="227">
        <f>SUM(AZ20:AZ45)</f>
        <v>44289.01</v>
      </c>
      <c r="BA46" s="1"/>
      <c r="BB46" s="1"/>
      <c r="BC46" s="124">
        <f ca="1">SUM(BC20:BC45)</f>
        <v>4428.9009999999998</v>
      </c>
      <c r="BE46" s="227">
        <f ca="1">SUM(BE20:BE45)</f>
        <v>49121.957680000021</v>
      </c>
      <c r="BF46" s="1"/>
      <c r="BG46" s="1"/>
      <c r="BH46" s="124">
        <f ca="1">SUM(BH20:BH45)</f>
        <v>4912.1957680000005</v>
      </c>
      <c r="BJ46" s="227">
        <f ca="1">SUM(BJ20:BJ45)</f>
        <v>4832.9476800000029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1127.0199999999995</v>
      </c>
      <c r="AP47" s="125"/>
      <c r="AQ47" s="125">
        <f>AQ5-AP46</f>
        <v>-17396.627679999998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-16114.59767999999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53146.811999999998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69" t="s">
        <v>257</v>
      </c>
      <c r="M54" s="370"/>
      <c r="N54" s="100">
        <v>70</v>
      </c>
      <c r="O54" s="95"/>
      <c r="P54" s="357"/>
      <c r="Q54" s="358"/>
      <c r="R54" s="102"/>
      <c r="S54" s="95">
        <v>43594</v>
      </c>
      <c r="T54" s="369" t="s">
        <v>243</v>
      </c>
      <c r="U54" s="370"/>
      <c r="V54" s="103"/>
      <c r="W54" s="95">
        <v>43624</v>
      </c>
      <c r="X54" s="369" t="s">
        <v>153</v>
      </c>
      <c r="Y54" s="370"/>
      <c r="Z54" s="104">
        <v>10</v>
      </c>
      <c r="AA54" s="95"/>
      <c r="AB54" s="361" t="s">
        <v>476</v>
      </c>
      <c r="AC54" s="362"/>
      <c r="AD54" s="239">
        <v>15</v>
      </c>
      <c r="AE54" s="95"/>
      <c r="AF54" s="361" t="s">
        <v>476</v>
      </c>
      <c r="AG54" s="362"/>
      <c r="AH54" s="239">
        <v>14</v>
      </c>
      <c r="AI54" s="95"/>
      <c r="AJ54" s="361" t="s">
        <v>476</v>
      </c>
      <c r="AK54" s="362"/>
      <c r="AL54" s="239">
        <v>15</v>
      </c>
      <c r="AM54" s="95"/>
      <c r="AN54" s="361" t="s">
        <v>476</v>
      </c>
      <c r="AO54" s="362"/>
      <c r="AP54" s="239">
        <v>14</v>
      </c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235</v>
      </c>
      <c r="AC55" s="343"/>
      <c r="AD55" s="100"/>
      <c r="AE55" s="96">
        <v>43682</v>
      </c>
      <c r="AF55" s="342" t="s">
        <v>323</v>
      </c>
      <c r="AG55" s="343"/>
      <c r="AH55" s="100">
        <v>10</v>
      </c>
      <c r="AI55" s="96">
        <v>43711</v>
      </c>
      <c r="AJ55" s="342" t="s">
        <v>323</v>
      </c>
      <c r="AK55" s="343"/>
      <c r="AL55" s="100" t="s">
        <v>780</v>
      </c>
      <c r="AM55" s="96">
        <v>43740</v>
      </c>
      <c r="AN55" s="363" t="s">
        <v>153</v>
      </c>
      <c r="AO55" s="364"/>
      <c r="AP55" s="100">
        <v>10</v>
      </c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1" t="s">
        <v>235</v>
      </c>
      <c r="Q56" s="362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63" t="s">
        <v>235</v>
      </c>
      <c r="AK56" s="364"/>
      <c r="AL56" s="100"/>
      <c r="AM56" s="96">
        <v>43769</v>
      </c>
      <c r="AN56" s="363" t="s">
        <v>153</v>
      </c>
      <c r="AO56" s="364"/>
      <c r="AP56" s="100" t="s">
        <v>780</v>
      </c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1" t="s">
        <v>389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>
        <v>43733</v>
      </c>
      <c r="AJ57" s="363" t="s">
        <v>151</v>
      </c>
      <c r="AK57" s="364"/>
      <c r="AL57" s="100">
        <v>10</v>
      </c>
      <c r="AM57" s="96">
        <v>43762</v>
      </c>
      <c r="AN57" s="363" t="s">
        <v>151</v>
      </c>
      <c r="AO57" s="364"/>
      <c r="AP57" s="100" t="s">
        <v>780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63" t="s">
        <v>235</v>
      </c>
      <c r="AO58" s="36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385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5" t="s">
        <v>876</v>
      </c>
      <c r="AO59" s="366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1" t="s">
        <v>389</v>
      </c>
      <c r="M60" s="372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565</v>
      </c>
      <c r="U70" s="343"/>
      <c r="V70" s="100">
        <v>3742.92</v>
      </c>
      <c r="W70" s="96"/>
      <c r="X70" s="342" t="s">
        <v>563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566</v>
      </c>
      <c r="U71" s="368"/>
      <c r="V71" s="101">
        <v>1872.17</v>
      </c>
      <c r="W71" s="97"/>
      <c r="X71" s="367" t="s">
        <v>564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800</v>
      </c>
      <c r="K35" s="406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790</v>
      </c>
      <c r="K45" s="406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3"/>
      <c r="J46" s="407" t="s">
        <v>832</v>
      </c>
      <c r="K46" s="408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2" t="str">
        <f>AÑO!A13</f>
        <v>Gubernamental</v>
      </c>
      <c r="J50" s="405" t="s">
        <v>798</v>
      </c>
      <c r="K50" s="406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799</v>
      </c>
      <c r="K60" s="406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268" workbookViewId="0">
      <selection activeCell="D289" sqref="D28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6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2" thickBot="1">
      <c r="A20" s="112">
        <f>SUM(A6:A15)</f>
        <v>994.48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140.12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861</v>
      </c>
      <c r="K32" s="408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328</v>
      </c>
      <c r="K33" s="408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408.13999999999993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864</v>
      </c>
      <c r="K42" s="408"/>
      <c r="L42" s="229">
        <v>52.06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02" t="str">
        <f>AÑO!A13</f>
        <v>Gubernamental</v>
      </c>
      <c r="J50" s="405" t="s">
        <v>798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02" t="str">
        <f>AÑO!A14</f>
        <v>Mutualite/DKV</v>
      </c>
      <c r="J55" s="405" t="s">
        <v>466</v>
      </c>
      <c r="K55" s="406"/>
      <c r="L55" s="231">
        <f>14.27+14.27</f>
        <v>28.54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151.76999999999998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880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881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882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6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508.25000000000011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37.459999999999809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883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137.45999999999981</v>
      </c>
      <c r="B300" s="135">
        <f>SUM(B286:B299)</f>
        <v>90</v>
      </c>
      <c r="C300" s="17" t="s">
        <v>53</v>
      </c>
      <c r="D300" s="135">
        <f>SUM(D286:D299)</f>
        <v>36.9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>
        <v>28.54</v>
      </c>
      <c r="C307" s="27" t="s">
        <v>466</v>
      </c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>
        <v>60</v>
      </c>
      <c r="G312" s="16" t="s">
        <v>877</v>
      </c>
    </row>
    <row r="313" spans="2:7">
      <c r="B313" s="134"/>
      <c r="C313" s="16"/>
      <c r="D313" s="137">
        <v>5.3</v>
      </c>
      <c r="E313" s="138"/>
      <c r="F313" s="138"/>
      <c r="G313" s="16" t="s">
        <v>879</v>
      </c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158.54</v>
      </c>
      <c r="C320" s="17" t="s">
        <v>53</v>
      </c>
      <c r="D320" s="135">
        <f>SUM(D306:D319)</f>
        <v>135.49000000000004</v>
      </c>
      <c r="E320" s="135">
        <f>SUM(E306:E319)</f>
        <v>0</v>
      </c>
      <c r="F320" s="135">
        <f>SUM(F306:F319)</f>
        <v>160.5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3944.0499999999997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v>28.54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7" workbookViewId="0">
      <selection activeCell="I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/>
      <c r="L5" s="424"/>
      <c r="M5" s="1"/>
      <c r="N5" s="1"/>
      <c r="R5" s="3"/>
    </row>
    <row r="6" spans="1:22" ht="15.6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/>
      <c r="L7" s="426"/>
      <c r="M7" s="1"/>
      <c r="N7" s="1"/>
      <c r="R7" s="3"/>
    </row>
    <row r="8" spans="1:22" ht="15.6">
      <c r="A8" s="112">
        <f>'10'!A8+(B8-SUM(D8:F8))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/>
      <c r="L9" s="426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/>
      <c r="L11" s="426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13819.86</v>
      </c>
      <c r="L19" s="441"/>
      <c r="M19" s="1"/>
      <c r="N19" s="1"/>
      <c r="R19" s="3"/>
    </row>
    <row r="20" spans="1:18" ht="16.2" thickBot="1">
      <c r="A20" s="112">
        <f>SUM(A6:A15)</f>
        <v>1499.6599999999999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1556.1399999999999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47.5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80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603.25000000000011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87.459999999999809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227.45999999999981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2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2" workbookViewId="0">
      <selection activeCell="I128" sqref="I128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/>
      <c r="L5" s="424"/>
      <c r="M5" s="1"/>
      <c r="N5" s="1"/>
      <c r="R5" s="3"/>
    </row>
    <row r="6" spans="1:22" ht="15.6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550</v>
      </c>
      <c r="L6" s="426"/>
      <c r="M6" s="1" t="s">
        <v>165</v>
      </c>
      <c r="N6" s="1"/>
      <c r="R6" s="3"/>
    </row>
    <row r="7" spans="1:22" ht="15.6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/>
      <c r="L7" s="426"/>
      <c r="M7" s="1"/>
      <c r="N7" s="1"/>
      <c r="R7" s="3"/>
    </row>
    <row r="8" spans="1:22" ht="15.6">
      <c r="A8" s="112">
        <f>'11'!A8+(B8-SUM(D8:F8))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659.77</v>
      </c>
      <c r="L9" s="426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/>
      <c r="L11" s="426"/>
      <c r="M11" s="1"/>
      <c r="N11" s="1"/>
      <c r="R11" s="3"/>
    </row>
    <row r="12" spans="1:22" ht="15.6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15101.890000000001</v>
      </c>
      <c r="L19" s="432"/>
      <c r="M19" s="1"/>
      <c r="N19" s="1"/>
      <c r="R19" s="3"/>
    </row>
    <row r="20" spans="1:18" ht="16.2" thickBot="1">
      <c r="A20" s="112">
        <f>SUM(A6:A15)</f>
        <v>2043.6599999999999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198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2684.1399999999994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D127+D128+'11'!I127</f>
        <v>150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9" workbookViewId="0">
      <selection activeCell="H65" sqref="H65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2"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J19" workbookViewId="0">
      <selection activeCell="L6" sqref="L6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1554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43763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158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43763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43763</v>
      </c>
      <c r="L5" s="302">
        <v>29.75</v>
      </c>
      <c r="M5" s="264">
        <f>(H5*L5)</f>
        <v>5831</v>
      </c>
      <c r="N5" s="264">
        <f>-(IF((M5*0.0075)&lt;30,30,(M5*0.0075)) + (M5*0.0035))</f>
        <v>-64.141000000000005</v>
      </c>
      <c r="O5" s="272">
        <f>J5+N5</f>
        <v>-120.15388</v>
      </c>
      <c r="P5" s="273">
        <f>M5-E5+N5</f>
        <v>618.76611999999989</v>
      </c>
      <c r="Q5" s="273">
        <f t="shared" ref="Q5:Q9" si="0">M5+N5</f>
        <v>5766.8590000000004</v>
      </c>
      <c r="R5" s="274">
        <f>P5/E5</f>
        <v>0.12019327048349598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3.6708111308466546E-2</v>
      </c>
      <c r="Y13" s="119">
        <f ca="1">X13*E13</f>
        <v>147.53977199526346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3.2563647128478389E-2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8.2889283599763171E-3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0.51450562462995852</v>
      </c>
      <c r="Y19" s="119">
        <f t="shared" ca="1" si="3"/>
        <v>2275.8641388277088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0.37418590882178804</v>
      </c>
      <c r="Y20" s="119">
        <f t="shared" ca="1" si="3"/>
        <v>224.7360568383659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0.17051509769094139</v>
      </c>
      <c r="Y25" s="119">
        <f t="shared" ca="1" si="3"/>
        <v>103.66690887388987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609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43763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-2.5210084033613467E-2</v>
      </c>
      <c r="X28" s="39">
        <f t="shared" ca="1" si="1"/>
        <v>0.36056838365896982</v>
      </c>
      <c r="Y28" s="119">
        <f t="shared" ca="1" si="3"/>
        <v>1856.2395286678509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1.3025458851391355E-2</v>
      </c>
      <c r="Y33" s="119">
        <f t="shared" ca="1" si="3"/>
        <v>53.783763410301944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8.8217880402605087E-2</v>
      </c>
      <c r="Y35" s="119">
        <f t="shared" ca="1" si="3"/>
        <v>360.70058149200707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2700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1.5985790408525753</v>
      </c>
      <c r="Y42" s="328">
        <f ca="1">SUM(Y13:Y41)</f>
        <v>5022.5307501053876</v>
      </c>
      <c r="Z42" s="329">
        <f ca="1">P42/Y42</f>
        <v>0.83043981819573376</v>
      </c>
      <c r="AA42" s="329">
        <f ca="1">Z42/(D$43/365)</f>
        <v>0.17946153560772221</v>
      </c>
    </row>
    <row r="43" spans="1:27">
      <c r="C43" s="119" t="s">
        <v>568</v>
      </c>
      <c r="D43" s="46">
        <f ca="1">_xlfn.DAYS(TODAY(),F13)</f>
        <v>1689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6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29" sqref="F29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22" workbookViewId="0">
      <selection activeCell="I15" sqref="I15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291</v>
      </c>
      <c r="K25" s="406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2" t="str">
        <f>AÑO!A9</f>
        <v>Rocío Salario</v>
      </c>
      <c r="J30" s="405" t="s">
        <v>238</v>
      </c>
      <c r="K30" s="406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256</v>
      </c>
      <c r="K31" s="408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267</v>
      </c>
      <c r="K32" s="408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2" t="s">
        <v>218</v>
      </c>
      <c r="J35" s="405" t="s">
        <v>306</v>
      </c>
      <c r="K35" s="406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239</v>
      </c>
      <c r="K40" s="406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240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269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299</v>
      </c>
      <c r="K45" s="406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1"/>
      <c r="J49" s="412"/>
      <c r="K49" s="413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2" t="str">
        <f>AÑO!A13</f>
        <v>Gubernamental</v>
      </c>
      <c r="J50" s="405" t="s">
        <v>259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1"/>
      <c r="J54" s="412"/>
      <c r="K54" s="413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296</v>
      </c>
      <c r="K65" s="406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3"/>
      <c r="J66" s="407"/>
      <c r="K66" s="408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3"/>
      <c r="J68" s="407"/>
      <c r="K68" s="408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4"/>
      <c r="J69" s="409"/>
      <c r="K69" s="410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6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6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6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6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6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6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6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6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6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6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6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6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6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6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6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6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6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6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314</v>
      </c>
      <c r="K30" s="406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319</v>
      </c>
      <c r="K31" s="408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314</v>
      </c>
      <c r="K33" s="408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315</v>
      </c>
      <c r="K60" s="406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3"/>
      <c r="J66" s="407"/>
      <c r="K66" s="408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3"/>
      <c r="J67" s="407"/>
      <c r="K67" s="408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4"/>
      <c r="J69" s="409"/>
      <c r="K69" s="410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6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238</v>
      </c>
      <c r="K31" s="408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379</v>
      </c>
      <c r="K45" s="406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3"/>
      <c r="J51" s="407" t="s">
        <v>417</v>
      </c>
      <c r="K51" s="408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366</v>
      </c>
      <c r="K60" s="406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444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 t="s">
        <v>461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433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448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6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362</v>
      </c>
      <c r="K31" s="408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472</v>
      </c>
      <c r="K40" s="406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2" t="str">
        <f>AÑO!A13</f>
        <v>Gubernamental</v>
      </c>
      <c r="J50" s="405" t="s">
        <v>483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2" t="str">
        <f>AÑO!A14</f>
        <v>Mutualite/DKV</v>
      </c>
      <c r="J55" s="405" t="s">
        <v>477</v>
      </c>
      <c r="K55" s="406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611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626</v>
      </c>
      <c r="K30" s="406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627</v>
      </c>
      <c r="K60" s="406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6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688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675</v>
      </c>
      <c r="K40" s="406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689</v>
      </c>
      <c r="K55" s="406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689</v>
      </c>
      <c r="K56" s="408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689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704</v>
      </c>
      <c r="K60" s="406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2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397</v>
      </c>
      <c r="K35" s="406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776</v>
      </c>
      <c r="K45" s="406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3"/>
      <c r="J46" s="407" t="s">
        <v>777</v>
      </c>
      <c r="K46" s="408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6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2" t="str">
        <f>AÑO!A13</f>
        <v>Gubernamental</v>
      </c>
      <c r="J50" s="405" t="s">
        <v>639</v>
      </c>
      <c r="K50" s="406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2019-10-25T14:10:50Z</dcterms:modified>
</cp:coreProperties>
</file>