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50DBF39B-7E6D-42A2-A11F-BF6983824E4C}" xr6:coauthVersionLast="36" xr6:coauthVersionMax="36" xr10:uidLastSave="{00000000-0000-0000-0000-000000000000}"/>
  <bookViews>
    <workbookView xWindow="240" yWindow="108" windowWidth="14808" windowHeight="7788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8" i="2" l="1"/>
  <c r="D57" i="2"/>
  <c r="F366" i="2" l="1"/>
  <c r="D56" i="2"/>
  <c r="D55" i="2"/>
  <c r="D54" i="2"/>
  <c r="A426" i="2" l="1"/>
  <c r="B467" i="2"/>
  <c r="A79" i="3" l="1"/>
  <c r="A80" i="3" s="1"/>
  <c r="A80" i="2"/>
  <c r="A79" i="2"/>
  <c r="D53" i="2" l="1"/>
  <c r="D366" i="2"/>
  <c r="D306" i="2"/>
  <c r="F72" i="1"/>
  <c r="F73" i="1" s="1"/>
  <c r="D74" i="1"/>
  <c r="D75" i="1" s="1"/>
  <c r="D76" i="1" s="1"/>
  <c r="A66" i="2" l="1"/>
  <c r="A66" i="3" s="1"/>
  <c r="K11" i="2"/>
  <c r="AZ18" i="1" l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I65" i="5"/>
  <c r="B62" i="5"/>
  <c r="I60" i="5"/>
  <c r="F60" i="5"/>
  <c r="E60" i="5"/>
  <c r="D60" i="5"/>
  <c r="B60" i="5"/>
  <c r="I55" i="5"/>
  <c r="I50" i="5"/>
  <c r="I45" i="5"/>
  <c r="B42" i="5"/>
  <c r="I40" i="5"/>
  <c r="F40" i="5"/>
  <c r="E40" i="5"/>
  <c r="D40" i="5"/>
  <c r="B40" i="5"/>
  <c r="I30" i="5"/>
  <c r="I25" i="5"/>
  <c r="B22" i="5"/>
  <c r="F20" i="5"/>
  <c r="E20" i="5"/>
  <c r="D20" i="5"/>
  <c r="B20" i="5"/>
  <c r="K19" i="5"/>
  <c r="L20" i="5" s="1"/>
  <c r="B2" i="5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I65" i="4"/>
  <c r="B62" i="4"/>
  <c r="I60" i="4"/>
  <c r="F60" i="4"/>
  <c r="E60" i="4"/>
  <c r="D60" i="4"/>
  <c r="B60" i="4"/>
  <c r="I55" i="4"/>
  <c r="I50" i="4"/>
  <c r="I45" i="4"/>
  <c r="B42" i="4"/>
  <c r="I40" i="4"/>
  <c r="F40" i="4"/>
  <c r="E40" i="4"/>
  <c r="D40" i="4"/>
  <c r="B40" i="4"/>
  <c r="L21" i="1" s="1"/>
  <c r="I30" i="4"/>
  <c r="I25" i="4"/>
  <c r="B22" i="4"/>
  <c r="F20" i="4"/>
  <c r="E20" i="4"/>
  <c r="D20" i="4"/>
  <c r="B20" i="4"/>
  <c r="K19" i="4"/>
  <c r="L20" i="4" s="1"/>
  <c r="B2" i="4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B4" i="14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B426" i="3" s="1"/>
  <c r="B440" i="3" s="1"/>
  <c r="C17" i="1"/>
  <c r="B426" i="2" s="1"/>
  <c r="B440" i="2" s="1"/>
  <c r="A65" i="15" l="1"/>
  <c r="I64" i="15"/>
  <c r="AF41" i="1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E45" i="1" s="1"/>
  <c r="BH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A82" i="15"/>
  <c r="I82" i="15" s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B5" i="14" l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D24" i="15" l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E24" i="15"/>
  <c r="E83" i="15" s="1"/>
  <c r="D83" i="15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23" i="1" l="1"/>
  <c r="BJ23" i="1"/>
  <c r="AX38" i="1"/>
  <c r="BJ38" i="1"/>
  <c r="AX32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L8" i="14"/>
  <c r="K8" i="14"/>
  <c r="AL24" i="1"/>
  <c r="B46" i="1"/>
  <c r="C47" i="1" s="1"/>
  <c r="AX21" i="1" l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/>
  <c r="K10" i="14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X26" i="1" l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</calcChain>
</file>

<file path=xl/sharedStrings.xml><?xml version="1.0" encoding="utf-8"?>
<sst xmlns="http://schemas.openxmlformats.org/spreadsheetml/2006/main" count="4835" uniqueCount="291">
  <si>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</si>
  <si>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</si>
  <si>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</si>
  <si>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</si>
  <si>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</si>
  <si>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</si>
  <si>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</si>
  <si>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</si>
  <si>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</si>
  <si>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</si>
  <si>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</si>
  <si>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</si>
  <si>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</si>
  <si>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</si>
  <si>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</si>
  <si>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</si>
  <si>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</si>
  <si>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</si>
  <si>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</si>
  <si>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</si>
  <si>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</si>
  <si>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</si>
  <si>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</si>
  <si>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</si>
  <si>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</si>
  <si>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</si>
  <si>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</si>
  <si>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</si>
  <si>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</si>
  <si>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</si>
  <si>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</si>
  <si>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</si>
  <si>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</si>
  <si>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</si>
  <si>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</si>
  <si>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</si>
  <si>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</si>
  <si>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</si>
  <si>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</si>
  <si>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</si>
  <si>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</si>
  <si>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</si>
  <si>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</si>
  <si>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</si>
  <si>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</si>
  <si>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</si>
  <si>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</si>
  <si>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</si>
  <si>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</si>
  <si>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</si>
  <si>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</si>
  <si>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</si>
  <si>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</si>
  <si>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</si>
  <si>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</si>
  <si>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</si>
  <si>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</si>
  <si>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</si>
  <si>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</si>
  <si>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</si>
  <si>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</si>
  <si>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</si>
  <si>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</si>
  <si>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</si>
  <si>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</si>
  <si>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</si>
  <si>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</si>
  <si>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</si>
  <si>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</si>
  <si>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</si>
  <si>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</si>
  <si>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</si>
  <si>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</si>
  <si>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</si>
  <si>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</si>
  <si>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</si>
  <si>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</si>
  <si>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</si>
  <si>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</si>
  <si>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</si>
  <si>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</si>
  <si>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</si>
  <si>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</si>
  <si>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</si>
  <si>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</si>
  <si>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</si>
  <si>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</si>
  <si>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</si>
  <si>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</si>
  <si>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</si>
  <si>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</si>
  <si>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</si>
  <si>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</si>
  <si>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</si>
  <si>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</si>
  <si>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</si>
  <si>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</si>
  <si>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</si>
  <si>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</si>
  <si>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</si>
  <si>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</si>
  <si>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</si>
  <si>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</si>
  <si>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</si>
  <si>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</si>
  <si>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</si>
  <si>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</si>
  <si>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</si>
  <si>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</si>
  <si>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</si>
  <si>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</si>
  <si>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</si>
  <si>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</si>
  <si>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</si>
  <si>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</si>
  <si>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</si>
  <si>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</si>
  <si>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</si>
  <si>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</si>
  <si>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</si>
  <si>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</si>
  <si>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</si>
  <si>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</si>
  <si>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</si>
  <si>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</si>
  <si>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</si>
  <si>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</si>
  <si>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</si>
  <si>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</si>
  <si>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</si>
  <si>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</si>
  <si>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</si>
  <si>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</si>
  <si>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</si>
  <si>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</si>
  <si>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</si>
  <si>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</si>
  <si>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</si>
  <si>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</si>
  <si>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</si>
  <si>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</si>
  <si>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</si>
  <si>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</si>
  <si>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</si>
  <si>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</si>
  <si>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</si>
  <si>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</si>
  <si>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</si>
  <si>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</si>
  <si>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</si>
  <si>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</si>
  <si>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</si>
  <si>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</si>
  <si>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</si>
  <si>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</si>
  <si>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</si>
  <si>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</si>
  <si>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</si>
  <si>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</si>
  <si>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</si>
  <si>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</si>
  <si>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</si>
  <si>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</si>
  <si>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</si>
  <si>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</si>
  <si>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</si>
  <si>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</si>
  <si>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</si>
  <si>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</si>
  <si>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</si>
  <si>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</si>
  <si>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</si>
  <si>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</si>
  <si>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</si>
  <si>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</si>
  <si>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</si>
  <si>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</si>
  <si>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</si>
  <si>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</si>
  <si>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</si>
  <si>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</si>
  <si>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</si>
  <si>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</si>
  <si>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</si>
  <si>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</si>
  <si>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</si>
  <si>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</si>
  <si>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</si>
  <si>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</si>
  <si>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</si>
  <si>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</si>
  <si>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</si>
  <si>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</si>
  <si>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</si>
  <si>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</si>
  <si>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</si>
  <si>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</si>
  <si>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</si>
  <si>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</si>
  <si>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</si>
  <si>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</si>
  <si>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</si>
  <si>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</si>
  <si>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</si>
  <si>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</si>
  <si>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</si>
  <si>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</si>
  <si>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</si>
  <si>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</si>
  <si>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</si>
  <si>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</si>
  <si>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</si>
  <si>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</si>
  <si>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</si>
  <si>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</si>
  <si>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</si>
  <si>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</si>
  <si>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</si>
  <si>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</si>
  <si>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</si>
  <si>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</si>
  <si>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</si>
  <si>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</si>
  <si>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</si>
  <si>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</si>
  <si>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</si>
  <si>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</si>
  <si>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</si>
  <si>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</si>
  <si>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</si>
  <si>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</si>
  <si>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</si>
  <si>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</si>
  <si>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</si>
  <si>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</si>
  <si>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</si>
  <si>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</si>
  <si>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</si>
  <si>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</si>
  <si>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</si>
  <si>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</si>
  <si>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</si>
  <si>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</si>
  <si>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</si>
  <si>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</si>
  <si>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</si>
  <si>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</si>
  <si>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</si>
  <si>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</si>
  <si>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</si>
  <si>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</si>
  <si>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</si>
  <si>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</si>
  <si>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</si>
  <si>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</si>
  <si>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</si>
  <si>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</si>
  <si>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</si>
  <si>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</si>
  <si>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</si>
  <si>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</si>
  <si>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</si>
  <si>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</si>
  <si>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</si>
  <si>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</si>
  <si>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</si>
  <si>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</si>
  <si>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</si>
  <si>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</si>
  <si>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</si>
  <si>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</si>
  <si>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</si>
  <si>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</si>
  <si>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</si>
  <si>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</si>
  <si>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</si>
  <si>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</si>
  <si>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TODO</t>
  </si>
  <si>
    <t>16/01 Delhaize</t>
  </si>
  <si>
    <t>17/01 Lidl</t>
  </si>
  <si>
    <t>17/01 Zapatos Martina</t>
  </si>
  <si>
    <t>17/01 Sequoia</t>
  </si>
  <si>
    <t>18/01 Tom &amp; Co</t>
  </si>
  <si>
    <t>21/01 Delhaize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</si>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</sst>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2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2" fontId="18" fillId="0" borderId="95" xfId="0" applyNumberFormat="1" applyFont="1" applyBorder="1" applyAlignment="1"/>
    <xf numFmtId="2" fontId="18" fillId="0" borderId="96" xfId="0" applyNumberFormat="1" applyFon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6"/>
  <sheetViews>
    <sheetView tabSelected="1" topLeftCell="A33" zoomScaleNormal="100" workbookViewId="0">
      <pane xSplit="1" topLeftCell="B1" activePane="topRight" state="frozen"/>
      <selection pane="topRight" activeCell="C76" sqref="C76"/>
    </sheetView>
  </sheetViews>
  <sheetFormatPr defaultColWidth="9.15625" defaultRowHeight="14.4"/>
  <cols>
    <col min="1" max="1" width="20.15625" style="208" customWidth="1"/>
    <col min="2" max="2" width="13.68359375" customWidth="1"/>
    <col min="3" max="3" width="11.15625" customWidth="1"/>
    <col min="4" max="4" width="11.578125" customWidth="1"/>
    <col min="5" max="5" width="10.15625" customWidth="1"/>
    <col min="6" max="6" width="10.83984375" customWidth="1"/>
    <col min="7" max="7" width="10.578125" customWidth="1"/>
    <col min="8" max="8" width="10.41796875" customWidth="1"/>
    <col min="9" max="9" width="10" customWidth="1"/>
    <col min="10" max="10" width="10.83984375" customWidth="1"/>
    <col min="11" max="11" width="11" customWidth="1"/>
    <col min="12" max="12" width="10.26171875" customWidth="1"/>
    <col min="13" max="13" width="10" customWidth="1"/>
    <col min="14" max="14" width="11.26171875" customWidth="1"/>
    <col min="15" max="15" width="11.15625" customWidth="1"/>
    <col min="16" max="16" width="10.26171875" customWidth="1"/>
    <col min="17" max="17" width="9.578125" customWidth="1"/>
    <col min="18" max="18" width="11.15625" customWidth="1"/>
    <col min="19" max="19" width="10.83984375" customWidth="1"/>
    <col min="20" max="20" width="10" customWidth="1"/>
    <col min="21" max="21" width="9.83984375" customWidth="1"/>
    <col min="22" max="22" width="11" customWidth="1"/>
    <col min="23" max="23" width="10.578125" customWidth="1"/>
    <col min="24" max="24" width="10" customWidth="1"/>
    <col min="25" max="25" width="9.578125" customWidth="1"/>
    <col min="26" max="26" width="11.41796875" customWidth="1"/>
    <col min="27" max="28" width="11" customWidth="1"/>
    <col min="29" max="29" width="9.41796875" customWidth="1"/>
    <col min="30" max="30" width="11.15625" customWidth="1"/>
    <col min="31" max="31" width="10.578125" customWidth="1"/>
    <col min="32" max="32" width="10.26171875" customWidth="1"/>
    <col min="33" max="33" width="10.68359375" customWidth="1"/>
    <col min="34" max="34" width="11.15625" customWidth="1"/>
    <col min="35" max="35" width="11.26171875" customWidth="1"/>
    <col min="36" max="36" width="10.41796875" customWidth="1"/>
    <col min="37" max="37" width="10.15625" customWidth="1"/>
    <col min="38" max="38" width="11.15625" customWidth="1"/>
    <col min="39" max="39" width="11.41796875" customWidth="1"/>
    <col min="40" max="40" width="10.15625" customWidth="1"/>
    <col min="41" max="41" width="9.83984375" customWidth="1"/>
    <col min="42" max="42" width="11.15625" customWidth="1"/>
    <col min="43" max="43" width="10.68359375" customWidth="1"/>
    <col min="44" max="44" width="11.15625" customWidth="1"/>
    <col min="45" max="45" width="10.26171875" customWidth="1"/>
    <col min="46" max="46" width="11.15625" customWidth="1"/>
    <col min="47" max="47" width="11.41796875" customWidth="1"/>
    <col min="48" max="48" width="10.68359375" customWidth="1"/>
    <col min="49" max="49" width="10.41796875" customWidth="1"/>
    <col min="50" max="50" width="11.15625" customWidth="1"/>
    <col min="52" max="52" width="21.68359375" customWidth="1"/>
    <col min="53" max="53" width="26.83984375" customWidth="1"/>
    <col min="54" max="54" width="19.26171875" customWidth="1"/>
    <col min="55" max="55" width="24" customWidth="1"/>
    <col min="56" max="56" width="11.15625" customWidth="1"/>
    <col min="57" max="57" width="23.41796875" customWidth="1"/>
    <col min="58" max="58" width="17.26171875" customWidth="1"/>
    <col min="60" max="60" width="16" customWidth="1"/>
    <col min="62" max="62" width="23.41796875" customWidth="1"/>
  </cols>
  <sheetData>
    <row r="1" spans="1:55" ht="15.6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6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5.9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6.2" thickTop="1" thickBot="1">
      <c r="A4" s="203" t="s">
        <v>4</v>
      </c>
      <c r="B4" s="214">
        <v>2018</v>
      </c>
      <c r="C4" s="275" t="s">
        <v>0</v>
      </c>
      <c r="D4" s="276"/>
      <c r="E4" s="276"/>
      <c r="F4" s="277"/>
      <c r="G4" s="275" t="s">
        <v>1</v>
      </c>
      <c r="H4" s="276"/>
      <c r="I4" s="276"/>
      <c r="J4" s="277"/>
      <c r="K4" s="275" t="s">
        <v>2</v>
      </c>
      <c r="L4" s="276"/>
      <c r="M4" s="276"/>
      <c r="N4" s="277"/>
      <c r="O4" s="275" t="s">
        <v>3</v>
      </c>
      <c r="P4" s="276"/>
      <c r="Q4" s="276"/>
      <c r="R4" s="277"/>
      <c r="S4" s="275" t="s">
        <v>71</v>
      </c>
      <c r="T4" s="276"/>
      <c r="U4" s="276"/>
      <c r="V4" s="277"/>
      <c r="W4" s="275" t="s">
        <v>70</v>
      </c>
      <c r="X4" s="276"/>
      <c r="Y4" s="276"/>
      <c r="Z4" s="277"/>
      <c r="AA4" s="275" t="s">
        <v>72</v>
      </c>
      <c r="AB4" s="276"/>
      <c r="AC4" s="276"/>
      <c r="AD4" s="277"/>
      <c r="AE4" s="275" t="s">
        <v>73</v>
      </c>
      <c r="AF4" s="276"/>
      <c r="AG4" s="276"/>
      <c r="AH4" s="277"/>
      <c r="AI4" s="275" t="s">
        <v>75</v>
      </c>
      <c r="AJ4" s="276"/>
      <c r="AK4" s="276"/>
      <c r="AL4" s="277"/>
      <c r="AM4" s="275" t="s">
        <v>77</v>
      </c>
      <c r="AN4" s="276"/>
      <c r="AO4" s="276"/>
      <c r="AP4" s="277"/>
      <c r="AQ4" s="275" t="s">
        <v>79</v>
      </c>
      <c r="AR4" s="276"/>
      <c r="AS4" s="276"/>
      <c r="AT4" s="277"/>
      <c r="AU4" s="275" t="s">
        <v>84</v>
      </c>
      <c r="AV4" s="276"/>
      <c r="AW4" s="276"/>
      <c r="AX4" s="277"/>
      <c r="AZ4" s="1"/>
      <c r="BA4" s="1"/>
      <c r="BB4" s="1"/>
      <c r="BC4" s="1"/>
    </row>
    <row r="5" spans="1:55" ht="15.9" thickBot="1">
      <c r="A5" s="204" t="s">
        <v>5</v>
      </c>
      <c r="B5" s="228">
        <v>22909.4</v>
      </c>
      <c r="C5" s="284">
        <f>'01'!K19</f>
        <v>26383.54</v>
      </c>
      <c r="D5" s="282"/>
      <c r="E5" s="282"/>
      <c r="F5" s="283"/>
      <c r="G5" s="284">
        <f>'02'!K19</f>
        <v>15181.72</v>
      </c>
      <c r="H5" s="282"/>
      <c r="I5" s="282"/>
      <c r="J5" s="283"/>
      <c r="K5" s="281">
        <f>'03'!K19</f>
        <v>15101.890000000001</v>
      </c>
      <c r="L5" s="282"/>
      <c r="M5" s="282"/>
      <c r="N5" s="283"/>
      <c r="O5" s="281">
        <f>'04'!K19</f>
        <v>15101.890000000001</v>
      </c>
      <c r="P5" s="282"/>
      <c r="Q5" s="282"/>
      <c r="R5" s="283"/>
      <c r="S5" s="281">
        <f>'05'!K19</f>
        <v>15101.890000000001</v>
      </c>
      <c r="T5" s="282"/>
      <c r="U5" s="282"/>
      <c r="V5" s="283"/>
      <c r="W5" s="281">
        <f>'06'!K19</f>
        <v>15101.890000000001</v>
      </c>
      <c r="X5" s="282"/>
      <c r="Y5" s="282"/>
      <c r="Z5" s="283"/>
      <c r="AA5" s="281">
        <f>'07'!K19</f>
        <v>15101.890000000001</v>
      </c>
      <c r="AB5" s="282"/>
      <c r="AC5" s="282"/>
      <c r="AD5" s="283"/>
      <c r="AE5" s="281">
        <f>'08'!K19</f>
        <v>15101.890000000001</v>
      </c>
      <c r="AF5" s="282"/>
      <c r="AG5" s="282"/>
      <c r="AH5" s="283"/>
      <c r="AI5" s="281">
        <f>'09'!K19</f>
        <v>15101.890000000001</v>
      </c>
      <c r="AJ5" s="282"/>
      <c r="AK5" s="282"/>
      <c r="AL5" s="283"/>
      <c r="AM5" s="281">
        <f>'10'!K19</f>
        <v>15101.890000000001</v>
      </c>
      <c r="AN5" s="282"/>
      <c r="AO5" s="282"/>
      <c r="AP5" s="283"/>
      <c r="AQ5" s="281">
        <f>'11'!K19</f>
        <v>15101.890000000001</v>
      </c>
      <c r="AR5" s="282"/>
      <c r="AS5" s="282"/>
      <c r="AT5" s="283"/>
      <c r="AU5" s="281">
        <f>'12'!K19</f>
        <v>15101.890000000001</v>
      </c>
      <c r="AV5" s="282"/>
      <c r="AW5" s="282"/>
      <c r="AX5" s="283"/>
      <c r="AZ5" s="6"/>
      <c r="BA5" s="7"/>
      <c r="BB5" s="1"/>
      <c r="BC5" s="1"/>
    </row>
    <row r="6" spans="1:55" ht="16.2" thickTop="1" thickBot="1">
      <c r="A6" s="205"/>
      <c r="B6" s="8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V6" s="234"/>
      <c r="AW6" s="234"/>
      <c r="AX6" s="234"/>
      <c r="AZ6" s="1"/>
      <c r="BA6" s="1"/>
      <c r="BB6" s="1"/>
      <c r="BC6" s="1"/>
    </row>
    <row r="7" spans="1:55" s="89" customFormat="1" ht="16.2" thickTop="1" thickBot="1">
      <c r="A7" s="23" t="s">
        <v>6</v>
      </c>
      <c r="B7" s="23" t="s">
        <v>53</v>
      </c>
      <c r="C7" s="278" t="s">
        <v>233</v>
      </c>
      <c r="D7" s="279"/>
      <c r="E7" s="279"/>
      <c r="F7" s="280"/>
      <c r="G7" s="278" t="s">
        <v>233</v>
      </c>
      <c r="H7" s="279"/>
      <c r="I7" s="279"/>
      <c r="J7" s="280"/>
      <c r="K7" s="278" t="s">
        <v>233</v>
      </c>
      <c r="L7" s="279"/>
      <c r="M7" s="279"/>
      <c r="N7" s="280"/>
      <c r="O7" s="278" t="s">
        <v>233</v>
      </c>
      <c r="P7" s="279"/>
      <c r="Q7" s="279"/>
      <c r="R7" s="280"/>
      <c r="S7" s="278" t="s">
        <v>233</v>
      </c>
      <c r="T7" s="279"/>
      <c r="U7" s="279"/>
      <c r="V7" s="280"/>
      <c r="W7" s="278" t="s">
        <v>233</v>
      </c>
      <c r="X7" s="279"/>
      <c r="Y7" s="279"/>
      <c r="Z7" s="280"/>
      <c r="AA7" s="278" t="s">
        <v>233</v>
      </c>
      <c r="AB7" s="279"/>
      <c r="AC7" s="279"/>
      <c r="AD7" s="280"/>
      <c r="AE7" s="278" t="s">
        <v>233</v>
      </c>
      <c r="AF7" s="279"/>
      <c r="AG7" s="279"/>
      <c r="AH7" s="280"/>
      <c r="AI7" s="278" t="s">
        <v>233</v>
      </c>
      <c r="AJ7" s="279"/>
      <c r="AK7" s="279"/>
      <c r="AL7" s="280"/>
      <c r="AM7" s="278" t="s">
        <v>233</v>
      </c>
      <c r="AN7" s="279"/>
      <c r="AO7" s="279"/>
      <c r="AP7" s="280"/>
      <c r="AQ7" s="278" t="s">
        <v>233</v>
      </c>
      <c r="AR7" s="279"/>
      <c r="AS7" s="279"/>
      <c r="AT7" s="280"/>
      <c r="AU7" s="278" t="s">
        <v>233</v>
      </c>
      <c r="AV7" s="279"/>
      <c r="AW7" s="279"/>
      <c r="AX7" s="280"/>
      <c r="AZ7" s="9" t="s">
        <v>235</v>
      </c>
      <c r="BA7" s="13" t="s">
        <v>191</v>
      </c>
      <c r="BB7" s="1"/>
      <c r="BC7" s="1"/>
    </row>
    <row r="8" spans="1:55" ht="15.6">
      <c r="A8" s="206" t="s">
        <v>215</v>
      </c>
      <c r="B8" s="192">
        <v>33389.54</v>
      </c>
      <c r="C8" s="285">
        <f>SUM('01'!L25:'01'!L29)</f>
        <v>0</v>
      </c>
      <c r="D8" s="286"/>
      <c r="E8" s="286"/>
      <c r="F8" s="287"/>
      <c r="G8" s="285">
        <f>SUM('02'!L25:'02'!L29)</f>
        <v>0</v>
      </c>
      <c r="H8" s="286"/>
      <c r="I8" s="286"/>
      <c r="J8" s="287"/>
      <c r="K8" s="285">
        <f>SUM('03'!L25:'03'!L29)</f>
        <v>0</v>
      </c>
      <c r="L8" s="286"/>
      <c r="M8" s="286"/>
      <c r="N8" s="287"/>
      <c r="O8" s="285">
        <f>SUM('04'!L25:'04'!L29)</f>
        <v>0</v>
      </c>
      <c r="P8" s="286"/>
      <c r="Q8" s="286"/>
      <c r="R8" s="287"/>
      <c r="S8" s="285">
        <f>SUM('05'!L25:'05'!L29)</f>
        <v>0</v>
      </c>
      <c r="T8" s="286"/>
      <c r="U8" s="286"/>
      <c r="V8" s="287"/>
      <c r="W8" s="285">
        <f>SUM('06'!L25:'06'!L29)</f>
        <v>0</v>
      </c>
      <c r="X8" s="286"/>
      <c r="Y8" s="286"/>
      <c r="Z8" s="287"/>
      <c r="AA8" s="285">
        <f>SUM('07'!L25:'07'!L29)</f>
        <v>0</v>
      </c>
      <c r="AB8" s="286"/>
      <c r="AC8" s="286"/>
      <c r="AD8" s="287"/>
      <c r="AE8" s="285">
        <f>SUM('08'!L25:'08'!L29)</f>
        <v>0</v>
      </c>
      <c r="AF8" s="286"/>
      <c r="AG8" s="286"/>
      <c r="AH8" s="287"/>
      <c r="AI8" s="285">
        <f>SUM('09'!L25:'09'!L29)</f>
        <v>0</v>
      </c>
      <c r="AJ8" s="286"/>
      <c r="AK8" s="286"/>
      <c r="AL8" s="287"/>
      <c r="AM8" s="285">
        <f>SUM('10'!L25:'10'!L29)</f>
        <v>0</v>
      </c>
      <c r="AN8" s="286"/>
      <c r="AO8" s="286"/>
      <c r="AP8" s="287"/>
      <c r="AQ8" s="285">
        <f>SUM('11'!L25:'11'!L29)</f>
        <v>0</v>
      </c>
      <c r="AR8" s="286"/>
      <c r="AS8" s="286"/>
      <c r="AT8" s="287"/>
      <c r="AU8" s="285">
        <f>SUM('12'!L25:'12'!L29)</f>
        <v>0</v>
      </c>
      <c r="AV8" s="286"/>
      <c r="AW8" s="286"/>
      <c r="AX8" s="287"/>
      <c r="AZ8" s="209">
        <f>SUM(C8:AU8)</f>
        <v>0</v>
      </c>
      <c r="BA8" s="112">
        <f t="shared" ref="BA8:BA16" ca="1" si="0">AZ8/BC$17</f>
        <v>0</v>
      </c>
      <c r="BB8" s="1"/>
      <c r="BC8" s="1"/>
    </row>
    <row r="9" spans="1:55" ht="15.6">
      <c r="A9" s="189" t="s">
        <v>216</v>
      </c>
      <c r="B9" s="193">
        <v>5835.74</v>
      </c>
      <c r="C9" s="272">
        <f>SUM('01'!L30:'01'!L34)</f>
        <v>655.59</v>
      </c>
      <c r="D9" s="273"/>
      <c r="E9" s="273"/>
      <c r="F9" s="274"/>
      <c r="G9" s="272">
        <f>SUM('02'!L30:'02'!L34)</f>
        <v>0</v>
      </c>
      <c r="H9" s="273"/>
      <c r="I9" s="273"/>
      <c r="J9" s="274"/>
      <c r="K9" s="272">
        <f>SUM('03'!L30:'03'!L34)</f>
        <v>0</v>
      </c>
      <c r="L9" s="273"/>
      <c r="M9" s="273"/>
      <c r="N9" s="274"/>
      <c r="O9" s="272">
        <f>SUM('04'!L30:'04'!L34)</f>
        <v>0</v>
      </c>
      <c r="P9" s="273"/>
      <c r="Q9" s="273"/>
      <c r="R9" s="274"/>
      <c r="S9" s="272">
        <f>SUM('05'!L30:'05'!L34)</f>
        <v>0</v>
      </c>
      <c r="T9" s="273"/>
      <c r="U9" s="273"/>
      <c r="V9" s="274"/>
      <c r="W9" s="272">
        <f>SUM('06'!L30:'06'!L34)</f>
        <v>0</v>
      </c>
      <c r="X9" s="273"/>
      <c r="Y9" s="273"/>
      <c r="Z9" s="274"/>
      <c r="AA9" s="272">
        <f>SUM('07'!L30:'07'!L34)</f>
        <v>0</v>
      </c>
      <c r="AB9" s="273"/>
      <c r="AC9" s="273"/>
      <c r="AD9" s="274"/>
      <c r="AE9" s="272">
        <f>SUM('08'!L30:'08'!L34)</f>
        <v>0</v>
      </c>
      <c r="AF9" s="273"/>
      <c r="AG9" s="273"/>
      <c r="AH9" s="274"/>
      <c r="AI9" s="272">
        <f>SUM('09'!L30:'09'!L34)</f>
        <v>0</v>
      </c>
      <c r="AJ9" s="273"/>
      <c r="AK9" s="273"/>
      <c r="AL9" s="274"/>
      <c r="AM9" s="272">
        <f>SUM('10'!L30:'10'!L34)</f>
        <v>0</v>
      </c>
      <c r="AN9" s="273"/>
      <c r="AO9" s="273"/>
      <c r="AP9" s="274"/>
      <c r="AQ9" s="272">
        <f>SUM('11'!L30:'11'!L34)</f>
        <v>0</v>
      </c>
      <c r="AR9" s="273"/>
      <c r="AS9" s="273"/>
      <c r="AT9" s="274"/>
      <c r="AU9" s="272">
        <f>SUM('12'!L30:'12'!L34)</f>
        <v>0</v>
      </c>
      <c r="AV9" s="273"/>
      <c r="AW9" s="273"/>
      <c r="AX9" s="274"/>
      <c r="AZ9" s="210">
        <f t="shared" ref="AZ9:AZ16" si="1">SUM(C9:AW9)</f>
        <v>655.59</v>
      </c>
      <c r="BA9" s="112">
        <f t="shared" ca="1" si="0"/>
        <v>655.59</v>
      </c>
      <c r="BB9" s="1"/>
      <c r="BC9" s="1"/>
    </row>
    <row r="10" spans="1:55" ht="15.6">
      <c r="A10" s="190" t="s">
        <v>221</v>
      </c>
      <c r="B10" s="194">
        <v>2731.18</v>
      </c>
      <c r="C10" s="272">
        <f>SUM('01'!L35:'01'!L39)</f>
        <v>0</v>
      </c>
      <c r="D10" s="273"/>
      <c r="E10" s="273"/>
      <c r="F10" s="274"/>
      <c r="G10" s="272">
        <f>SUM('02'!L35:'02'!L39)</f>
        <v>0</v>
      </c>
      <c r="H10" s="273"/>
      <c r="I10" s="273"/>
      <c r="J10" s="274"/>
      <c r="K10" s="272">
        <f>SUM('03'!L35:'03'!L39)</f>
        <v>0</v>
      </c>
      <c r="L10" s="273"/>
      <c r="M10" s="273"/>
      <c r="N10" s="274"/>
      <c r="O10" s="272">
        <f>SUM('04'!L35:'04'!L39)</f>
        <v>0</v>
      </c>
      <c r="P10" s="273"/>
      <c r="Q10" s="273"/>
      <c r="R10" s="274"/>
      <c r="S10" s="272">
        <f>SUM('05'!L35:'05'!L39)</f>
        <v>0</v>
      </c>
      <c r="T10" s="273"/>
      <c r="U10" s="273"/>
      <c r="V10" s="274"/>
      <c r="W10" s="288">
        <f>SUM('06'!L35:'06'!L39)</f>
        <v>0</v>
      </c>
      <c r="X10" s="289"/>
      <c r="Y10" s="289"/>
      <c r="Z10" s="290"/>
      <c r="AA10" s="288">
        <f>SUM('07'!L35:'07'!L39)</f>
        <v>0</v>
      </c>
      <c r="AB10" s="289"/>
      <c r="AC10" s="289"/>
      <c r="AD10" s="290"/>
      <c r="AE10" s="288">
        <f>SUM('08'!L35:'08'!L39)</f>
        <v>0</v>
      </c>
      <c r="AF10" s="289"/>
      <c r="AG10" s="289"/>
      <c r="AH10" s="290"/>
      <c r="AI10" s="288">
        <f>SUM('09'!L35:'09'!L39)</f>
        <v>0</v>
      </c>
      <c r="AJ10" s="289"/>
      <c r="AK10" s="289"/>
      <c r="AL10" s="290"/>
      <c r="AM10" s="288">
        <f>SUM('10'!L35:'10'!L39)</f>
        <v>0</v>
      </c>
      <c r="AN10" s="289"/>
      <c r="AO10" s="289"/>
      <c r="AP10" s="290"/>
      <c r="AQ10" s="288">
        <f>SUM('11'!L35:'11'!L39)</f>
        <v>0</v>
      </c>
      <c r="AR10" s="289"/>
      <c r="AS10" s="289"/>
      <c r="AT10" s="290"/>
      <c r="AU10" s="288">
        <f>SUM('12'!L35:'12'!L39)</f>
        <v>0</v>
      </c>
      <c r="AV10" s="289"/>
      <c r="AW10" s="289"/>
      <c r="AX10" s="290"/>
      <c r="AZ10" s="211">
        <f t="shared" si="1"/>
        <v>0</v>
      </c>
      <c r="BA10" s="112">
        <f t="shared" ca="1" si="0"/>
        <v>0</v>
      </c>
      <c r="BB10" s="1"/>
      <c r="BC10" s="1"/>
    </row>
    <row r="11" spans="1:55" ht="15.6">
      <c r="A11" s="189" t="s">
        <v>217</v>
      </c>
      <c r="B11" s="193">
        <v>2906.88</v>
      </c>
      <c r="C11" s="272">
        <f>SUM('01'!L40:'01'!L44)</f>
        <v>3.87</v>
      </c>
      <c r="D11" s="273"/>
      <c r="E11" s="273"/>
      <c r="F11" s="274"/>
      <c r="G11" s="272">
        <f>SUM('02'!L40:'02'!L44)</f>
        <v>0</v>
      </c>
      <c r="H11" s="273"/>
      <c r="I11" s="273"/>
      <c r="J11" s="274"/>
      <c r="K11" s="272">
        <f>SUM('03'!L40:'03'!L44)</f>
        <v>0</v>
      </c>
      <c r="L11" s="273"/>
      <c r="M11" s="273"/>
      <c r="N11" s="274"/>
      <c r="O11" s="272">
        <f>SUM('04'!L40:'04'!L44)</f>
        <v>0</v>
      </c>
      <c r="P11" s="273"/>
      <c r="Q11" s="273"/>
      <c r="R11" s="274"/>
      <c r="S11" s="272">
        <f>SUM('05'!L40:'05'!L44)</f>
        <v>0</v>
      </c>
      <c r="T11" s="273"/>
      <c r="U11" s="273"/>
      <c r="V11" s="274"/>
      <c r="W11" s="272">
        <f>SUM('06'!L40:'06'!L44)</f>
        <v>0</v>
      </c>
      <c r="X11" s="273"/>
      <c r="Y11" s="273"/>
      <c r="Z11" s="274"/>
      <c r="AA11" s="272">
        <f>SUM('07'!L40:'07'!L44)</f>
        <v>0</v>
      </c>
      <c r="AB11" s="273"/>
      <c r="AC11" s="273"/>
      <c r="AD11" s="274"/>
      <c r="AE11" s="272">
        <f>SUM('08'!L40:'08'!L44)</f>
        <v>0</v>
      </c>
      <c r="AF11" s="273"/>
      <c r="AG11" s="273"/>
      <c r="AH11" s="274"/>
      <c r="AI11" s="272">
        <f>SUM('09'!L40:'09'!L44)</f>
        <v>0</v>
      </c>
      <c r="AJ11" s="273"/>
      <c r="AK11" s="273"/>
      <c r="AL11" s="274"/>
      <c r="AM11" s="272">
        <f>SUM('10'!L40:'10'!L44)</f>
        <v>0</v>
      </c>
      <c r="AN11" s="273"/>
      <c r="AO11" s="273"/>
      <c r="AP11" s="274"/>
      <c r="AQ11" s="272">
        <f>SUM('11'!L40:'11'!L44)</f>
        <v>0</v>
      </c>
      <c r="AR11" s="273"/>
      <c r="AS11" s="273"/>
      <c r="AT11" s="274"/>
      <c r="AU11" s="272">
        <f>SUM('12'!L40:'12'!L44)</f>
        <v>0</v>
      </c>
      <c r="AV11" s="273"/>
      <c r="AW11" s="273"/>
      <c r="AX11" s="274"/>
      <c r="AZ11" s="210">
        <f t="shared" si="1"/>
        <v>3.87</v>
      </c>
      <c r="BA11" s="112">
        <f t="shared" ca="1" si="0"/>
        <v>3.87</v>
      </c>
      <c r="BB11" s="1"/>
      <c r="BC11" s="1"/>
    </row>
    <row r="12" spans="1:55" ht="15.6">
      <c r="A12" s="190" t="s">
        <v>23</v>
      </c>
      <c r="B12" s="194">
        <v>3325.31</v>
      </c>
      <c r="C12" s="272">
        <f>SUM('01'!L45:'01'!L49)</f>
        <v>0</v>
      </c>
      <c r="D12" s="273"/>
      <c r="E12" s="273"/>
      <c r="F12" s="274"/>
      <c r="G12" s="272">
        <f>SUM('02'!L45:'02'!L49)</f>
        <v>0</v>
      </c>
      <c r="H12" s="273"/>
      <c r="I12" s="273"/>
      <c r="J12" s="274"/>
      <c r="K12" s="272">
        <f>SUM('03'!L45:'03'!L49)</f>
        <v>0</v>
      </c>
      <c r="L12" s="273"/>
      <c r="M12" s="273"/>
      <c r="N12" s="274"/>
      <c r="O12" s="272">
        <f>SUM('04'!L45:'04'!L49)</f>
        <v>0</v>
      </c>
      <c r="P12" s="273"/>
      <c r="Q12" s="273"/>
      <c r="R12" s="274"/>
      <c r="S12" s="272">
        <f>SUM('05'!L45:'05'!L49)</f>
        <v>0</v>
      </c>
      <c r="T12" s="273"/>
      <c r="U12" s="273"/>
      <c r="V12" s="274"/>
      <c r="W12" s="288">
        <f>SUM('06'!L45:'06'!L49)</f>
        <v>0</v>
      </c>
      <c r="X12" s="289"/>
      <c r="Y12" s="289"/>
      <c r="Z12" s="290"/>
      <c r="AA12" s="288">
        <f>SUM('07'!L45:'07'!L49)</f>
        <v>0</v>
      </c>
      <c r="AB12" s="289"/>
      <c r="AC12" s="289"/>
      <c r="AD12" s="290"/>
      <c r="AE12" s="288">
        <f>SUM('08'!L45:'08'!L49)</f>
        <v>0</v>
      </c>
      <c r="AF12" s="289"/>
      <c r="AG12" s="289"/>
      <c r="AH12" s="290"/>
      <c r="AI12" s="288">
        <f>SUM('09'!L45:'09'!L49)</f>
        <v>0</v>
      </c>
      <c r="AJ12" s="289"/>
      <c r="AK12" s="289"/>
      <c r="AL12" s="290"/>
      <c r="AM12" s="288">
        <f>SUM('10'!L45:'10'!L49)</f>
        <v>0</v>
      </c>
      <c r="AN12" s="289"/>
      <c r="AO12" s="289"/>
      <c r="AP12" s="290"/>
      <c r="AQ12" s="288">
        <f>SUM('11'!L45:'11'!L49)</f>
        <v>0</v>
      </c>
      <c r="AR12" s="289"/>
      <c r="AS12" s="289"/>
      <c r="AT12" s="290"/>
      <c r="AU12" s="288">
        <f>SUM('12'!L45:'12'!L49)</f>
        <v>0</v>
      </c>
      <c r="AV12" s="289"/>
      <c r="AW12" s="289"/>
      <c r="AX12" s="290"/>
      <c r="AZ12" s="211">
        <f t="shared" si="1"/>
        <v>0</v>
      </c>
      <c r="BA12" s="112">
        <f t="shared" ca="1" si="0"/>
        <v>0</v>
      </c>
      <c r="BB12" s="1"/>
      <c r="BC12" s="1"/>
    </row>
    <row r="13" spans="1:55" ht="15.6">
      <c r="A13" s="189" t="s">
        <v>218</v>
      </c>
      <c r="B13" s="195">
        <v>3443.8099999999995</v>
      </c>
      <c r="C13" s="272">
        <f>SUM('01'!L50:'01'!L54)</f>
        <v>95.8</v>
      </c>
      <c r="D13" s="273"/>
      <c r="E13" s="273"/>
      <c r="F13" s="274"/>
      <c r="G13" s="272">
        <f>SUM('02'!L50:'02'!L54)</f>
        <v>0</v>
      </c>
      <c r="H13" s="273"/>
      <c r="I13" s="273"/>
      <c r="J13" s="274"/>
      <c r="K13" s="272">
        <f>SUM('03'!L50:'03'!L54)</f>
        <v>0</v>
      </c>
      <c r="L13" s="273"/>
      <c r="M13" s="273"/>
      <c r="N13" s="274"/>
      <c r="O13" s="272">
        <f>SUM('04'!L50:'04'!L54)</f>
        <v>0</v>
      </c>
      <c r="P13" s="273"/>
      <c r="Q13" s="273"/>
      <c r="R13" s="274"/>
      <c r="S13" s="272">
        <f>SUM('05'!L50:'05'!L54)</f>
        <v>0</v>
      </c>
      <c r="T13" s="273"/>
      <c r="U13" s="273"/>
      <c r="V13" s="274"/>
      <c r="W13" s="272">
        <f>SUM('06'!L50:'06'!L54)</f>
        <v>0</v>
      </c>
      <c r="X13" s="273"/>
      <c r="Y13" s="273"/>
      <c r="Z13" s="274"/>
      <c r="AA13" s="272">
        <f>SUM('07'!L50:'07'!L54)</f>
        <v>0</v>
      </c>
      <c r="AB13" s="273"/>
      <c r="AC13" s="273"/>
      <c r="AD13" s="274"/>
      <c r="AE13" s="272">
        <f>SUM('08'!L50:'08'!L54)</f>
        <v>0</v>
      </c>
      <c r="AF13" s="273"/>
      <c r="AG13" s="273"/>
      <c r="AH13" s="274"/>
      <c r="AI13" s="272">
        <f>SUM('09'!L50:'09'!L54)</f>
        <v>0</v>
      </c>
      <c r="AJ13" s="273"/>
      <c r="AK13" s="273"/>
      <c r="AL13" s="274"/>
      <c r="AM13" s="272">
        <f>SUM('10'!L50:'10'!L54)</f>
        <v>0</v>
      </c>
      <c r="AN13" s="273"/>
      <c r="AO13" s="273"/>
      <c r="AP13" s="274"/>
      <c r="AQ13" s="272">
        <f>SUM('11'!L50:'11'!L54)</f>
        <v>0</v>
      </c>
      <c r="AR13" s="273"/>
      <c r="AS13" s="273"/>
      <c r="AT13" s="274"/>
      <c r="AU13" s="272">
        <f>SUM('12'!L50:'12'!L54)</f>
        <v>0</v>
      </c>
      <c r="AV13" s="273"/>
      <c r="AW13" s="273"/>
      <c r="AX13" s="274"/>
      <c r="AZ13" s="212">
        <f t="shared" si="1"/>
        <v>95.8</v>
      </c>
      <c r="BA13" s="112">
        <f t="shared" ca="1" si="0"/>
        <v>95.8</v>
      </c>
      <c r="BB13" s="1"/>
      <c r="BC13" s="1"/>
    </row>
    <row r="14" spans="1:55" ht="15.6">
      <c r="A14" s="190" t="s">
        <v>219</v>
      </c>
      <c r="B14" s="194">
        <v>364.62</v>
      </c>
      <c r="C14" s="272">
        <f>SUM('01'!L55:'01'!L59)</f>
        <v>0</v>
      </c>
      <c r="D14" s="273"/>
      <c r="E14" s="273"/>
      <c r="F14" s="274"/>
      <c r="G14" s="272">
        <f>SUM('02'!L55:'02'!L59)</f>
        <v>0</v>
      </c>
      <c r="H14" s="273"/>
      <c r="I14" s="273"/>
      <c r="J14" s="274"/>
      <c r="K14" s="272">
        <f>SUM('03'!L55:'03'!L59)</f>
        <v>0</v>
      </c>
      <c r="L14" s="273"/>
      <c r="M14" s="273"/>
      <c r="N14" s="274"/>
      <c r="O14" s="272">
        <f>SUM('04'!L55:'04'!L59)</f>
        <v>0</v>
      </c>
      <c r="P14" s="273"/>
      <c r="Q14" s="273"/>
      <c r="R14" s="274"/>
      <c r="S14" s="272">
        <f>SUM('05'!L55:'05'!L59)</f>
        <v>0</v>
      </c>
      <c r="T14" s="273"/>
      <c r="U14" s="273"/>
      <c r="V14" s="274"/>
      <c r="W14" s="288">
        <f>SUM('06'!L55:'06'!L59)</f>
        <v>0</v>
      </c>
      <c r="X14" s="289"/>
      <c r="Y14" s="289"/>
      <c r="Z14" s="290"/>
      <c r="AA14" s="288">
        <f>SUM('07'!L55:'07'!L59)</f>
        <v>0</v>
      </c>
      <c r="AB14" s="289"/>
      <c r="AC14" s="289"/>
      <c r="AD14" s="290"/>
      <c r="AE14" s="288">
        <f>SUM('08'!L55:'08'!L59)</f>
        <v>0</v>
      </c>
      <c r="AF14" s="289"/>
      <c r="AG14" s="289"/>
      <c r="AH14" s="290"/>
      <c r="AI14" s="288">
        <f>SUM('09'!L55:'09'!L59)</f>
        <v>0</v>
      </c>
      <c r="AJ14" s="289"/>
      <c r="AK14" s="289"/>
      <c r="AL14" s="290"/>
      <c r="AM14" s="288">
        <f>SUM('10'!L55:'10'!L59)</f>
        <v>0</v>
      </c>
      <c r="AN14" s="289"/>
      <c r="AO14" s="289"/>
      <c r="AP14" s="290"/>
      <c r="AQ14" s="288">
        <f>SUM('11'!L55:'11'!L59)</f>
        <v>0</v>
      </c>
      <c r="AR14" s="289"/>
      <c r="AS14" s="289"/>
      <c r="AT14" s="290"/>
      <c r="AU14" s="288">
        <f>SUM('12'!L55:'12'!L59)</f>
        <v>0</v>
      </c>
      <c r="AV14" s="289"/>
      <c r="AW14" s="289"/>
      <c r="AX14" s="290"/>
      <c r="AZ14" s="211">
        <f t="shared" si="1"/>
        <v>0</v>
      </c>
      <c r="BA14" s="112">
        <f t="shared" ca="1" si="0"/>
        <v>0</v>
      </c>
      <c r="BB14" s="3"/>
      <c r="BC14" s="3"/>
    </row>
    <row r="15" spans="1:55" ht="15.6">
      <c r="A15" s="189" t="s">
        <v>220</v>
      </c>
      <c r="B15" s="193">
        <v>7756.04</v>
      </c>
      <c r="C15" s="272">
        <f>SUM('01'!L60:'01'!L64)</f>
        <v>0</v>
      </c>
      <c r="D15" s="273"/>
      <c r="E15" s="273"/>
      <c r="F15" s="274"/>
      <c r="G15" s="272">
        <f>SUM('02'!L60:'02'!L64)</f>
        <v>0</v>
      </c>
      <c r="H15" s="273"/>
      <c r="I15" s="273"/>
      <c r="J15" s="274"/>
      <c r="K15" s="272">
        <f>SUM('03'!L60:'03'!L64)</f>
        <v>0</v>
      </c>
      <c r="L15" s="273"/>
      <c r="M15" s="273"/>
      <c r="N15" s="274"/>
      <c r="O15" s="272">
        <f>SUM('04'!L60:'04'!L64)</f>
        <v>0</v>
      </c>
      <c r="P15" s="273"/>
      <c r="Q15" s="273"/>
      <c r="R15" s="274"/>
      <c r="S15" s="272">
        <f>SUM('05'!L60:'05'!L64)</f>
        <v>0</v>
      </c>
      <c r="T15" s="273"/>
      <c r="U15" s="273"/>
      <c r="V15" s="274"/>
      <c r="W15" s="272">
        <f>SUM('06'!L60:'06'!L64)</f>
        <v>0</v>
      </c>
      <c r="X15" s="273"/>
      <c r="Y15" s="273"/>
      <c r="Z15" s="274"/>
      <c r="AA15" s="272">
        <f>SUM('07'!L60:'07'!L64)</f>
        <v>0</v>
      </c>
      <c r="AB15" s="273"/>
      <c r="AC15" s="273"/>
      <c r="AD15" s="274"/>
      <c r="AE15" s="272">
        <f>SUM('08'!L60:'08'!L64)</f>
        <v>0</v>
      </c>
      <c r="AF15" s="273"/>
      <c r="AG15" s="273"/>
      <c r="AH15" s="274"/>
      <c r="AI15" s="272">
        <f>SUM('09'!L60:'09'!L64)</f>
        <v>0</v>
      </c>
      <c r="AJ15" s="273"/>
      <c r="AK15" s="273"/>
      <c r="AL15" s="274"/>
      <c r="AM15" s="272">
        <f>SUM('10'!L60:'10'!L64)</f>
        <v>0</v>
      </c>
      <c r="AN15" s="273"/>
      <c r="AO15" s="273"/>
      <c r="AP15" s="274"/>
      <c r="AQ15" s="272">
        <f>SUM('11'!L60:'11'!L64)</f>
        <v>0</v>
      </c>
      <c r="AR15" s="273"/>
      <c r="AS15" s="273"/>
      <c r="AT15" s="274"/>
      <c r="AU15" s="272">
        <f>SUM('12'!L60:'12'!L64)</f>
        <v>0</v>
      </c>
      <c r="AV15" s="273"/>
      <c r="AW15" s="273"/>
      <c r="AX15" s="274"/>
      <c r="AZ15" s="210">
        <f t="shared" si="1"/>
        <v>0</v>
      </c>
      <c r="BA15" s="112">
        <f t="shared" ca="1" si="0"/>
        <v>0</v>
      </c>
      <c r="BB15" s="1"/>
      <c r="BC15" s="1"/>
    </row>
    <row r="16" spans="1:55" ht="15.9" thickBot="1">
      <c r="A16" s="191" t="s">
        <v>42</v>
      </c>
      <c r="B16" s="196">
        <v>2018.96</v>
      </c>
      <c r="C16" s="272">
        <f>SUM('01'!L65:'01'!L69)</f>
        <v>0</v>
      </c>
      <c r="D16" s="273"/>
      <c r="E16" s="273"/>
      <c r="F16" s="274"/>
      <c r="G16" s="272">
        <f>SUM('02'!L65:'02'!L69)</f>
        <v>0</v>
      </c>
      <c r="H16" s="273"/>
      <c r="I16" s="273"/>
      <c r="J16" s="274"/>
      <c r="K16" s="272">
        <f>SUM('03'!L65:'03'!L69)</f>
        <v>0</v>
      </c>
      <c r="L16" s="273"/>
      <c r="M16" s="273"/>
      <c r="N16" s="274"/>
      <c r="O16" s="272">
        <f>SUM('04'!L65:'04'!L69)</f>
        <v>0</v>
      </c>
      <c r="P16" s="273"/>
      <c r="Q16" s="273"/>
      <c r="R16" s="274"/>
      <c r="S16" s="272">
        <f>SUM('05'!L65:'05'!L69)</f>
        <v>0</v>
      </c>
      <c r="T16" s="273"/>
      <c r="U16" s="273"/>
      <c r="V16" s="274"/>
      <c r="W16" s="291">
        <f>SUM('06'!L65:'06'!L69)</f>
        <v>0</v>
      </c>
      <c r="X16" s="292"/>
      <c r="Y16" s="292"/>
      <c r="Z16" s="293"/>
      <c r="AA16" s="291">
        <f>SUM('07'!L65:'07'!L69)</f>
        <v>0</v>
      </c>
      <c r="AB16" s="292"/>
      <c r="AC16" s="292"/>
      <c r="AD16" s="293"/>
      <c r="AE16" s="291">
        <f>SUM('08'!L65:'08'!L69)</f>
        <v>0</v>
      </c>
      <c r="AF16" s="292"/>
      <c r="AG16" s="292"/>
      <c r="AH16" s="293"/>
      <c r="AI16" s="291">
        <f>SUM('09'!L65:'09'!L69)</f>
        <v>0</v>
      </c>
      <c r="AJ16" s="292"/>
      <c r="AK16" s="292"/>
      <c r="AL16" s="293"/>
      <c r="AM16" s="291">
        <f>SUM('10'!L65:'10'!L69)</f>
        <v>0</v>
      </c>
      <c r="AN16" s="292"/>
      <c r="AO16" s="292"/>
      <c r="AP16" s="293"/>
      <c r="AQ16" s="291">
        <f>SUM('11'!L65:'11'!L69)</f>
        <v>0</v>
      </c>
      <c r="AR16" s="292"/>
      <c r="AS16" s="292"/>
      <c r="AT16" s="293"/>
      <c r="AU16" s="291">
        <f>SUM('12'!L65:'12'!L69)</f>
        <v>0</v>
      </c>
      <c r="AV16" s="292"/>
      <c r="AW16" s="292"/>
      <c r="AX16" s="293"/>
      <c r="AZ16" s="213">
        <f t="shared" si="1"/>
        <v>0</v>
      </c>
      <c r="BA16" s="112">
        <f t="shared" ca="1" si="0"/>
        <v>0</v>
      </c>
      <c r="BB16" s="3"/>
      <c r="BC16" s="3"/>
    </row>
    <row r="17" spans="1:62" ht="15.9" thickBot="1">
      <c r="A17" s="215" t="s">
        <v>5</v>
      </c>
      <c r="B17" s="221">
        <f>SUM(B8:B16)</f>
        <v>61772.079999999994</v>
      </c>
      <c r="C17" s="268">
        <f>SUM(C8:C16)</f>
        <v>755.26</v>
      </c>
      <c r="D17" s="269"/>
      <c r="E17" s="269"/>
      <c r="F17" s="270"/>
      <c r="G17" s="268">
        <f>SUM(G8:G16)</f>
        <v>0</v>
      </c>
      <c r="H17" s="269"/>
      <c r="I17" s="269"/>
      <c r="J17" s="270"/>
      <c r="K17" s="268">
        <f>SUM(K8:K16)</f>
        <v>0</v>
      </c>
      <c r="L17" s="269"/>
      <c r="M17" s="269"/>
      <c r="N17" s="270"/>
      <c r="O17" s="268">
        <f>SUM(O8:O16)</f>
        <v>0</v>
      </c>
      <c r="P17" s="269"/>
      <c r="Q17" s="269"/>
      <c r="R17" s="270"/>
      <c r="S17" s="268">
        <f>SUM(S8:S16)</f>
        <v>0</v>
      </c>
      <c r="T17" s="269"/>
      <c r="U17" s="269"/>
      <c r="V17" s="270"/>
      <c r="W17" s="268">
        <f>SUM(W8:W16)</f>
        <v>0</v>
      </c>
      <c r="X17" s="269"/>
      <c r="Y17" s="269"/>
      <c r="Z17" s="270"/>
      <c r="AA17" s="268">
        <f>SUM(AA8:AA16)</f>
        <v>0</v>
      </c>
      <c r="AB17" s="269"/>
      <c r="AC17" s="269"/>
      <c r="AD17" s="270"/>
      <c r="AE17" s="268">
        <f>SUM(AE8:AE16)</f>
        <v>0</v>
      </c>
      <c r="AF17" s="269"/>
      <c r="AG17" s="269"/>
      <c r="AH17" s="270"/>
      <c r="AI17" s="268">
        <f>SUM(AI8:AI16)</f>
        <v>0</v>
      </c>
      <c r="AJ17" s="269"/>
      <c r="AK17" s="269"/>
      <c r="AL17" s="270"/>
      <c r="AM17" s="268">
        <f>SUM(AM8:AM16)</f>
        <v>0</v>
      </c>
      <c r="AN17" s="269"/>
      <c r="AO17" s="269"/>
      <c r="AP17" s="270"/>
      <c r="AQ17" s="268">
        <f>SUM(AQ8:AQ16)</f>
        <v>0</v>
      </c>
      <c r="AR17" s="269"/>
      <c r="AS17" s="269"/>
      <c r="AT17" s="270"/>
      <c r="AU17" s="268">
        <f>SUM(AU8:AU16)</f>
        <v>0</v>
      </c>
      <c r="AV17" s="269"/>
      <c r="AW17" s="269"/>
      <c r="AX17" s="270"/>
      <c r="AZ17" s="227">
        <f>SUM(AZ8:AZ16)</f>
        <v>755.26</v>
      </c>
      <c r="BA17" s="112">
        <f ca="1">AZ17/BC$17</f>
        <v>755.26</v>
      </c>
      <c r="BB17" s="1" t="s">
        <v>83</v>
      </c>
      <c r="BC17" s="1">
        <f ca="1">MONTH(TODAY())</f>
        <v>1</v>
      </c>
      <c r="BD17" s="39"/>
    </row>
    <row r="18" spans="1:62" ht="32.25" customHeight="1" thickTop="1" thickBot="1">
      <c r="A18" s="10"/>
      <c r="B18" s="10"/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  <c r="W18" s="271"/>
      <c r="X18" s="271"/>
      <c r="Y18" s="271"/>
      <c r="Z18" s="271"/>
      <c r="AA18" s="271"/>
      <c r="AB18" s="271"/>
      <c r="AC18" s="271"/>
      <c r="AD18" s="271"/>
      <c r="AE18" s="271"/>
      <c r="AF18" s="271"/>
      <c r="AG18" s="271"/>
      <c r="AH18" s="271"/>
      <c r="AI18" s="271"/>
      <c r="AJ18" s="271"/>
      <c r="AK18" s="271"/>
      <c r="AL18" s="271"/>
      <c r="AM18" s="271"/>
      <c r="AN18" s="271"/>
      <c r="AO18" s="271"/>
      <c r="AP18" s="271"/>
      <c r="AQ18" s="271"/>
      <c r="AR18" s="271"/>
      <c r="AS18" s="271"/>
      <c r="AT18" s="271"/>
      <c r="AU18" s="271" t="s">
        <v>176</v>
      </c>
      <c r="AV18" s="271"/>
      <c r="AW18" s="271"/>
      <c r="AX18" s="271"/>
      <c r="AZ18" s="131">
        <f>(2500*13)+(600*12)+(550*12)+(95*12)</f>
        <v>47440</v>
      </c>
      <c r="BA18" s="131">
        <f ca="1">12*BA17</f>
        <v>9063.119999999999</v>
      </c>
      <c r="BB18" s="1"/>
      <c r="BC18" s="1"/>
    </row>
    <row r="19" spans="1:62" ht="16.2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6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42.239999999999995</v>
      </c>
      <c r="F20" s="145">
        <f t="shared" ref="F20:F45" si="2">B20+D20-E20</f>
        <v>1066.3099999999997</v>
      </c>
      <c r="G20" s="143" t="s">
        <v>1</v>
      </c>
      <c r="H20" s="144">
        <f>'02'!B20</f>
        <v>544</v>
      </c>
      <c r="I20" s="144">
        <f>SUM('02'!D20:F20)</f>
        <v>0</v>
      </c>
      <c r="J20" s="145">
        <f t="shared" ref="J20:J45" si="3">F20+H20-I20</f>
        <v>1610.3099999999997</v>
      </c>
      <c r="K20" s="143" t="s">
        <v>2</v>
      </c>
      <c r="L20" s="144">
        <f>'03'!B20</f>
        <v>544</v>
      </c>
      <c r="M20" s="144">
        <f>SUM('03'!D20:F20)</f>
        <v>0</v>
      </c>
      <c r="N20" s="145">
        <f t="shared" ref="N20:N45" si="4">J20+L20-M20</f>
        <v>2154.3099999999995</v>
      </c>
      <c r="O20" s="143" t="s">
        <v>3</v>
      </c>
      <c r="P20" s="144">
        <f>'04'!B20</f>
        <v>544</v>
      </c>
      <c r="Q20" s="144">
        <f>SUM('04'!D20:F20)</f>
        <v>0</v>
      </c>
      <c r="R20" s="145">
        <f t="shared" ref="R20:R45" si="5">N20+P20-Q20</f>
        <v>2698.3099999999995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3242.3099999999995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3786.3099999999995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4330.3099999999995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4874.3099999999995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5418.3099999999995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5962.3099999999995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6506.3099999999995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7050.3099999999995</v>
      </c>
      <c r="AZ20" s="123">
        <f t="shared" ref="AZ20:AZ27" si="14">E20+I20+M20+Q20+U20+Y20+AC20+AG20+AK20+AO20+AS20+AW20</f>
        <v>42.239999999999995</v>
      </c>
      <c r="BA20" s="21">
        <f t="shared" ref="BA20:BA45" si="15">AZ20/AZ$46</f>
        <v>1.3474328915259102E-2</v>
      </c>
      <c r="BB20" s="22">
        <f>_xlfn.RANK.EQ(BA20,$BA$20:$BA$45,)</f>
        <v>10</v>
      </c>
      <c r="BC20" s="22">
        <f t="shared" ref="BC20:BC45" ca="1" si="16">AZ20/BC$17</f>
        <v>42.239999999999995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659.77</v>
      </c>
      <c r="BF20" s="21">
        <f t="shared" ref="BF20:BF45" ca="1" si="18">BE20/BE$46</f>
        <v>0.87356671874586256</v>
      </c>
      <c r="BG20" s="22">
        <f ca="1">_xlfn.RANK.EQ(BF20,$BF$20:$BF$45,)</f>
        <v>2</v>
      </c>
      <c r="BH20" s="22">
        <f t="shared" ref="BH20:BH45" ca="1" si="19">BE20/BC$17</f>
        <v>659.77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617.53000000000009</v>
      </c>
    </row>
    <row r="21" spans="1:62" ht="15.6">
      <c r="A21" s="146" t="s">
        <v>49</v>
      </c>
      <c r="B21" s="147">
        <v>652.85999999999967</v>
      </c>
      <c r="C21" s="148" t="s">
        <v>0</v>
      </c>
      <c r="D21" s="149">
        <f>'01'!B40</f>
        <v>1128</v>
      </c>
      <c r="E21" s="150">
        <f>SUM('01'!D40:F40)</f>
        <v>1084.95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0</v>
      </c>
      <c r="J21" s="151">
        <f t="shared" si="3"/>
        <v>1823.9099999999996</v>
      </c>
      <c r="K21" s="148" t="s">
        <v>2</v>
      </c>
      <c r="L21" s="149">
        <f>'03'!B40</f>
        <v>1128</v>
      </c>
      <c r="M21" s="150">
        <f>SUM('03'!D40:F40)</f>
        <v>0</v>
      </c>
      <c r="N21" s="151">
        <f t="shared" si="4"/>
        <v>2951.91</v>
      </c>
      <c r="O21" s="148" t="s">
        <v>3</v>
      </c>
      <c r="P21" s="149">
        <f>'04'!B40</f>
        <v>1128</v>
      </c>
      <c r="Q21" s="150">
        <f>SUM('04'!D40:F40)</f>
        <v>0</v>
      </c>
      <c r="R21" s="151">
        <f t="shared" si="5"/>
        <v>4079.91</v>
      </c>
      <c r="S21" s="148" t="s">
        <v>71</v>
      </c>
      <c r="T21" s="149">
        <f>'05'!B40</f>
        <v>1128</v>
      </c>
      <c r="U21" s="150">
        <f>SUM('05'!D40:F40)</f>
        <v>0</v>
      </c>
      <c r="V21" s="151">
        <f t="shared" si="6"/>
        <v>5207.91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6335.91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7463.91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8591.91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9719.91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10847.91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11975.91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13103.91</v>
      </c>
      <c r="AZ21" s="152">
        <f t="shared" si="14"/>
        <v>1084.95</v>
      </c>
      <c r="BA21" s="21">
        <f t="shared" si="15"/>
        <v>0.34609311450308627</v>
      </c>
      <c r="BB21" s="22">
        <f t="shared" ref="BB21:BB45" si="20">_xlfn.RANK.EQ(BA21,$BA$20:$BA$45,)</f>
        <v>1</v>
      </c>
      <c r="BC21" s="22">
        <f t="shared" ca="1" si="16"/>
        <v>1084.95</v>
      </c>
      <c r="BE21" s="224">
        <f t="shared" ca="1" si="17"/>
        <v>1128</v>
      </c>
      <c r="BF21" s="21">
        <f t="shared" ca="1" si="18"/>
        <v>1.4935254084686074</v>
      </c>
      <c r="BG21" s="22">
        <f t="shared" ref="BG21:BG45" ca="1" si="21">_xlfn.RANK.EQ(BF21,$BF$20:$BF$45,)</f>
        <v>1</v>
      </c>
      <c r="BH21" s="22">
        <f t="shared" ca="1" si="19"/>
        <v>1128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43.049999999999955</v>
      </c>
    </row>
    <row r="22" spans="1:62" ht="15.6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488.92</v>
      </c>
      <c r="F22" s="156">
        <f t="shared" si="2"/>
        <v>227.15000000000015</v>
      </c>
      <c r="G22" s="143" t="s">
        <v>1</v>
      </c>
      <c r="H22" s="155">
        <f>'02'!B60</f>
        <v>470</v>
      </c>
      <c r="I22" s="155">
        <f>SUM('02'!D60:F60)</f>
        <v>0</v>
      </c>
      <c r="J22" s="156">
        <f t="shared" si="3"/>
        <v>697.15000000000009</v>
      </c>
      <c r="K22" s="143" t="s">
        <v>2</v>
      </c>
      <c r="L22" s="155">
        <f>'03'!B60</f>
        <v>490</v>
      </c>
      <c r="M22" s="155">
        <f>SUM('03'!D60:F60)</f>
        <v>0</v>
      </c>
      <c r="N22" s="156">
        <f t="shared" si="4"/>
        <v>1187.1500000000001</v>
      </c>
      <c r="O22" s="143" t="s">
        <v>3</v>
      </c>
      <c r="P22" s="155">
        <f>'04'!B60</f>
        <v>490</v>
      </c>
      <c r="Q22" s="155">
        <f>SUM('04'!D60:F60)</f>
        <v>0</v>
      </c>
      <c r="R22" s="156">
        <f t="shared" si="5"/>
        <v>1677.15</v>
      </c>
      <c r="S22" s="143" t="s">
        <v>71</v>
      </c>
      <c r="T22" s="155">
        <f>'05'!B60</f>
        <v>490</v>
      </c>
      <c r="U22" s="155">
        <f>SUM('05'!D60:F60)</f>
        <v>0</v>
      </c>
      <c r="V22" s="156">
        <f t="shared" si="6"/>
        <v>2167.15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2657.15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3147.15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3637.15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4127.1499999999996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4617.1499999999996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5107.1499999999996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5597.15</v>
      </c>
      <c r="AZ22" s="157">
        <f t="shared" si="14"/>
        <v>488.92</v>
      </c>
      <c r="BA22" s="21">
        <f t="shared" si="15"/>
        <v>0.15596280523789019</v>
      </c>
      <c r="BB22" s="22">
        <f t="shared" si="20"/>
        <v>2</v>
      </c>
      <c r="BC22" s="22">
        <f t="shared" ca="1" si="16"/>
        <v>488.92</v>
      </c>
      <c r="BE22" s="225">
        <f t="shared" ca="1" si="17"/>
        <v>470</v>
      </c>
      <c r="BF22" s="21">
        <f t="shared" ca="1" si="18"/>
        <v>0.62230225352858637</v>
      </c>
      <c r="BG22" s="22">
        <f t="shared" ca="1" si="21"/>
        <v>3</v>
      </c>
      <c r="BH22" s="22">
        <f t="shared" ca="1" si="19"/>
        <v>470</v>
      </c>
      <c r="BJ22" s="225">
        <f t="shared" ca="1" si="22"/>
        <v>-18.920000000000016</v>
      </c>
    </row>
    <row r="23" spans="1:62" ht="15.6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105.25</v>
      </c>
      <c r="F23" s="151">
        <f t="shared" si="2"/>
        <v>106.88000000000002</v>
      </c>
      <c r="G23" s="148" t="s">
        <v>1</v>
      </c>
      <c r="H23" s="149">
        <f>'02'!B80</f>
        <v>170</v>
      </c>
      <c r="I23" s="150">
        <f>SUM('02'!D80:F80)</f>
        <v>0</v>
      </c>
      <c r="J23" s="151">
        <f t="shared" si="3"/>
        <v>276.88</v>
      </c>
      <c r="K23" s="148" t="s">
        <v>2</v>
      </c>
      <c r="L23" s="149">
        <f>'03'!B80</f>
        <v>150</v>
      </c>
      <c r="M23" s="150">
        <f>SUM('03'!D80:F80)</f>
        <v>0</v>
      </c>
      <c r="N23" s="151">
        <f t="shared" si="4"/>
        <v>426.88</v>
      </c>
      <c r="O23" s="148" t="s">
        <v>3</v>
      </c>
      <c r="P23" s="149">
        <f>'04'!B80</f>
        <v>150</v>
      </c>
      <c r="Q23" s="150">
        <f>SUM('04'!D80:F80)</f>
        <v>0</v>
      </c>
      <c r="R23" s="151">
        <f t="shared" si="5"/>
        <v>576.88</v>
      </c>
      <c r="S23" s="148" t="s">
        <v>71</v>
      </c>
      <c r="T23" s="149">
        <f>'05'!B80</f>
        <v>150</v>
      </c>
      <c r="U23" s="150">
        <f>SUM('05'!D80:F80)</f>
        <v>0</v>
      </c>
      <c r="V23" s="151">
        <f t="shared" si="6"/>
        <v>726.88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876.88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1026.8800000000001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1176.8800000000001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1326.88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1476.88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1626.88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1776.88</v>
      </c>
      <c r="AZ23" s="152">
        <f t="shared" si="14"/>
        <v>105.25</v>
      </c>
      <c r="BA23" s="21">
        <f t="shared" si="15"/>
        <v>3.3574174202912421E-2</v>
      </c>
      <c r="BB23" s="22">
        <f t="shared" si="20"/>
        <v>6</v>
      </c>
      <c r="BC23" s="22">
        <f t="shared" ca="1" si="16"/>
        <v>105.25</v>
      </c>
      <c r="BE23" s="224">
        <f t="shared" ca="1" si="17"/>
        <v>170</v>
      </c>
      <c r="BF23" s="21">
        <f t="shared" ca="1" si="18"/>
        <v>0.22508804914863761</v>
      </c>
      <c r="BG23" s="22">
        <f t="shared" ca="1" si="21"/>
        <v>6</v>
      </c>
      <c r="BH23" s="22">
        <f t="shared" ca="1" si="19"/>
        <v>170</v>
      </c>
      <c r="BJ23" s="224">
        <f t="shared" ca="1" si="22"/>
        <v>64.75</v>
      </c>
    </row>
    <row r="24" spans="1:62" ht="15.6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91.31</v>
      </c>
      <c r="F24" s="156">
        <f t="shared" si="2"/>
        <v>68.69</v>
      </c>
      <c r="G24" s="143" t="s">
        <v>1</v>
      </c>
      <c r="H24" s="155">
        <f>'02'!B100</f>
        <v>160</v>
      </c>
      <c r="I24" s="155">
        <f>SUM('02'!D100:F100)</f>
        <v>0</v>
      </c>
      <c r="J24" s="156">
        <f t="shared" si="3"/>
        <v>228.69</v>
      </c>
      <c r="K24" s="143" t="s">
        <v>2</v>
      </c>
      <c r="L24" s="155">
        <f>'03'!B100</f>
        <v>160</v>
      </c>
      <c r="M24" s="155">
        <f>SUM('03'!D100:F100)</f>
        <v>0</v>
      </c>
      <c r="N24" s="156">
        <f t="shared" si="4"/>
        <v>388.69</v>
      </c>
      <c r="O24" s="143" t="s">
        <v>3</v>
      </c>
      <c r="P24" s="155">
        <f>'04'!B100</f>
        <v>160</v>
      </c>
      <c r="Q24" s="155">
        <f>SUM('04'!D100:F100)</f>
        <v>0</v>
      </c>
      <c r="R24" s="156">
        <f t="shared" si="5"/>
        <v>548.69000000000005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708.69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868.69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1028.69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1188.69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1348.69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1508.69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1668.69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1828.69</v>
      </c>
      <c r="AZ24" s="157">
        <f t="shared" si="14"/>
        <v>91.31</v>
      </c>
      <c r="BA24" s="21">
        <f t="shared" si="15"/>
        <v>2.9127390465253523E-2</v>
      </c>
      <c r="BB24" s="22">
        <f t="shared" si="20"/>
        <v>7</v>
      </c>
      <c r="BC24" s="22">
        <f t="shared" ca="1" si="16"/>
        <v>91.31</v>
      </c>
      <c r="BE24" s="225">
        <f t="shared" ca="1" si="17"/>
        <v>160</v>
      </c>
      <c r="BF24" s="21">
        <f t="shared" ca="1" si="18"/>
        <v>0.21184757566930601</v>
      </c>
      <c r="BG24" s="22">
        <f t="shared" ca="1" si="21"/>
        <v>7</v>
      </c>
      <c r="BH24" s="22">
        <f t="shared" ca="1" si="19"/>
        <v>160</v>
      </c>
      <c r="BJ24" s="225">
        <f t="shared" ca="1" si="22"/>
        <v>68.69</v>
      </c>
    </row>
    <row r="25" spans="1:62" ht="15.6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0</v>
      </c>
      <c r="J25" s="151">
        <f t="shared" si="3"/>
        <v>3645.1699999999983</v>
      </c>
      <c r="K25" s="148" t="s">
        <v>2</v>
      </c>
      <c r="L25" s="149">
        <f>'03'!B120</f>
        <v>405</v>
      </c>
      <c r="M25" s="150">
        <f>SUM('03'!D120:F120)</f>
        <v>0</v>
      </c>
      <c r="N25" s="151">
        <f t="shared" si="4"/>
        <v>4050.1699999999983</v>
      </c>
      <c r="O25" s="148" t="s">
        <v>3</v>
      </c>
      <c r="P25" s="149">
        <f>'04'!B120</f>
        <v>405</v>
      </c>
      <c r="Q25" s="150">
        <f>SUM('04'!D120:F120)</f>
        <v>0</v>
      </c>
      <c r="R25" s="151">
        <f t="shared" si="5"/>
        <v>4455.1699999999983</v>
      </c>
      <c r="S25" s="148" t="s">
        <v>71</v>
      </c>
      <c r="T25" s="149">
        <f>'05'!B120</f>
        <v>405</v>
      </c>
      <c r="U25" s="150">
        <f>SUM('05'!D120:F120)</f>
        <v>0</v>
      </c>
      <c r="V25" s="151">
        <f t="shared" si="6"/>
        <v>4860.1699999999983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5265.1699999999983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5670.1699999999983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6075.1699999999983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6480.1699999999983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6885.1699999999983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7290.1699999999983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7695.1699999999983</v>
      </c>
      <c r="AZ25" s="152">
        <f t="shared" si="14"/>
        <v>327.38</v>
      </c>
      <c r="BA25" s="21">
        <f t="shared" si="15"/>
        <v>0.10443242898384293</v>
      </c>
      <c r="BB25" s="22">
        <f t="shared" si="20"/>
        <v>5</v>
      </c>
      <c r="BC25" s="22">
        <f t="shared" ca="1" si="16"/>
        <v>327.38</v>
      </c>
      <c r="BE25" s="224">
        <f t="shared" ca="1" si="17"/>
        <v>405</v>
      </c>
      <c r="BF25" s="21">
        <f t="shared" ca="1" si="18"/>
        <v>0.5362391759129308</v>
      </c>
      <c r="BG25" s="22">
        <f t="shared" ca="1" si="21"/>
        <v>4</v>
      </c>
      <c r="BH25" s="22">
        <f t="shared" ca="1" si="19"/>
        <v>405</v>
      </c>
      <c r="BJ25" s="224">
        <f t="shared" ca="1" si="22"/>
        <v>77.619999999999891</v>
      </c>
    </row>
    <row r="26" spans="1:62" ht="15.6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32.99</v>
      </c>
      <c r="F26" s="156">
        <f t="shared" si="2"/>
        <v>34.549999999999947</v>
      </c>
      <c r="G26" s="143" t="s">
        <v>1</v>
      </c>
      <c r="H26" s="155">
        <f>'02'!B140</f>
        <v>48</v>
      </c>
      <c r="I26" s="155">
        <f>SUM('02'!D140:F140)</f>
        <v>0</v>
      </c>
      <c r="J26" s="156">
        <f t="shared" si="3"/>
        <v>82.549999999999955</v>
      </c>
      <c r="K26" s="143" t="s">
        <v>2</v>
      </c>
      <c r="L26" s="155">
        <f>'03'!B140</f>
        <v>48</v>
      </c>
      <c r="M26" s="155">
        <f>SUM('03'!D140:F140)</f>
        <v>0</v>
      </c>
      <c r="N26" s="156">
        <f t="shared" si="4"/>
        <v>130.54999999999995</v>
      </c>
      <c r="O26" s="143" t="s">
        <v>3</v>
      </c>
      <c r="P26" s="155">
        <f>'04'!B140</f>
        <v>48</v>
      </c>
      <c r="Q26" s="155">
        <f>SUM('04'!D140:F140)</f>
        <v>0</v>
      </c>
      <c r="R26" s="156">
        <f t="shared" si="5"/>
        <v>178.54999999999995</v>
      </c>
      <c r="S26" s="143" t="s">
        <v>71</v>
      </c>
      <c r="T26" s="155">
        <f>'05'!B140</f>
        <v>48</v>
      </c>
      <c r="U26" s="155">
        <f>SUM('05'!D140:F140)</f>
        <v>0</v>
      </c>
      <c r="V26" s="156">
        <f t="shared" si="6"/>
        <v>226.54999999999995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274.54999999999995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322.54999999999995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370.54999999999995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418.54999999999995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466.54999999999995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514.54999999999995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562.54999999999995</v>
      </c>
      <c r="AZ26" s="157">
        <f t="shared" si="14"/>
        <v>32.99</v>
      </c>
      <c r="BA26" s="21">
        <f t="shared" si="15"/>
        <v>1.0523629519753738E-2</v>
      </c>
      <c r="BB26" s="22">
        <f t="shared" si="20"/>
        <v>13</v>
      </c>
      <c r="BC26" s="22">
        <f t="shared" ca="1" si="16"/>
        <v>32.99</v>
      </c>
      <c r="BE26" s="225">
        <f t="shared" ca="1" si="17"/>
        <v>48</v>
      </c>
      <c r="BF26" s="21">
        <f t="shared" ca="1" si="18"/>
        <v>6.3554272700791795E-2</v>
      </c>
      <c r="BG26" s="22">
        <f t="shared" ca="1" si="21"/>
        <v>17</v>
      </c>
      <c r="BH26" s="22">
        <f t="shared" ca="1" si="19"/>
        <v>48</v>
      </c>
      <c r="BJ26" s="225">
        <f t="shared" ca="1" si="22"/>
        <v>15.009999999999998</v>
      </c>
    </row>
    <row r="27" spans="1:62" ht="15.9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0</v>
      </c>
      <c r="J27" s="187">
        <f t="shared" si="3"/>
        <v>380.28000000000003</v>
      </c>
      <c r="K27" s="185" t="s">
        <v>2</v>
      </c>
      <c r="L27" s="186">
        <f>'03'!B160</f>
        <v>50</v>
      </c>
      <c r="M27" s="186">
        <f>SUM('03'!D160:F160)</f>
        <v>0</v>
      </c>
      <c r="N27" s="187">
        <f t="shared" si="4"/>
        <v>430.28000000000003</v>
      </c>
      <c r="O27" s="185" t="s">
        <v>3</v>
      </c>
      <c r="P27" s="186">
        <f>'04'!B160</f>
        <v>50</v>
      </c>
      <c r="Q27" s="186">
        <f>SUM('04'!D160:F160)</f>
        <v>0</v>
      </c>
      <c r="R27" s="187">
        <f t="shared" si="5"/>
        <v>480.28000000000003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530.28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580.28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630.28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680.28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730.28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780.28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830.28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880.28</v>
      </c>
      <c r="AZ27" s="188">
        <f t="shared" si="14"/>
        <v>23.67</v>
      </c>
      <c r="BA27" s="21">
        <f t="shared" si="15"/>
        <v>7.550600507201302E-3</v>
      </c>
      <c r="BB27" s="22">
        <f t="shared" si="20"/>
        <v>15</v>
      </c>
      <c r="BC27" s="22">
        <f t="shared" ca="1" si="16"/>
        <v>23.67</v>
      </c>
      <c r="BE27" s="224">
        <f t="shared" ca="1" si="17"/>
        <v>50</v>
      </c>
      <c r="BF27" s="21">
        <f t="shared" ca="1" si="18"/>
        <v>6.6202367396658121E-2</v>
      </c>
      <c r="BG27" s="22">
        <f t="shared" ca="1" si="21"/>
        <v>14</v>
      </c>
      <c r="BH27" s="22">
        <f t="shared" ca="1" si="19"/>
        <v>50</v>
      </c>
      <c r="BJ27" s="224">
        <f t="shared" ca="1" si="22"/>
        <v>26.329999999999984</v>
      </c>
    </row>
    <row r="28" spans="1:62" ht="15.6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374.2</v>
      </c>
      <c r="F28" s="159">
        <f t="shared" si="2"/>
        <v>434.85000000000008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634.85000000000014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834.85000000000014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1034.8500000000001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1234.8500000000001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1434.8500000000001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1634.8500000000001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1834.8500000000001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2034.8500000000001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2234.8500000000004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2434.8500000000004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2634.8500000000004</v>
      </c>
      <c r="AZ28" s="182">
        <f t="shared" ref="AZ28:AZ45" si="23">E28+I28+M28+Q28+U28+Y28+AC28+AG28+AK28+AO28+AS28+AW28</f>
        <v>374.2</v>
      </c>
      <c r="BA28" s="21">
        <f t="shared" si="15"/>
        <v>0.11936775284303874</v>
      </c>
      <c r="BB28" s="22">
        <f t="shared" si="20"/>
        <v>3</v>
      </c>
      <c r="BC28" s="22">
        <f t="shared" ca="1" si="16"/>
        <v>374.2</v>
      </c>
      <c r="BE28" s="223">
        <f t="shared" ca="1" si="17"/>
        <v>200</v>
      </c>
      <c r="BF28" s="21">
        <f t="shared" ca="1" si="18"/>
        <v>0.26480946958663248</v>
      </c>
      <c r="BG28" s="22">
        <f t="shared" ca="1" si="21"/>
        <v>5</v>
      </c>
      <c r="BH28" s="22">
        <f t="shared" ca="1" si="19"/>
        <v>200</v>
      </c>
      <c r="BJ28" s="223">
        <f t="shared" ca="1" si="22"/>
        <v>-174.2</v>
      </c>
    </row>
    <row r="29" spans="1:62" ht="15.6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0</v>
      </c>
      <c r="J29" s="160">
        <f t="shared" si="3"/>
        <v>47.36000000000007</v>
      </c>
      <c r="K29" s="148" t="s">
        <v>2</v>
      </c>
      <c r="L29" s="149">
        <f>'03'!B200</f>
        <v>70</v>
      </c>
      <c r="M29" s="150">
        <f>SUM('03'!D200:F200)</f>
        <v>0</v>
      </c>
      <c r="N29" s="160">
        <f t="shared" si="4"/>
        <v>117.36000000000007</v>
      </c>
      <c r="O29" s="148" t="s">
        <v>3</v>
      </c>
      <c r="P29" s="149">
        <f>'04'!B200</f>
        <v>70</v>
      </c>
      <c r="Q29" s="150">
        <f>SUM('04'!D200:F200)</f>
        <v>0</v>
      </c>
      <c r="R29" s="160">
        <f t="shared" si="5"/>
        <v>187.36000000000007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257.36000000000007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327.36000000000007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397.36000000000007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467.36000000000007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537.36000000000013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607.36000000000013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677.36000000000013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747.36000000000013</v>
      </c>
      <c r="AZ29" s="152">
        <f t="shared" si="23"/>
        <v>45.97</v>
      </c>
      <c r="BA29" s="21">
        <f t="shared" si="15"/>
        <v>1.4664178509338564E-2</v>
      </c>
      <c r="BB29" s="22">
        <f t="shared" si="20"/>
        <v>9</v>
      </c>
      <c r="BC29" s="22">
        <f t="shared" ca="1" si="16"/>
        <v>45.97</v>
      </c>
      <c r="BE29" s="224">
        <f t="shared" ca="1" si="17"/>
        <v>70</v>
      </c>
      <c r="BF29" s="21">
        <f t="shared" ca="1" si="18"/>
        <v>9.2683314355321372E-2</v>
      </c>
      <c r="BG29" s="22">
        <f t="shared" ca="1" si="21"/>
        <v>11</v>
      </c>
      <c r="BH29" s="22">
        <f t="shared" ca="1" si="19"/>
        <v>70</v>
      </c>
      <c r="BJ29" s="224">
        <f t="shared" ca="1" si="22"/>
        <v>24.03</v>
      </c>
    </row>
    <row r="30" spans="1:62" ht="15.6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0</v>
      </c>
      <c r="F30" s="161">
        <f t="shared" si="2"/>
        <v>8.1699999999999733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43.169999999999973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78.169999999999973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113.16999999999997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148.16999999999996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183.16999999999996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218.16999999999996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253.16999999999996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288.16999999999996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323.16999999999996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358.16999999999996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393.16999999999996</v>
      </c>
      <c r="AZ30" s="157">
        <f t="shared" si="23"/>
        <v>0</v>
      </c>
      <c r="BA30" s="21">
        <f t="shared" si="15"/>
        <v>0</v>
      </c>
      <c r="BB30" s="22">
        <f t="shared" si="20"/>
        <v>17</v>
      </c>
      <c r="BC30" s="22">
        <f t="shared" ca="1" si="16"/>
        <v>0</v>
      </c>
      <c r="BE30" s="225">
        <f t="shared" ca="1" si="17"/>
        <v>35</v>
      </c>
      <c r="BF30" s="21">
        <f t="shared" ca="1" si="18"/>
        <v>4.6341657177660686E-2</v>
      </c>
      <c r="BG30" s="22">
        <f t="shared" ca="1" si="21"/>
        <v>19</v>
      </c>
      <c r="BH30" s="22">
        <f t="shared" ca="1" si="19"/>
        <v>35</v>
      </c>
      <c r="BJ30" s="225">
        <f t="shared" ca="1" si="22"/>
        <v>35</v>
      </c>
    </row>
    <row r="31" spans="1:62" ht="15.6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0</v>
      </c>
      <c r="J31" s="160">
        <f t="shared" si="3"/>
        <v>109.04</v>
      </c>
      <c r="K31" s="148" t="s">
        <v>2</v>
      </c>
      <c r="L31" s="149">
        <f>'03'!B240</f>
        <v>20</v>
      </c>
      <c r="M31" s="150">
        <f>SUM('03'!D240:F240)</f>
        <v>0</v>
      </c>
      <c r="N31" s="160">
        <f t="shared" si="4"/>
        <v>129.04000000000002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149.04000000000002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169.04000000000002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189.04000000000002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209.04000000000002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229.04000000000002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249.04000000000002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269.04000000000002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289.04000000000002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309.04000000000002</v>
      </c>
      <c r="AZ31" s="152">
        <f t="shared" si="23"/>
        <v>7</v>
      </c>
      <c r="BA31" s="21">
        <f t="shared" si="15"/>
        <v>2.2329617047067642E-3</v>
      </c>
      <c r="BB31" s="22">
        <f t="shared" si="20"/>
        <v>16</v>
      </c>
      <c r="BC31" s="22">
        <f t="shared" ca="1" si="16"/>
        <v>7</v>
      </c>
      <c r="BE31" s="224">
        <f t="shared" ca="1" si="17"/>
        <v>20</v>
      </c>
      <c r="BF31" s="21">
        <f t="shared" ca="1" si="18"/>
        <v>2.6480946958663251E-2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13</v>
      </c>
    </row>
    <row r="32" spans="1:62" ht="15.6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35.750000000000028</v>
      </c>
      <c r="G32" s="143" t="s">
        <v>1</v>
      </c>
      <c r="H32" s="155">
        <f>'02'!B260</f>
        <v>50</v>
      </c>
      <c r="I32" s="155">
        <f>SUM('02'!D260:F260)</f>
        <v>0</v>
      </c>
      <c r="J32" s="161">
        <f t="shared" si="3"/>
        <v>85.750000000000028</v>
      </c>
      <c r="K32" s="143" t="s">
        <v>2</v>
      </c>
      <c r="L32" s="155">
        <f>'03'!B260</f>
        <v>50</v>
      </c>
      <c r="M32" s="155">
        <f>SUM('03'!D260:F260)</f>
        <v>0</v>
      </c>
      <c r="N32" s="161">
        <f t="shared" si="4"/>
        <v>135.75000000000003</v>
      </c>
      <c r="O32" s="143" t="s">
        <v>3</v>
      </c>
      <c r="P32" s="155">
        <f>'04'!B260</f>
        <v>50</v>
      </c>
      <c r="Q32" s="155">
        <f>SUM('04'!D260:F260)</f>
        <v>0</v>
      </c>
      <c r="R32" s="161">
        <f t="shared" si="5"/>
        <v>185.75000000000003</v>
      </c>
      <c r="S32" s="143" t="s">
        <v>71</v>
      </c>
      <c r="T32" s="155">
        <f>'05'!B260</f>
        <v>50</v>
      </c>
      <c r="U32" s="155">
        <f>SUM('05'!D260:F260)</f>
        <v>0</v>
      </c>
      <c r="V32" s="161">
        <f t="shared" si="6"/>
        <v>235.75000000000003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285.75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335.75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385.75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435.75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485.75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535.75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585.75</v>
      </c>
      <c r="AZ32" s="157">
        <f t="shared" si="23"/>
        <v>0</v>
      </c>
      <c r="BA32" s="21">
        <f t="shared" si="15"/>
        <v>0</v>
      </c>
      <c r="BB32" s="22">
        <f t="shared" si="20"/>
        <v>17</v>
      </c>
      <c r="BC32" s="22">
        <f t="shared" ca="1" si="16"/>
        <v>0</v>
      </c>
      <c r="BE32" s="225">
        <f t="shared" ca="1" si="17"/>
        <v>50</v>
      </c>
      <c r="BF32" s="21">
        <f t="shared" ca="1" si="18"/>
        <v>6.6202367396658121E-2</v>
      </c>
      <c r="BG32" s="22">
        <f t="shared" ca="1" si="21"/>
        <v>14</v>
      </c>
      <c r="BH32" s="22">
        <f t="shared" ca="1" si="19"/>
        <v>50</v>
      </c>
      <c r="BJ32" s="225">
        <f t="shared" ca="1" si="22"/>
        <v>50</v>
      </c>
    </row>
    <row r="33" spans="1:62" ht="15.6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0</v>
      </c>
      <c r="F33" s="160">
        <f t="shared" si="2"/>
        <v>470</v>
      </c>
      <c r="G33" s="148" t="s">
        <v>1</v>
      </c>
      <c r="H33" s="149">
        <f>'02'!B280</f>
        <v>50</v>
      </c>
      <c r="I33" s="150">
        <f>SUM('02'!D280:F280)</f>
        <v>0</v>
      </c>
      <c r="J33" s="160">
        <f t="shared" si="3"/>
        <v>520</v>
      </c>
      <c r="K33" s="148" t="s">
        <v>2</v>
      </c>
      <c r="L33" s="149">
        <f>'03'!B280</f>
        <v>50</v>
      </c>
      <c r="M33" s="150">
        <f>SUM('03'!D280:F280)</f>
        <v>0</v>
      </c>
      <c r="N33" s="160">
        <f t="shared" si="4"/>
        <v>570</v>
      </c>
      <c r="O33" s="148" t="s">
        <v>3</v>
      </c>
      <c r="P33" s="149">
        <f>'04'!B280</f>
        <v>50</v>
      </c>
      <c r="Q33" s="150">
        <f>SUM('04'!D280:F280)</f>
        <v>0</v>
      </c>
      <c r="R33" s="160">
        <f t="shared" si="5"/>
        <v>620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670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720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770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820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870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920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970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1020</v>
      </c>
      <c r="AZ33" s="152">
        <f t="shared" si="23"/>
        <v>0</v>
      </c>
      <c r="BA33" s="21">
        <f t="shared" si="15"/>
        <v>0</v>
      </c>
      <c r="BB33" s="22">
        <f t="shared" si="20"/>
        <v>17</v>
      </c>
      <c r="BC33" s="22">
        <f t="shared" ca="1" si="16"/>
        <v>0</v>
      </c>
      <c r="BE33" s="224">
        <f t="shared" ca="1" si="17"/>
        <v>50</v>
      </c>
      <c r="BF33" s="21">
        <f t="shared" ca="1" si="18"/>
        <v>6.6202367396658121E-2</v>
      </c>
      <c r="BG33" s="22">
        <f t="shared" ca="1" si="21"/>
        <v>14</v>
      </c>
      <c r="BH33" s="22">
        <f t="shared" ca="1" si="19"/>
        <v>50</v>
      </c>
      <c r="BJ33" s="224">
        <f t="shared" ca="1" si="22"/>
        <v>50</v>
      </c>
    </row>
    <row r="34" spans="1:62" ht="15.6">
      <c r="A34" s="153" t="s">
        <v>23</v>
      </c>
      <c r="B34" s="154">
        <v>101.59999999999991</v>
      </c>
      <c r="C34" s="143" t="s">
        <v>0</v>
      </c>
      <c r="D34" s="155">
        <f>'01'!B300</f>
        <v>90</v>
      </c>
      <c r="E34" s="155">
        <f>SUM('01'!D300:F300)</f>
        <v>333.8</v>
      </c>
      <c r="F34" s="161">
        <f t="shared" si="2"/>
        <v>-142.2000000000001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-52.200000000000102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37.799999999999898</v>
      </c>
      <c r="O34" s="143" t="s">
        <v>3</v>
      </c>
      <c r="P34" s="155">
        <f>'04'!B300</f>
        <v>90</v>
      </c>
      <c r="Q34" s="155">
        <f>SUM('04'!D300:F300)</f>
        <v>0</v>
      </c>
      <c r="R34" s="161">
        <f t="shared" si="5"/>
        <v>127.7999999999999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217.7999999999999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307.7999999999999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397.7999999999999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487.7999999999999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577.79999999999995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667.8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757.8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847.8</v>
      </c>
      <c r="AZ34" s="152">
        <f t="shared" si="23"/>
        <v>333.8</v>
      </c>
      <c r="BA34" s="21">
        <f t="shared" si="15"/>
        <v>0.10648037386158828</v>
      </c>
      <c r="BB34" s="22">
        <f t="shared" si="20"/>
        <v>4</v>
      </c>
      <c r="BC34" s="22">
        <f t="shared" ca="1" si="16"/>
        <v>333.8</v>
      </c>
      <c r="BE34" s="225">
        <f t="shared" ca="1" si="17"/>
        <v>90</v>
      </c>
      <c r="BF34" s="21">
        <f t="shared" ca="1" si="18"/>
        <v>0.11916426131398462</v>
      </c>
      <c r="BG34" s="22">
        <f t="shared" ca="1" si="21"/>
        <v>9</v>
      </c>
      <c r="BH34" s="22">
        <f t="shared" ca="1" si="19"/>
        <v>90</v>
      </c>
      <c r="BJ34" s="225">
        <f t="shared" ca="1" si="22"/>
        <v>-243.8</v>
      </c>
    </row>
    <row r="35" spans="1:62" ht="15.9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115</v>
      </c>
      <c r="I35" s="186">
        <f>SUM('02'!D320:F320)</f>
        <v>0</v>
      </c>
      <c r="J35" s="187">
        <f t="shared" si="3"/>
        <v>1644.6000000000004</v>
      </c>
      <c r="K35" s="185" t="s">
        <v>2</v>
      </c>
      <c r="L35" s="186">
        <f>'03'!B320</f>
        <v>115</v>
      </c>
      <c r="M35" s="186">
        <f>SUM('03'!D320:F320)</f>
        <v>0</v>
      </c>
      <c r="N35" s="187">
        <f t="shared" si="4"/>
        <v>1759.6000000000004</v>
      </c>
      <c r="O35" s="185" t="s">
        <v>3</v>
      </c>
      <c r="P35" s="186">
        <f>'04'!B320</f>
        <v>115</v>
      </c>
      <c r="Q35" s="186">
        <f>SUM('04'!D320:F320)</f>
        <v>0</v>
      </c>
      <c r="R35" s="187">
        <f t="shared" si="5"/>
        <v>1874.6000000000004</v>
      </c>
      <c r="S35" s="185" t="s">
        <v>71</v>
      </c>
      <c r="T35" s="186">
        <f>'05'!B320</f>
        <v>115</v>
      </c>
      <c r="U35" s="186">
        <f>SUM('05'!D320:F320)</f>
        <v>0</v>
      </c>
      <c r="V35" s="187">
        <f t="shared" si="6"/>
        <v>1989.6000000000004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2104.6000000000004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2219.6000000000004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2334.6000000000004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2449.6000000000004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2564.6000000000004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2679.6000000000004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2794.6000000000004</v>
      </c>
      <c r="AZ35" s="188">
        <f t="shared" si="23"/>
        <v>75</v>
      </c>
      <c r="BA35" s="21">
        <f t="shared" si="15"/>
        <v>2.3924589693286761E-2</v>
      </c>
      <c r="BB35" s="22">
        <f t="shared" si="20"/>
        <v>8</v>
      </c>
      <c r="BC35" s="22">
        <f t="shared" ca="1" si="16"/>
        <v>75</v>
      </c>
      <c r="BE35" s="224">
        <f t="shared" ca="1" si="17"/>
        <v>115</v>
      </c>
      <c r="BF35" s="21">
        <f t="shared" ca="1" si="18"/>
        <v>0.15226544501231368</v>
      </c>
      <c r="BG35" s="22">
        <f t="shared" ca="1" si="21"/>
        <v>8</v>
      </c>
      <c r="BH35" s="22">
        <f t="shared" ca="1" si="19"/>
        <v>115</v>
      </c>
      <c r="BJ35" s="224">
        <f t="shared" ca="1" si="22"/>
        <v>40</v>
      </c>
    </row>
    <row r="36" spans="1:62" ht="15.6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190.99000000000007</v>
      </c>
      <c r="G36" s="143" t="s">
        <v>1</v>
      </c>
      <c r="H36" s="164">
        <f>'02'!B340</f>
        <v>90</v>
      </c>
      <c r="I36" s="164">
        <f>SUM('02'!D340:F340)</f>
        <v>0</v>
      </c>
      <c r="J36" s="156">
        <f t="shared" si="3"/>
        <v>280.99000000000007</v>
      </c>
      <c r="K36" s="143" t="s">
        <v>2</v>
      </c>
      <c r="L36" s="164">
        <f>'03'!B340</f>
        <v>90</v>
      </c>
      <c r="M36" s="164">
        <f>SUM('03'!D340:F340)</f>
        <v>0</v>
      </c>
      <c r="N36" s="156">
        <f t="shared" si="4"/>
        <v>370.99000000000007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460.99000000000007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550.99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640.99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730.99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820.99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910.99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1000.99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1090.99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1180.99</v>
      </c>
      <c r="AZ36" s="182">
        <f t="shared" si="23"/>
        <v>0</v>
      </c>
      <c r="BA36" s="21">
        <f t="shared" si="15"/>
        <v>0</v>
      </c>
      <c r="BB36" s="22">
        <f t="shared" si="20"/>
        <v>17</v>
      </c>
      <c r="BC36" s="22">
        <f t="shared" ca="1" si="16"/>
        <v>0</v>
      </c>
      <c r="BE36" s="223">
        <f t="shared" ca="1" si="17"/>
        <v>90</v>
      </c>
      <c r="BF36" s="21">
        <f t="shared" ca="1" si="18"/>
        <v>0.11916426131398462</v>
      </c>
      <c r="BG36" s="22">
        <f t="shared" ca="1" si="21"/>
        <v>9</v>
      </c>
      <c r="BH36" s="22">
        <f t="shared" ca="1" si="19"/>
        <v>90</v>
      </c>
      <c r="BJ36" s="223">
        <f t="shared" ca="1" si="22"/>
        <v>90</v>
      </c>
    </row>
    <row r="37" spans="1:62" ht="15.6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0</v>
      </c>
      <c r="J37" s="151">
        <f t="shared" si="3"/>
        <v>363.38</v>
      </c>
      <c r="K37" s="148" t="s">
        <v>2</v>
      </c>
      <c r="L37" s="165">
        <f>'03'!B360</f>
        <v>45</v>
      </c>
      <c r="M37" s="165">
        <f>SUM('03'!D360:F360)</f>
        <v>0</v>
      </c>
      <c r="N37" s="151">
        <f t="shared" si="4"/>
        <v>408.38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453.38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498.38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543.38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588.38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633.38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678.38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723.38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768.38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813.38</v>
      </c>
      <c r="AZ37" s="152">
        <f t="shared" si="23"/>
        <v>0</v>
      </c>
      <c r="BA37" s="21">
        <f t="shared" si="15"/>
        <v>0</v>
      </c>
      <c r="BB37" s="22">
        <f t="shared" si="20"/>
        <v>17</v>
      </c>
      <c r="BC37" s="22">
        <f t="shared" ca="1" si="16"/>
        <v>0</v>
      </c>
      <c r="BE37" s="224">
        <f t="shared" ca="1" si="17"/>
        <v>45</v>
      </c>
      <c r="BF37" s="21">
        <f t="shared" ca="1" si="18"/>
        <v>5.9582130656992312E-2</v>
      </c>
      <c r="BG37" s="22">
        <f t="shared" ca="1" si="21"/>
        <v>18</v>
      </c>
      <c r="BH37" s="22">
        <f t="shared" ca="1" si="19"/>
        <v>45</v>
      </c>
      <c r="BJ37" s="224">
        <f t="shared" ca="1" si="22"/>
        <v>45</v>
      </c>
    </row>
    <row r="38" spans="1:62" ht="15.6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41.050000000000004</v>
      </c>
      <c r="F38" s="156">
        <f t="shared" si="2"/>
        <v>68.150000000000034</v>
      </c>
      <c r="G38" s="143" t="s">
        <v>1</v>
      </c>
      <c r="H38" s="166">
        <f>'02'!B380</f>
        <v>70</v>
      </c>
      <c r="I38" s="166">
        <f>SUM('02'!D380:F380)</f>
        <v>0</v>
      </c>
      <c r="J38" s="156">
        <f t="shared" si="3"/>
        <v>138.15000000000003</v>
      </c>
      <c r="K38" s="143" t="s">
        <v>2</v>
      </c>
      <c r="L38" s="166">
        <f>'03'!B380</f>
        <v>70</v>
      </c>
      <c r="M38" s="166">
        <f>SUM('03'!D380:F380)</f>
        <v>0</v>
      </c>
      <c r="N38" s="156">
        <f t="shared" si="4"/>
        <v>208.15000000000003</v>
      </c>
      <c r="O38" s="143" t="s">
        <v>3</v>
      </c>
      <c r="P38" s="166">
        <f>'04'!B380</f>
        <v>70</v>
      </c>
      <c r="Q38" s="166">
        <f>SUM('04'!D380:F380)</f>
        <v>0</v>
      </c>
      <c r="R38" s="156">
        <f t="shared" si="5"/>
        <v>278.15000000000003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348.15000000000003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418.15000000000003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488.15000000000003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558.15000000000009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628.15000000000009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698.15000000000009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768.15000000000009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838.15000000000009</v>
      </c>
      <c r="AZ38" s="157">
        <f t="shared" si="23"/>
        <v>41.050000000000004</v>
      </c>
      <c r="BA38" s="21">
        <f t="shared" si="15"/>
        <v>1.3094725425458954E-2</v>
      </c>
      <c r="BB38" s="22">
        <f t="shared" si="20"/>
        <v>11</v>
      </c>
      <c r="BC38" s="22">
        <f t="shared" ca="1" si="16"/>
        <v>41.050000000000004</v>
      </c>
      <c r="BE38" s="225">
        <f t="shared" ca="1" si="17"/>
        <v>70</v>
      </c>
      <c r="BF38" s="21">
        <f t="shared" ca="1" si="18"/>
        <v>9.2683314355321372E-2</v>
      </c>
      <c r="BG38" s="22">
        <f t="shared" ca="1" si="21"/>
        <v>11</v>
      </c>
      <c r="BH38" s="22">
        <f t="shared" ca="1" si="19"/>
        <v>70</v>
      </c>
      <c r="BJ38" s="225">
        <f t="shared" ca="1" si="22"/>
        <v>28.950000000000003</v>
      </c>
    </row>
    <row r="39" spans="1:62" ht="15.6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1240</v>
      </c>
      <c r="O39" s="148" t="s">
        <v>3</v>
      </c>
      <c r="P39" s="165">
        <f>'04'!B400</f>
        <v>20</v>
      </c>
      <c r="Q39" s="165">
        <f>SUM('04'!D400:F400)</f>
        <v>0</v>
      </c>
      <c r="R39" s="151">
        <f t="shared" si="5"/>
        <v>1260</v>
      </c>
      <c r="S39" s="148" t="s">
        <v>71</v>
      </c>
      <c r="T39" s="165">
        <f>'05'!B400</f>
        <v>20</v>
      </c>
      <c r="U39" s="165">
        <f>SUM('05'!D400:F400)</f>
        <v>0</v>
      </c>
      <c r="V39" s="151">
        <f t="shared" si="6"/>
        <v>1280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1300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1320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1340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1360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1380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1400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1420</v>
      </c>
      <c r="AZ39" s="152">
        <f t="shared" si="23"/>
        <v>0</v>
      </c>
      <c r="BA39" s="21">
        <f t="shared" si="15"/>
        <v>0</v>
      </c>
      <c r="BB39" s="22">
        <f t="shared" si="20"/>
        <v>17</v>
      </c>
      <c r="BC39" s="22">
        <f t="shared" ca="1" si="16"/>
        <v>0</v>
      </c>
      <c r="BE39" s="224">
        <f t="shared" ca="1" si="17"/>
        <v>20</v>
      </c>
      <c r="BF39" s="21">
        <f t="shared" ca="1" si="18"/>
        <v>2.6480946958663251E-2</v>
      </c>
      <c r="BG39" s="22">
        <f t="shared" ca="1" si="21"/>
        <v>21</v>
      </c>
      <c r="BH39" s="22">
        <f t="shared" ca="1" si="19"/>
        <v>20</v>
      </c>
      <c r="BJ39" s="224">
        <f t="shared" ca="1" si="22"/>
        <v>20</v>
      </c>
    </row>
    <row r="40" spans="1:62" ht="15.6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20</v>
      </c>
      <c r="I40" s="166">
        <f>SUM('02'!D420:F420)</f>
        <v>0</v>
      </c>
      <c r="J40" s="156">
        <f t="shared" si="3"/>
        <v>810.51000000000045</v>
      </c>
      <c r="K40" s="143" t="s">
        <v>2</v>
      </c>
      <c r="L40" s="166">
        <f>'03'!B420</f>
        <v>20</v>
      </c>
      <c r="M40" s="166">
        <f>SUM('03'!D420:F420)</f>
        <v>0</v>
      </c>
      <c r="N40" s="156">
        <f>J40+L40-M40</f>
        <v>830.51000000000045</v>
      </c>
      <c r="O40" s="143" t="s">
        <v>3</v>
      </c>
      <c r="P40" s="166">
        <f>'04'!B420</f>
        <v>20</v>
      </c>
      <c r="Q40" s="166">
        <f>SUM('04'!D420:F420)</f>
        <v>0</v>
      </c>
      <c r="R40" s="156">
        <f t="shared" si="5"/>
        <v>850.51000000000045</v>
      </c>
      <c r="S40" s="143" t="s">
        <v>71</v>
      </c>
      <c r="T40" s="166">
        <f>'05'!B420</f>
        <v>20</v>
      </c>
      <c r="U40" s="166">
        <f>SUM('05'!D420:F420)</f>
        <v>0</v>
      </c>
      <c r="V40" s="156">
        <f t="shared" si="6"/>
        <v>870.51000000000045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890.51000000000045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910.51000000000045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930.51000000000045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950.51000000000045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970.51000000000045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990.51000000000045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1010.5100000000004</v>
      </c>
      <c r="AZ40" s="157">
        <f t="shared" si="23"/>
        <v>35.870000000000005</v>
      </c>
      <c r="BA40" s="21">
        <f t="shared" si="15"/>
        <v>1.1442333763975949E-2</v>
      </c>
      <c r="BB40" s="22">
        <f t="shared" si="20"/>
        <v>12</v>
      </c>
      <c r="BC40" s="22">
        <f t="shared" ca="1" si="16"/>
        <v>35.870000000000005</v>
      </c>
      <c r="BE40" s="225">
        <f t="shared" ca="1" si="17"/>
        <v>21.87</v>
      </c>
      <c r="BF40" s="21">
        <f t="shared" ca="1" si="18"/>
        <v>2.8956915499298266E-2</v>
      </c>
      <c r="BG40" s="22">
        <f t="shared" ca="1" si="21"/>
        <v>20</v>
      </c>
      <c r="BH40" s="22">
        <f t="shared" ca="1" si="19"/>
        <v>21.87</v>
      </c>
      <c r="BJ40" s="225">
        <f t="shared" ca="1" si="22"/>
        <v>-14</v>
      </c>
    </row>
    <row r="41" spans="1:62" ht="15.6">
      <c r="A41" s="146" t="s">
        <v>27</v>
      </c>
      <c r="B41" s="147">
        <v>8549.9999999999982</v>
      </c>
      <c r="C41" s="148" t="s">
        <v>0</v>
      </c>
      <c r="D41" s="165">
        <f>'01'!B440</f>
        <v>-3264.38</v>
      </c>
      <c r="E41" s="165">
        <f>SUM('01'!D440:F440)</f>
        <v>0</v>
      </c>
      <c r="F41" s="151">
        <f t="shared" si="2"/>
        <v>5285.6199999999981</v>
      </c>
      <c r="G41" s="148" t="s">
        <v>1</v>
      </c>
      <c r="H41" s="165">
        <f>'02'!B440</f>
        <v>-3900</v>
      </c>
      <c r="I41" s="165">
        <f>SUM('02'!D440:F440)</f>
        <v>0</v>
      </c>
      <c r="J41" s="151">
        <f t="shared" si="3"/>
        <v>1385.6199999999981</v>
      </c>
      <c r="K41" s="148" t="s">
        <v>2</v>
      </c>
      <c r="L41" s="165">
        <f>'03'!B440</f>
        <v>-3900</v>
      </c>
      <c r="M41" s="165">
        <f>SUM('03'!D440:F440)</f>
        <v>0</v>
      </c>
      <c r="N41" s="151">
        <f t="shared" si="4"/>
        <v>-2514.3800000000019</v>
      </c>
      <c r="O41" s="148" t="s">
        <v>3</v>
      </c>
      <c r="P41" s="165">
        <f>'04'!B440</f>
        <v>-3900</v>
      </c>
      <c r="Q41" s="165">
        <f>SUM('04'!D440:F440)</f>
        <v>0</v>
      </c>
      <c r="R41" s="151">
        <f t="shared" si="5"/>
        <v>-6414.3800000000019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-10314.380000000001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-14214.380000000001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-18114.38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-22014.38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-25914.38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-29814.38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-33714.380000000005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-37614.380000000005</v>
      </c>
      <c r="AZ41" s="152">
        <f t="shared" si="23"/>
        <v>0</v>
      </c>
      <c r="BA41" s="21">
        <f t="shared" si="15"/>
        <v>0</v>
      </c>
      <c r="BB41" s="22">
        <f t="shared" si="20"/>
        <v>17</v>
      </c>
      <c r="BC41" s="22">
        <f t="shared" ca="1" si="16"/>
        <v>0</v>
      </c>
      <c r="BE41" s="224">
        <f t="shared" ca="1" si="17"/>
        <v>-3264.38</v>
      </c>
      <c r="BF41" s="21">
        <f t="shared" ca="1" si="18"/>
        <v>-4.3221936816460573</v>
      </c>
      <c r="BG41" s="22">
        <f t="shared" ca="1" si="21"/>
        <v>26</v>
      </c>
      <c r="BH41" s="22">
        <f t="shared" ca="1" si="19"/>
        <v>-3264.38</v>
      </c>
      <c r="BJ41" s="224">
        <f t="shared" ca="1" si="22"/>
        <v>-3264.38</v>
      </c>
    </row>
    <row r="42" spans="1:62" ht="15.6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6894.0999999999995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17</v>
      </c>
      <c r="BC42" s="22">
        <f t="shared" ca="1" si="16"/>
        <v>0</v>
      </c>
      <c r="BE42" s="225">
        <f t="shared" ca="1" si="17"/>
        <v>1.98</v>
      </c>
      <c r="BF42" s="21">
        <f t="shared" ca="1" si="18"/>
        <v>2.6216137489076616E-3</v>
      </c>
      <c r="BG42" s="22">
        <f t="shared" ca="1" si="21"/>
        <v>23</v>
      </c>
      <c r="BH42" s="22">
        <f t="shared" ca="1" si="19"/>
        <v>1.98</v>
      </c>
      <c r="BJ42" s="225">
        <f t="shared" ca="1" si="22"/>
        <v>1.9799999999995634</v>
      </c>
    </row>
    <row r="43" spans="1:62" ht="15.6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50</v>
      </c>
      <c r="I43" s="149">
        <f>SUM('02'!D480:F480)</f>
        <v>0</v>
      </c>
      <c r="J43" s="151">
        <f t="shared" si="3"/>
        <v>1063.02</v>
      </c>
      <c r="K43" s="148" t="s">
        <v>2</v>
      </c>
      <c r="L43" s="149">
        <f>'03'!B480</f>
        <v>50</v>
      </c>
      <c r="M43" s="149">
        <f>SUM('03'!D480:F480)</f>
        <v>0</v>
      </c>
      <c r="N43" s="151">
        <f t="shared" si="4"/>
        <v>1113.02</v>
      </c>
      <c r="O43" s="148" t="s">
        <v>3</v>
      </c>
      <c r="P43" s="149">
        <f>'04'!B480</f>
        <v>50</v>
      </c>
      <c r="Q43" s="149">
        <f>SUM('04'!D480:F480)</f>
        <v>0</v>
      </c>
      <c r="R43" s="151">
        <f t="shared" si="5"/>
        <v>1163.02</v>
      </c>
      <c r="S43" s="148" t="s">
        <v>71</v>
      </c>
      <c r="T43" s="149">
        <f>'05'!B480</f>
        <v>50</v>
      </c>
      <c r="U43" s="149">
        <f>SUM('05'!D480:F480)</f>
        <v>0</v>
      </c>
      <c r="V43" s="151">
        <f t="shared" si="6"/>
        <v>1213.02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1263.02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1313.02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1363.02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1413.02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1463.02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1513.02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1563.02</v>
      </c>
      <c r="AZ43" s="152">
        <f t="shared" si="23"/>
        <v>0</v>
      </c>
      <c r="BA43" s="21">
        <f t="shared" si="15"/>
        <v>0</v>
      </c>
      <c r="BB43" s="22">
        <f t="shared" si="20"/>
        <v>17</v>
      </c>
      <c r="BC43" s="22">
        <f t="shared" ca="1" si="16"/>
        <v>0</v>
      </c>
      <c r="BE43" s="224">
        <f t="shared" ca="1" si="17"/>
        <v>50.02</v>
      </c>
      <c r="BF43" s="21">
        <f t="shared" ca="1" si="18"/>
        <v>6.6228848343616795E-2</v>
      </c>
      <c r="BG43" s="22">
        <f t="shared" ca="1" si="21"/>
        <v>13</v>
      </c>
      <c r="BH43" s="22">
        <f t="shared" ca="1" si="19"/>
        <v>50.02</v>
      </c>
      <c r="BJ43" s="224">
        <f t="shared" ca="1" si="22"/>
        <v>50.019999999999982</v>
      </c>
    </row>
    <row r="44" spans="1:62" ht="15.6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17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5.9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0</v>
      </c>
      <c r="J45" s="176">
        <f t="shared" si="3"/>
        <v>70.67000000000003</v>
      </c>
      <c r="K45" s="173" t="s">
        <v>2</v>
      </c>
      <c r="L45" s="174">
        <f>'03'!B520</f>
        <v>0</v>
      </c>
      <c r="M45" s="175">
        <f>SUM('03'!D520:F520)</f>
        <v>0</v>
      </c>
      <c r="N45" s="176">
        <f t="shared" si="4"/>
        <v>70.67000000000003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70.67000000000003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70.67000000000003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70.67000000000003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70.67000000000003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70.67000000000003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70.67000000000003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70.67000000000003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70.67000000000003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70.67000000000003</v>
      </c>
      <c r="AZ45" s="177">
        <f t="shared" si="23"/>
        <v>25.25</v>
      </c>
      <c r="BA45" s="21">
        <f t="shared" si="15"/>
        <v>8.0546118634065422E-3</v>
      </c>
      <c r="BB45" s="22">
        <f t="shared" si="20"/>
        <v>14</v>
      </c>
      <c r="BC45" s="22">
        <f t="shared" ca="1" si="16"/>
        <v>25.25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-25.25</v>
      </c>
    </row>
    <row r="46" spans="1:62" ht="16.2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755.25999999999976</v>
      </c>
      <c r="E46" s="219">
        <f>SUM(E20:E45)</f>
        <v>3134.85</v>
      </c>
      <c r="F46" s="220">
        <f>SUM(F20:F45)</f>
        <v>24003.949999999993</v>
      </c>
      <c r="G46" s="218"/>
      <c r="H46" s="219">
        <f>SUM(H20:H45)</f>
        <v>0</v>
      </c>
      <c r="I46" s="219">
        <f>SUM(I20:I45)</f>
        <v>0</v>
      </c>
      <c r="J46" s="220">
        <f>SUM(J20:J45)</f>
        <v>24003.949999999993</v>
      </c>
      <c r="K46" s="218"/>
      <c r="L46" s="219">
        <f>SUM(L20:L45)</f>
        <v>0</v>
      </c>
      <c r="M46" s="219">
        <f>SUM(M20:M45)</f>
        <v>0</v>
      </c>
      <c r="N46" s="220">
        <f>SUM(N20:N45)</f>
        <v>24003.949999999997</v>
      </c>
      <c r="O46" s="218"/>
      <c r="P46" s="219">
        <f>SUM(P20:P45)</f>
        <v>0</v>
      </c>
      <c r="Q46" s="219">
        <f>SUM(Q20:Q45)</f>
        <v>0</v>
      </c>
      <c r="R46" s="220">
        <f>SUM(R20:R45)</f>
        <v>24003.950000000004</v>
      </c>
      <c r="S46" s="218"/>
      <c r="T46" s="219">
        <f>SUM(T20:T45)</f>
        <v>0</v>
      </c>
      <c r="U46" s="219">
        <f>SUM(U20:U45)</f>
        <v>0</v>
      </c>
      <c r="V46" s="220">
        <f>SUM(V20:V45)</f>
        <v>24003.949999999997</v>
      </c>
      <c r="W46" s="218"/>
      <c r="X46" s="219">
        <f>SUM(X20:X45)</f>
        <v>0</v>
      </c>
      <c r="Y46" s="219">
        <f>SUM(Y20:Y45)</f>
        <v>0</v>
      </c>
      <c r="Z46" s="220">
        <f>SUM(Z20:Z45)</f>
        <v>24003.949999999997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24003.949999999997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24003.94999999999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24003.94999999999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24003.949999999997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24003.949999999993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24003.949999999993</v>
      </c>
      <c r="AZ46" s="227">
        <f>SUM(AZ20:AZ45)</f>
        <v>3134.85</v>
      </c>
      <c r="BA46" s="1"/>
      <c r="BB46" s="1"/>
      <c r="BC46" s="124">
        <f ca="1">SUM(BC20:BC45)</f>
        <v>3134.85</v>
      </c>
      <c r="BE46" s="227">
        <f ca="1">SUM(BE20:BE45)</f>
        <v>755.25999999999976</v>
      </c>
      <c r="BF46" s="1"/>
      <c r="BG46" s="1"/>
      <c r="BH46" s="124">
        <f ca="1">SUM(BH20:BH45)</f>
        <v>755.25999999999976</v>
      </c>
      <c r="BJ46" s="227">
        <f ca="1">SUM(BJ20:BJ45)</f>
        <v>-2379.5900000000006</v>
      </c>
    </row>
    <row r="47" spans="1:62" s="29" customFormat="1" ht="12.9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-2379.59</v>
      </c>
      <c r="F47" s="125"/>
      <c r="G47" s="125">
        <f>G5-F46</f>
        <v>-8822.2299999999941</v>
      </c>
      <c r="H47" s="125">
        <f>G17-H46</f>
        <v>0</v>
      </c>
      <c r="I47" s="125">
        <f>G17-I46</f>
        <v>0</v>
      </c>
      <c r="J47" s="125"/>
      <c r="K47" s="125">
        <f>K5-J46</f>
        <v>-8902.0599999999922</v>
      </c>
      <c r="L47" s="125">
        <f>K17-L46</f>
        <v>0</v>
      </c>
      <c r="M47" s="125">
        <f>K17-M46</f>
        <v>0</v>
      </c>
      <c r="N47" s="125"/>
      <c r="O47" s="125">
        <f>O5-N46</f>
        <v>-8902.0599999999959</v>
      </c>
      <c r="P47" s="125">
        <f>O17-P46</f>
        <v>0</v>
      </c>
      <c r="Q47" s="125">
        <f>O17-Q46</f>
        <v>0</v>
      </c>
      <c r="R47" s="125"/>
      <c r="S47" s="125">
        <f>S5-R46</f>
        <v>-8902.0600000000031</v>
      </c>
      <c r="T47" s="125">
        <f>S17-T46</f>
        <v>0</v>
      </c>
      <c r="U47" s="125">
        <f>S17-U46</f>
        <v>0</v>
      </c>
      <c r="V47" s="125"/>
      <c r="W47" s="125">
        <f>W5-V46</f>
        <v>-8902.0599999999959</v>
      </c>
      <c r="X47" s="125">
        <f>W17-X46</f>
        <v>0</v>
      </c>
      <c r="Y47" s="125">
        <f>W17-Y46</f>
        <v>0</v>
      </c>
      <c r="Z47" s="125"/>
      <c r="AA47" s="125">
        <f>AA5-Z46</f>
        <v>-8902.0599999999959</v>
      </c>
      <c r="AB47" s="125">
        <f>AA17-AB46</f>
        <v>0</v>
      </c>
      <c r="AC47" s="125">
        <f>AA17-AC46</f>
        <v>0</v>
      </c>
      <c r="AD47" s="125"/>
      <c r="AE47" s="125">
        <f>AE5-AD46</f>
        <v>-8902.0599999999959</v>
      </c>
      <c r="AF47" s="125">
        <f>AE17-AF46</f>
        <v>0</v>
      </c>
      <c r="AG47" s="125">
        <f>AE17-AG46</f>
        <v>0</v>
      </c>
      <c r="AH47" s="125"/>
      <c r="AI47" s="125">
        <f>AI5-AH46</f>
        <v>-8902.0599999999886</v>
      </c>
      <c r="AJ47" s="125">
        <f>AI17-AJ46</f>
        <v>0</v>
      </c>
      <c r="AK47" s="125">
        <f>AI17-AK46</f>
        <v>0</v>
      </c>
      <c r="AL47" s="125"/>
      <c r="AM47" s="125">
        <f>AM5-AL46</f>
        <v>-8902.0599999999886</v>
      </c>
      <c r="AN47" s="125">
        <f>AM17-AN46</f>
        <v>0</v>
      </c>
      <c r="AO47" s="125">
        <f>AM17-AO46</f>
        <v>0</v>
      </c>
      <c r="AP47" s="125"/>
      <c r="AQ47" s="125">
        <f>AQ5-AP46</f>
        <v>-8902.0599999999959</v>
      </c>
      <c r="AR47" s="125">
        <f>AQ17-AR46</f>
        <v>0</v>
      </c>
      <c r="AS47" s="125">
        <f>AQ17-AS46</f>
        <v>0</v>
      </c>
      <c r="AT47" s="140"/>
      <c r="AU47" s="125">
        <f>AU5-AT46</f>
        <v>-8902.0599999999922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6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37618.199999999997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397.87</v>
      </c>
      <c r="F50" s="119"/>
      <c r="G50" s="119"/>
      <c r="H50" s="119"/>
      <c r="I50" s="119">
        <f>I22+30.35</f>
        <v>30.35</v>
      </c>
      <c r="J50" s="119"/>
      <c r="K50" s="119"/>
      <c r="L50" s="119"/>
      <c r="M50" s="119">
        <f>M22+30.35</f>
        <v>30.35</v>
      </c>
      <c r="N50" s="119"/>
      <c r="O50" s="119"/>
      <c r="P50" s="119"/>
      <c r="Q50" s="119">
        <f>Q22+30.35</f>
        <v>30.35</v>
      </c>
      <c r="R50" s="119"/>
      <c r="S50" s="119"/>
      <c r="T50" s="119"/>
      <c r="U50" s="119">
        <f>U22</f>
        <v>0</v>
      </c>
      <c r="V50" s="119"/>
      <c r="W50" s="119"/>
      <c r="X50" s="119"/>
      <c r="Y50" s="119">
        <f>Y22</f>
        <v>0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4.7" thickBot="1"/>
    <row r="52" spans="1:62">
      <c r="C52" s="239" t="s">
        <v>149</v>
      </c>
      <c r="D52" s="240"/>
      <c r="E52" s="240"/>
      <c r="F52" s="241"/>
      <c r="G52" s="239" t="s">
        <v>149</v>
      </c>
      <c r="H52" s="240"/>
      <c r="I52" s="240"/>
      <c r="J52" s="241"/>
      <c r="K52" s="239" t="s">
        <v>149</v>
      </c>
      <c r="L52" s="240"/>
      <c r="M52" s="240"/>
      <c r="N52" s="241"/>
      <c r="O52" s="239" t="s">
        <v>149</v>
      </c>
      <c r="P52" s="240"/>
      <c r="Q52" s="240"/>
      <c r="R52" s="241"/>
      <c r="S52" s="239" t="s">
        <v>149</v>
      </c>
      <c r="T52" s="240"/>
      <c r="U52" s="240"/>
      <c r="V52" s="241"/>
      <c r="W52" s="239" t="s">
        <v>149</v>
      </c>
      <c r="X52" s="240"/>
      <c r="Y52" s="240"/>
      <c r="Z52" s="241"/>
      <c r="AA52" s="239" t="s">
        <v>149</v>
      </c>
      <c r="AB52" s="240"/>
      <c r="AC52" s="240"/>
      <c r="AD52" s="241"/>
      <c r="AE52" s="239" t="s">
        <v>149</v>
      </c>
      <c r="AF52" s="240"/>
      <c r="AG52" s="240"/>
      <c r="AH52" s="241"/>
      <c r="AI52" s="239" t="s">
        <v>149</v>
      </c>
      <c r="AJ52" s="240"/>
      <c r="AK52" s="240"/>
      <c r="AL52" s="241"/>
      <c r="AM52" s="239" t="s">
        <v>149</v>
      </c>
      <c r="AN52" s="240"/>
      <c r="AO52" s="240"/>
      <c r="AP52" s="241"/>
      <c r="AQ52" s="239" t="s">
        <v>149</v>
      </c>
      <c r="AR52" s="240"/>
      <c r="AS52" s="240"/>
      <c r="AT52" s="241"/>
      <c r="AU52" s="239" t="s">
        <v>149</v>
      </c>
      <c r="AV52" s="240"/>
      <c r="AW52" s="240"/>
      <c r="AX52" s="241"/>
    </row>
    <row r="53" spans="1:62" ht="14.7" thickBot="1">
      <c r="C53" s="93" t="s">
        <v>150</v>
      </c>
      <c r="D53" s="242" t="s">
        <v>31</v>
      </c>
      <c r="E53" s="243"/>
      <c r="F53" s="94" t="s">
        <v>88</v>
      </c>
      <c r="G53" s="93" t="s">
        <v>150</v>
      </c>
      <c r="H53" s="242" t="s">
        <v>31</v>
      </c>
      <c r="I53" s="243"/>
      <c r="J53" s="94" t="s">
        <v>88</v>
      </c>
      <c r="K53" s="93" t="s">
        <v>150</v>
      </c>
      <c r="L53" s="242" t="s">
        <v>31</v>
      </c>
      <c r="M53" s="243"/>
      <c r="N53" s="94" t="s">
        <v>88</v>
      </c>
      <c r="O53" s="93" t="s">
        <v>150</v>
      </c>
      <c r="P53" s="242" t="s">
        <v>31</v>
      </c>
      <c r="Q53" s="243"/>
      <c r="R53" s="94" t="s">
        <v>88</v>
      </c>
      <c r="S53" s="93" t="s">
        <v>150</v>
      </c>
      <c r="T53" s="242" t="s">
        <v>31</v>
      </c>
      <c r="U53" s="243"/>
      <c r="V53" s="94" t="s">
        <v>88</v>
      </c>
      <c r="W53" s="93" t="s">
        <v>150</v>
      </c>
      <c r="X53" s="242" t="s">
        <v>31</v>
      </c>
      <c r="Y53" s="243"/>
      <c r="Z53" s="94" t="s">
        <v>88</v>
      </c>
      <c r="AA53" s="93" t="s">
        <v>150</v>
      </c>
      <c r="AB53" s="242" t="s">
        <v>31</v>
      </c>
      <c r="AC53" s="243"/>
      <c r="AD53" s="94" t="s">
        <v>88</v>
      </c>
      <c r="AE53" s="93" t="s">
        <v>150</v>
      </c>
      <c r="AF53" s="242" t="s">
        <v>31</v>
      </c>
      <c r="AG53" s="243"/>
      <c r="AH53" s="94" t="s">
        <v>88</v>
      </c>
      <c r="AI53" s="93" t="s">
        <v>150</v>
      </c>
      <c r="AJ53" s="242" t="s">
        <v>31</v>
      </c>
      <c r="AK53" s="243"/>
      <c r="AL53" s="94" t="s">
        <v>88</v>
      </c>
      <c r="AM53" s="93" t="s">
        <v>150</v>
      </c>
      <c r="AN53" s="242" t="s">
        <v>31</v>
      </c>
      <c r="AO53" s="243"/>
      <c r="AP53" s="94" t="s">
        <v>88</v>
      </c>
      <c r="AQ53" s="93" t="s">
        <v>150</v>
      </c>
      <c r="AR53" s="242" t="s">
        <v>31</v>
      </c>
      <c r="AS53" s="243"/>
      <c r="AT53" s="94" t="s">
        <v>88</v>
      </c>
      <c r="AU53" s="93" t="s">
        <v>150</v>
      </c>
      <c r="AV53" s="242" t="s">
        <v>31</v>
      </c>
      <c r="AW53" s="243"/>
      <c r="AX53" s="94" t="s">
        <v>88</v>
      </c>
    </row>
    <row r="54" spans="1:62">
      <c r="C54" s="95">
        <v>43495</v>
      </c>
      <c r="D54" s="244" t="s">
        <v>238</v>
      </c>
      <c r="E54" s="245"/>
      <c r="F54" s="98"/>
      <c r="G54" s="95">
        <v>43497</v>
      </c>
      <c r="H54" s="244" t="s">
        <v>273</v>
      </c>
      <c r="I54" s="245"/>
      <c r="J54" s="100" t="s">
        <v>277</v>
      </c>
      <c r="K54" s="95">
        <v>43539</v>
      </c>
      <c r="L54" s="264" t="s">
        <v>260</v>
      </c>
      <c r="M54" s="265"/>
      <c r="N54" s="100">
        <v>70</v>
      </c>
      <c r="O54" s="95"/>
      <c r="P54" s="250"/>
      <c r="Q54" s="251"/>
      <c r="R54" s="102"/>
      <c r="S54" s="95"/>
      <c r="T54" s="250"/>
      <c r="U54" s="251"/>
      <c r="V54" s="103"/>
      <c r="W54" s="96"/>
      <c r="X54" s="252"/>
      <c r="Y54" s="253"/>
      <c r="Z54" s="104"/>
      <c r="AA54" s="95"/>
      <c r="AB54" s="262"/>
      <c r="AC54" s="263"/>
      <c r="AD54" s="100"/>
      <c r="AE54" s="95"/>
      <c r="AF54" s="258"/>
      <c r="AG54" s="259"/>
      <c r="AH54" s="100"/>
      <c r="AI54" s="95"/>
      <c r="AJ54" s="254"/>
      <c r="AK54" s="255"/>
      <c r="AL54" s="100"/>
      <c r="AM54" s="95"/>
      <c r="AN54" s="254"/>
      <c r="AO54" s="255"/>
      <c r="AP54" s="100"/>
      <c r="AQ54" s="95"/>
      <c r="AR54" s="250"/>
      <c r="AS54" s="251"/>
      <c r="AT54" s="100"/>
      <c r="AU54" s="95"/>
      <c r="AV54" s="244"/>
      <c r="AW54" s="245"/>
      <c r="AX54" s="100"/>
    </row>
    <row r="55" spans="1:62">
      <c r="C55" s="96"/>
      <c r="D55" s="235" t="s">
        <v>239</v>
      </c>
      <c r="E55" s="236"/>
      <c r="F55" s="98">
        <v>121.4</v>
      </c>
      <c r="G55" s="96"/>
      <c r="H55" s="235"/>
      <c r="I55" s="236"/>
      <c r="J55" s="100"/>
      <c r="K55" s="96"/>
      <c r="L55" s="266"/>
      <c r="M55" s="267"/>
      <c r="N55" s="100"/>
      <c r="O55" s="96"/>
      <c r="P55" s="252"/>
      <c r="Q55" s="253"/>
      <c r="R55" s="102"/>
      <c r="S55" s="96"/>
      <c r="T55" s="252"/>
      <c r="U55" s="253"/>
      <c r="V55" s="100"/>
      <c r="W55" s="96"/>
      <c r="X55" s="252"/>
      <c r="Y55" s="253"/>
      <c r="Z55" s="100"/>
      <c r="AA55" s="96"/>
      <c r="AB55" s="235"/>
      <c r="AC55" s="236"/>
      <c r="AD55" s="100"/>
      <c r="AE55" s="96"/>
      <c r="AF55" s="252"/>
      <c r="AG55" s="253"/>
      <c r="AH55" s="100"/>
      <c r="AI55" s="96"/>
      <c r="AJ55" s="252"/>
      <c r="AK55" s="253"/>
      <c r="AL55" s="100"/>
      <c r="AM55" s="96"/>
      <c r="AN55" s="252"/>
      <c r="AO55" s="253"/>
      <c r="AP55" s="100"/>
      <c r="AQ55" s="96"/>
      <c r="AR55" s="235"/>
      <c r="AS55" s="236"/>
      <c r="AT55" s="100"/>
      <c r="AU55" s="96"/>
      <c r="AV55" s="235"/>
      <c r="AW55" s="236"/>
      <c r="AX55" s="100"/>
    </row>
    <row r="56" spans="1:62">
      <c r="B56" s="119"/>
      <c r="C56" s="96">
        <v>43472</v>
      </c>
      <c r="D56" s="235" t="s">
        <v>151</v>
      </c>
      <c r="E56" s="236"/>
      <c r="F56" s="98">
        <v>15</v>
      </c>
      <c r="G56" s="96"/>
      <c r="H56" s="235"/>
      <c r="I56" s="236"/>
      <c r="J56" s="100"/>
      <c r="K56" s="96"/>
      <c r="L56" s="235"/>
      <c r="M56" s="236"/>
      <c r="N56" s="100"/>
      <c r="O56" s="96"/>
      <c r="P56" s="252"/>
      <c r="Q56" s="253"/>
      <c r="R56" s="102"/>
      <c r="S56" s="96"/>
      <c r="T56" s="235"/>
      <c r="U56" s="236"/>
      <c r="V56" s="100"/>
      <c r="W56" s="96"/>
      <c r="X56" s="235"/>
      <c r="Y56" s="236"/>
      <c r="Z56" s="100"/>
      <c r="AA56" s="96"/>
      <c r="AB56" s="235"/>
      <c r="AC56" s="236"/>
      <c r="AD56" s="100"/>
      <c r="AE56" s="96"/>
      <c r="AF56" s="252"/>
      <c r="AG56" s="253"/>
      <c r="AH56" s="100"/>
      <c r="AI56" s="96"/>
      <c r="AJ56" s="256"/>
      <c r="AK56" s="257"/>
      <c r="AL56" s="100"/>
      <c r="AM56" s="96"/>
      <c r="AN56" s="256"/>
      <c r="AO56" s="257"/>
      <c r="AP56" s="100"/>
      <c r="AQ56" s="96"/>
      <c r="AR56" s="252"/>
      <c r="AS56" s="253"/>
      <c r="AT56" s="100"/>
      <c r="AU56" s="96"/>
      <c r="AV56" s="235"/>
      <c r="AW56" s="236"/>
      <c r="AX56" s="100"/>
    </row>
    <row r="57" spans="1:62">
      <c r="C57" s="96">
        <v>43476</v>
      </c>
      <c r="D57" s="235" t="s">
        <v>153</v>
      </c>
      <c r="E57" s="236"/>
      <c r="F57" s="98">
        <v>10</v>
      </c>
      <c r="G57" s="96"/>
      <c r="H57" s="235"/>
      <c r="I57" s="236"/>
      <c r="J57" s="100"/>
      <c r="K57" s="96"/>
      <c r="L57" s="235"/>
      <c r="M57" s="236"/>
      <c r="N57" s="100"/>
      <c r="O57" s="96"/>
      <c r="P57" s="252"/>
      <c r="Q57" s="253"/>
      <c r="R57" s="100"/>
      <c r="S57" s="96"/>
      <c r="T57" s="235"/>
      <c r="U57" s="236"/>
      <c r="V57" s="100"/>
      <c r="W57" s="96"/>
      <c r="X57" s="235"/>
      <c r="Y57" s="236"/>
      <c r="Z57" s="100"/>
      <c r="AA57" s="96"/>
      <c r="AB57" s="252"/>
      <c r="AC57" s="253"/>
      <c r="AD57" s="100"/>
      <c r="AE57" s="96"/>
      <c r="AF57" s="235"/>
      <c r="AG57" s="236"/>
      <c r="AH57" s="100"/>
      <c r="AI57" s="96"/>
      <c r="AJ57" s="246"/>
      <c r="AK57" s="247"/>
      <c r="AL57" s="100"/>
      <c r="AM57" s="96"/>
      <c r="AN57" s="256"/>
      <c r="AO57" s="257"/>
      <c r="AP57" s="100"/>
      <c r="AQ57" s="96"/>
      <c r="AR57" s="235"/>
      <c r="AS57" s="236"/>
      <c r="AT57" s="100"/>
      <c r="AU57" s="96"/>
      <c r="AV57" s="235"/>
      <c r="AW57" s="236"/>
      <c r="AX57" s="100"/>
    </row>
    <row r="58" spans="1:62">
      <c r="C58" s="96">
        <v>43478</v>
      </c>
      <c r="D58" s="235" t="s">
        <v>246</v>
      </c>
      <c r="E58" s="236"/>
      <c r="F58" s="98"/>
      <c r="G58" s="96"/>
      <c r="H58" s="235"/>
      <c r="I58" s="236"/>
      <c r="J58" s="100"/>
      <c r="K58" s="96"/>
      <c r="L58" s="235"/>
      <c r="M58" s="236"/>
      <c r="N58" s="100"/>
      <c r="O58" s="96"/>
      <c r="P58" s="235"/>
      <c r="Q58" s="236"/>
      <c r="R58" s="100"/>
      <c r="S58" s="96"/>
      <c r="T58" s="235"/>
      <c r="U58" s="236"/>
      <c r="V58" s="100"/>
      <c r="W58" s="96"/>
      <c r="X58" s="235"/>
      <c r="Y58" s="236"/>
      <c r="Z58" s="100"/>
      <c r="AA58" s="96"/>
      <c r="AB58" s="252"/>
      <c r="AC58" s="253"/>
      <c r="AD58" s="100"/>
      <c r="AE58" s="96"/>
      <c r="AF58" s="235"/>
      <c r="AG58" s="236"/>
      <c r="AH58" s="100"/>
      <c r="AI58" s="96"/>
      <c r="AJ58" s="246"/>
      <c r="AK58" s="247"/>
      <c r="AL58" s="100"/>
      <c r="AM58" s="96"/>
      <c r="AN58" s="246"/>
      <c r="AO58" s="247"/>
      <c r="AP58" s="100"/>
      <c r="AQ58" s="96"/>
      <c r="AR58" s="235"/>
      <c r="AS58" s="236"/>
      <c r="AT58" s="100"/>
      <c r="AU58" s="96"/>
      <c r="AV58" s="235"/>
      <c r="AW58" s="236"/>
      <c r="AX58" s="100"/>
    </row>
    <row r="59" spans="1:62">
      <c r="C59" s="96">
        <v>43481</v>
      </c>
      <c r="D59" s="235" t="s">
        <v>274</v>
      </c>
      <c r="E59" s="236"/>
      <c r="F59" s="98">
        <v>50</v>
      </c>
      <c r="G59" s="96"/>
      <c r="H59" s="235"/>
      <c r="I59" s="236"/>
      <c r="J59" s="100"/>
      <c r="K59" s="96"/>
      <c r="L59" s="235"/>
      <c r="M59" s="236"/>
      <c r="N59" s="100"/>
      <c r="O59" s="96"/>
      <c r="P59" s="235"/>
      <c r="Q59" s="236"/>
      <c r="R59" s="100"/>
      <c r="S59" s="96"/>
      <c r="T59" s="256"/>
      <c r="U59" s="257"/>
      <c r="V59" s="100"/>
      <c r="W59" s="96"/>
      <c r="X59" s="256"/>
      <c r="Y59" s="257"/>
      <c r="Z59" s="100"/>
      <c r="AA59" s="96"/>
      <c r="AB59" s="256"/>
      <c r="AC59" s="257"/>
      <c r="AD59" s="100"/>
      <c r="AE59" s="96"/>
      <c r="AF59" s="235"/>
      <c r="AG59" s="236"/>
      <c r="AH59" s="100"/>
      <c r="AI59" s="96"/>
      <c r="AJ59" s="246"/>
      <c r="AK59" s="247"/>
      <c r="AL59" s="100"/>
      <c r="AM59" s="96"/>
      <c r="AN59" s="246"/>
      <c r="AO59" s="247"/>
      <c r="AP59" s="100"/>
      <c r="AQ59" s="96"/>
      <c r="AR59" s="235"/>
      <c r="AS59" s="236"/>
      <c r="AT59" s="100"/>
      <c r="AU59" s="96"/>
      <c r="AV59" s="235"/>
      <c r="AW59" s="236"/>
      <c r="AX59" s="100"/>
    </row>
    <row r="60" spans="1:62">
      <c r="C60" s="96"/>
      <c r="D60" s="235"/>
      <c r="E60" s="236"/>
      <c r="F60" s="98"/>
      <c r="G60" s="96"/>
      <c r="H60" s="235"/>
      <c r="I60" s="236"/>
      <c r="J60" s="100"/>
      <c r="K60" s="96"/>
      <c r="L60" s="235"/>
      <c r="M60" s="236"/>
      <c r="N60" s="100"/>
      <c r="O60" s="96"/>
      <c r="P60" s="235"/>
      <c r="Q60" s="236"/>
      <c r="R60" s="100"/>
      <c r="S60" s="96"/>
      <c r="T60" s="256"/>
      <c r="U60" s="257"/>
      <c r="V60" s="100"/>
      <c r="W60" s="96"/>
      <c r="X60" s="246"/>
      <c r="Y60" s="247"/>
      <c r="Z60" s="100"/>
      <c r="AA60" s="96"/>
      <c r="AB60" s="246"/>
      <c r="AC60" s="247"/>
      <c r="AD60" s="100"/>
      <c r="AE60" s="96"/>
      <c r="AF60" s="256"/>
      <c r="AG60" s="257"/>
      <c r="AH60" s="100"/>
      <c r="AI60" s="96"/>
      <c r="AJ60" s="246"/>
      <c r="AK60" s="247"/>
      <c r="AL60" s="100"/>
      <c r="AM60" s="96"/>
      <c r="AN60" s="246"/>
      <c r="AO60" s="247"/>
      <c r="AP60" s="100"/>
      <c r="AQ60" s="96"/>
      <c r="AR60" s="235"/>
      <c r="AS60" s="236"/>
      <c r="AT60" s="100"/>
      <c r="AU60" s="96"/>
      <c r="AV60" s="235"/>
      <c r="AW60" s="236"/>
      <c r="AX60" s="100"/>
    </row>
    <row r="61" spans="1:62">
      <c r="C61" s="96"/>
      <c r="D61" s="235"/>
      <c r="E61" s="236"/>
      <c r="F61" s="98"/>
      <c r="G61" s="96"/>
      <c r="H61" s="235"/>
      <c r="I61" s="236"/>
      <c r="J61" s="100"/>
      <c r="K61" s="96"/>
      <c r="L61" s="235"/>
      <c r="M61" s="236"/>
      <c r="N61" s="100"/>
      <c r="O61" s="96"/>
      <c r="P61" s="235"/>
      <c r="Q61" s="236"/>
      <c r="R61" s="100"/>
      <c r="S61" s="96"/>
      <c r="T61" s="256"/>
      <c r="U61" s="257"/>
      <c r="V61" s="100"/>
      <c r="W61" s="96"/>
      <c r="X61" s="246"/>
      <c r="Y61" s="247"/>
      <c r="Z61" s="100"/>
      <c r="AA61" s="96"/>
      <c r="AB61" s="246"/>
      <c r="AC61" s="247"/>
      <c r="AD61" s="100"/>
      <c r="AE61" s="96"/>
      <c r="AF61" s="246"/>
      <c r="AG61" s="247"/>
      <c r="AH61" s="100"/>
      <c r="AI61" s="96"/>
      <c r="AJ61" s="246"/>
      <c r="AK61" s="247"/>
      <c r="AL61" s="100"/>
      <c r="AM61" s="96"/>
      <c r="AN61" s="246"/>
      <c r="AO61" s="247"/>
      <c r="AP61" s="100"/>
      <c r="AQ61" s="96"/>
      <c r="AR61" s="235"/>
      <c r="AS61" s="236"/>
      <c r="AT61" s="100"/>
      <c r="AU61" s="96"/>
      <c r="AV61" s="235"/>
      <c r="AW61" s="236"/>
      <c r="AX61" s="100"/>
    </row>
    <row r="62" spans="1:62">
      <c r="C62" s="96"/>
      <c r="D62" s="235"/>
      <c r="E62" s="236"/>
      <c r="F62" s="98"/>
      <c r="G62" s="96"/>
      <c r="H62" s="235"/>
      <c r="I62" s="236"/>
      <c r="J62" s="100"/>
      <c r="K62" s="96"/>
      <c r="L62" s="235"/>
      <c r="M62" s="236"/>
      <c r="N62" s="100"/>
      <c r="O62" s="96"/>
      <c r="P62" s="235"/>
      <c r="Q62" s="236"/>
      <c r="R62" s="100"/>
      <c r="S62" s="96"/>
      <c r="T62" s="256"/>
      <c r="U62" s="257"/>
      <c r="V62" s="100"/>
      <c r="W62" s="96"/>
      <c r="X62" s="246"/>
      <c r="Y62" s="247"/>
      <c r="Z62" s="100"/>
      <c r="AA62" s="96"/>
      <c r="AB62" s="246"/>
      <c r="AC62" s="247"/>
      <c r="AD62" s="100"/>
      <c r="AE62" s="96"/>
      <c r="AF62" s="246"/>
      <c r="AG62" s="247"/>
      <c r="AH62" s="100"/>
      <c r="AI62" s="96"/>
      <c r="AJ62" s="246"/>
      <c r="AK62" s="247"/>
      <c r="AL62" s="100"/>
      <c r="AM62" s="96"/>
      <c r="AN62" s="246"/>
      <c r="AO62" s="247"/>
      <c r="AP62" s="100"/>
      <c r="AQ62" s="96"/>
      <c r="AR62" s="235"/>
      <c r="AS62" s="236"/>
      <c r="AT62" s="100"/>
      <c r="AU62" s="96"/>
      <c r="AV62" s="235"/>
      <c r="AW62" s="236"/>
      <c r="AX62" s="100"/>
    </row>
    <row r="63" spans="1:62">
      <c r="C63" s="96"/>
      <c r="D63" s="235"/>
      <c r="E63" s="236"/>
      <c r="F63" s="98"/>
      <c r="G63" s="96"/>
      <c r="H63" s="235"/>
      <c r="I63" s="236"/>
      <c r="J63" s="100"/>
      <c r="K63" s="96"/>
      <c r="L63" s="235"/>
      <c r="M63" s="236"/>
      <c r="N63" s="100"/>
      <c r="O63" s="96"/>
      <c r="P63" s="235"/>
      <c r="Q63" s="236"/>
      <c r="R63" s="100"/>
      <c r="S63" s="96"/>
      <c r="T63" s="256"/>
      <c r="U63" s="257"/>
      <c r="V63" s="100"/>
      <c r="W63" s="96"/>
      <c r="X63" s="246"/>
      <c r="Y63" s="247"/>
      <c r="Z63" s="100"/>
      <c r="AA63" s="96"/>
      <c r="AB63" s="246"/>
      <c r="AC63" s="247"/>
      <c r="AD63" s="100"/>
      <c r="AE63" s="96"/>
      <c r="AF63" s="246"/>
      <c r="AG63" s="247"/>
      <c r="AH63" s="100"/>
      <c r="AI63" s="96"/>
      <c r="AJ63" s="246"/>
      <c r="AK63" s="247"/>
      <c r="AL63" s="100"/>
      <c r="AM63" s="96"/>
      <c r="AN63" s="246"/>
      <c r="AO63" s="247"/>
      <c r="AP63" s="100"/>
      <c r="AQ63" s="96"/>
      <c r="AR63" s="235"/>
      <c r="AS63" s="236"/>
      <c r="AT63" s="100"/>
      <c r="AU63" s="96"/>
      <c r="AV63" s="235"/>
      <c r="AW63" s="236"/>
      <c r="AX63" s="100"/>
    </row>
    <row r="64" spans="1:62">
      <c r="C64" s="96"/>
      <c r="D64" s="235"/>
      <c r="E64" s="236"/>
      <c r="F64" s="98"/>
      <c r="G64" s="96"/>
      <c r="H64" s="235"/>
      <c r="I64" s="236"/>
      <c r="J64" s="100"/>
      <c r="K64" s="96"/>
      <c r="L64" s="235"/>
      <c r="M64" s="236"/>
      <c r="N64" s="100"/>
      <c r="O64" s="96"/>
      <c r="P64" s="235"/>
      <c r="Q64" s="236"/>
      <c r="R64" s="100"/>
      <c r="S64" s="96"/>
      <c r="T64" s="256"/>
      <c r="U64" s="257"/>
      <c r="V64" s="100"/>
      <c r="W64" s="96"/>
      <c r="X64" s="246"/>
      <c r="Y64" s="247"/>
      <c r="Z64" s="100"/>
      <c r="AA64" s="96"/>
      <c r="AB64" s="246"/>
      <c r="AC64" s="247"/>
      <c r="AD64" s="100"/>
      <c r="AE64" s="96"/>
      <c r="AF64" s="246"/>
      <c r="AG64" s="247"/>
      <c r="AH64" s="100"/>
      <c r="AI64" s="96"/>
      <c r="AJ64" s="246"/>
      <c r="AK64" s="247"/>
      <c r="AL64" s="100"/>
      <c r="AM64" s="96"/>
      <c r="AN64" s="246"/>
      <c r="AO64" s="247"/>
      <c r="AP64" s="100"/>
      <c r="AQ64" s="96"/>
      <c r="AR64" s="235"/>
      <c r="AS64" s="236"/>
      <c r="AT64" s="100"/>
      <c r="AU64" s="96"/>
      <c r="AV64" s="235"/>
      <c r="AW64" s="236"/>
      <c r="AX64" s="100"/>
    </row>
    <row r="65" spans="1:50">
      <c r="C65" s="96"/>
      <c r="D65" s="235"/>
      <c r="E65" s="236"/>
      <c r="F65" s="98"/>
      <c r="G65" s="96"/>
      <c r="H65" s="235"/>
      <c r="I65" s="236"/>
      <c r="J65" s="100"/>
      <c r="K65" s="96"/>
      <c r="L65" s="235"/>
      <c r="M65" s="236"/>
      <c r="N65" s="100"/>
      <c r="O65" s="96"/>
      <c r="P65" s="235"/>
      <c r="Q65" s="236"/>
      <c r="R65" s="100"/>
      <c r="S65" s="96"/>
      <c r="T65" s="256"/>
      <c r="U65" s="257"/>
      <c r="V65" s="100"/>
      <c r="W65" s="96"/>
      <c r="X65" s="246"/>
      <c r="Y65" s="247"/>
      <c r="Z65" s="100"/>
      <c r="AA65" s="96"/>
      <c r="AB65" s="246"/>
      <c r="AC65" s="247"/>
      <c r="AD65" s="100"/>
      <c r="AE65" s="96"/>
      <c r="AF65" s="246"/>
      <c r="AG65" s="247"/>
      <c r="AH65" s="100"/>
      <c r="AI65" s="96"/>
      <c r="AJ65" s="246"/>
      <c r="AK65" s="247"/>
      <c r="AL65" s="100"/>
      <c r="AM65" s="96"/>
      <c r="AN65" s="246"/>
      <c r="AO65" s="247"/>
      <c r="AP65" s="100"/>
      <c r="AQ65" s="96"/>
      <c r="AR65" s="235"/>
      <c r="AS65" s="236"/>
      <c r="AT65" s="100"/>
      <c r="AU65" s="96"/>
      <c r="AV65" s="235"/>
      <c r="AW65" s="236"/>
      <c r="AX65" s="100"/>
    </row>
    <row r="66" spans="1:50">
      <c r="C66" s="96"/>
      <c r="D66" s="235"/>
      <c r="E66" s="236"/>
      <c r="F66" s="98"/>
      <c r="G66" s="96"/>
      <c r="H66" s="235"/>
      <c r="I66" s="236"/>
      <c r="J66" s="100"/>
      <c r="K66" s="96"/>
      <c r="L66" s="235"/>
      <c r="M66" s="236"/>
      <c r="N66" s="100"/>
      <c r="O66" s="96"/>
      <c r="P66" s="235"/>
      <c r="Q66" s="236"/>
      <c r="R66" s="100"/>
      <c r="S66" s="96"/>
      <c r="T66" s="246"/>
      <c r="U66" s="247"/>
      <c r="V66" s="100"/>
      <c r="W66" s="96"/>
      <c r="X66" s="246"/>
      <c r="Y66" s="247"/>
      <c r="Z66" s="100"/>
      <c r="AA66" s="96"/>
      <c r="AB66" s="246"/>
      <c r="AC66" s="247"/>
      <c r="AD66" s="100"/>
      <c r="AE66" s="96"/>
      <c r="AF66" s="246"/>
      <c r="AG66" s="247"/>
      <c r="AH66" s="100"/>
      <c r="AI66" s="96"/>
      <c r="AJ66" s="246"/>
      <c r="AK66" s="247"/>
      <c r="AL66" s="100"/>
      <c r="AM66" s="96"/>
      <c r="AN66" s="246"/>
      <c r="AO66" s="247"/>
      <c r="AP66" s="100"/>
      <c r="AQ66" s="96"/>
      <c r="AR66" s="235"/>
      <c r="AS66" s="236"/>
      <c r="AT66" s="100"/>
      <c r="AU66" s="96"/>
      <c r="AV66" s="235"/>
      <c r="AW66" s="236"/>
      <c r="AX66" s="100"/>
    </row>
    <row r="67" spans="1:50">
      <c r="C67" s="96"/>
      <c r="D67" s="235"/>
      <c r="E67" s="236"/>
      <c r="F67" s="98"/>
      <c r="G67" s="96"/>
      <c r="H67" s="235"/>
      <c r="I67" s="236"/>
      <c r="J67" s="100"/>
      <c r="K67" s="96"/>
      <c r="L67" s="235"/>
      <c r="M67" s="236"/>
      <c r="N67" s="100"/>
      <c r="O67" s="96"/>
      <c r="P67" s="235"/>
      <c r="Q67" s="236"/>
      <c r="R67" s="100"/>
      <c r="S67" s="96"/>
      <c r="T67" s="246"/>
      <c r="U67" s="247"/>
      <c r="V67" s="100"/>
      <c r="W67" s="96"/>
      <c r="X67" s="246"/>
      <c r="Y67" s="247"/>
      <c r="Z67" s="100"/>
      <c r="AA67" s="96"/>
      <c r="AB67" s="246"/>
      <c r="AC67" s="247"/>
      <c r="AD67" s="100"/>
      <c r="AE67" s="96"/>
      <c r="AF67" s="246"/>
      <c r="AG67" s="247"/>
      <c r="AH67" s="100"/>
      <c r="AI67" s="96"/>
      <c r="AJ67" s="246"/>
      <c r="AK67" s="247"/>
      <c r="AL67" s="100"/>
      <c r="AM67" s="96"/>
      <c r="AN67" s="246"/>
      <c r="AO67" s="247"/>
      <c r="AP67" s="100"/>
      <c r="AQ67" s="96"/>
      <c r="AR67" s="235"/>
      <c r="AS67" s="236"/>
      <c r="AT67" s="100"/>
      <c r="AU67" s="96"/>
      <c r="AV67" s="235"/>
      <c r="AW67" s="236"/>
      <c r="AX67" s="100"/>
    </row>
    <row r="68" spans="1:50">
      <c r="C68" s="96"/>
      <c r="D68" s="235"/>
      <c r="E68" s="236"/>
      <c r="F68" s="98"/>
      <c r="G68" s="96"/>
      <c r="H68" s="235"/>
      <c r="I68" s="236"/>
      <c r="J68" s="100"/>
      <c r="K68" s="96"/>
      <c r="L68" s="235"/>
      <c r="M68" s="236"/>
      <c r="N68" s="100"/>
      <c r="O68" s="96"/>
      <c r="P68" s="235"/>
      <c r="Q68" s="236"/>
      <c r="R68" s="100"/>
      <c r="S68" s="96"/>
      <c r="T68" s="246"/>
      <c r="U68" s="247"/>
      <c r="V68" s="100"/>
      <c r="W68" s="96"/>
      <c r="X68" s="246"/>
      <c r="Y68" s="247"/>
      <c r="Z68" s="100"/>
      <c r="AA68" s="96"/>
      <c r="AB68" s="246"/>
      <c r="AC68" s="247"/>
      <c r="AD68" s="100"/>
      <c r="AE68" s="96"/>
      <c r="AF68" s="246"/>
      <c r="AG68" s="247"/>
      <c r="AH68" s="100"/>
      <c r="AI68" s="96"/>
      <c r="AJ68" s="246"/>
      <c r="AK68" s="247"/>
      <c r="AL68" s="100"/>
      <c r="AM68" s="96"/>
      <c r="AN68" s="246"/>
      <c r="AO68" s="247"/>
      <c r="AP68" s="100"/>
      <c r="AQ68" s="96"/>
      <c r="AR68" s="235"/>
      <c r="AS68" s="236"/>
      <c r="AT68" s="100"/>
      <c r="AU68" s="96"/>
      <c r="AV68" s="235"/>
      <c r="AW68" s="236"/>
      <c r="AX68" s="100"/>
    </row>
    <row r="69" spans="1:50">
      <c r="C69" s="96"/>
      <c r="D69" s="235"/>
      <c r="E69" s="236"/>
      <c r="F69" s="98"/>
      <c r="G69" s="96"/>
      <c r="H69" s="235"/>
      <c r="I69" s="236"/>
      <c r="J69" s="100"/>
      <c r="K69" s="96"/>
      <c r="L69" s="235"/>
      <c r="M69" s="236"/>
      <c r="N69" s="100"/>
      <c r="O69" s="96"/>
      <c r="P69" s="235"/>
      <c r="Q69" s="236"/>
      <c r="R69" s="100"/>
      <c r="S69" s="96"/>
      <c r="T69" s="246"/>
      <c r="U69" s="247"/>
      <c r="V69" s="100"/>
      <c r="W69" s="96"/>
      <c r="X69" s="246"/>
      <c r="Y69" s="247"/>
      <c r="Z69" s="100"/>
      <c r="AA69" s="96"/>
      <c r="AB69" s="246"/>
      <c r="AC69" s="247"/>
      <c r="AD69" s="100"/>
      <c r="AE69" s="96"/>
      <c r="AF69" s="246"/>
      <c r="AG69" s="247"/>
      <c r="AH69" s="100"/>
      <c r="AI69" s="96"/>
      <c r="AJ69" s="246"/>
      <c r="AK69" s="247"/>
      <c r="AL69" s="100"/>
      <c r="AM69" s="96"/>
      <c r="AN69" s="246"/>
      <c r="AO69" s="247"/>
      <c r="AP69" s="100"/>
      <c r="AQ69" s="96"/>
      <c r="AR69" s="235"/>
      <c r="AS69" s="236"/>
      <c r="AT69" s="100"/>
      <c r="AU69" s="96"/>
      <c r="AV69" s="235"/>
      <c r="AW69" s="236"/>
      <c r="AX69" s="100"/>
    </row>
    <row r="70" spans="1:50">
      <c r="C70" s="96"/>
      <c r="D70" s="235"/>
      <c r="E70" s="236"/>
      <c r="F70" s="98"/>
      <c r="G70" s="96"/>
      <c r="H70" s="235"/>
      <c r="I70" s="236"/>
      <c r="J70" s="100"/>
      <c r="K70" s="96"/>
      <c r="L70" s="235"/>
      <c r="M70" s="236"/>
      <c r="N70" s="100"/>
      <c r="O70" s="96"/>
      <c r="P70" s="235"/>
      <c r="Q70" s="236"/>
      <c r="R70" s="100"/>
      <c r="S70" s="96"/>
      <c r="T70" s="246"/>
      <c r="U70" s="247"/>
      <c r="V70" s="100"/>
      <c r="W70" s="96"/>
      <c r="X70" s="235" t="s">
        <v>172</v>
      </c>
      <c r="Y70" s="236"/>
      <c r="Z70" s="100">
        <f>3289.11+270.87</f>
        <v>3559.98</v>
      </c>
      <c r="AA70" s="96"/>
      <c r="AB70" s="246"/>
      <c r="AC70" s="247"/>
      <c r="AD70" s="100"/>
      <c r="AE70" s="96"/>
      <c r="AF70" s="246"/>
      <c r="AG70" s="247"/>
      <c r="AH70" s="100"/>
      <c r="AI70" s="96"/>
      <c r="AJ70" s="246"/>
      <c r="AK70" s="247"/>
      <c r="AL70" s="100"/>
      <c r="AM70" s="96"/>
      <c r="AN70" s="246"/>
      <c r="AO70" s="247"/>
      <c r="AP70" s="100"/>
      <c r="AQ70" s="96"/>
      <c r="AR70" s="235"/>
      <c r="AS70" s="236"/>
      <c r="AT70" s="100"/>
      <c r="AU70" s="96"/>
      <c r="AV70" s="235"/>
      <c r="AW70" s="236"/>
      <c r="AX70" s="100"/>
    </row>
    <row r="71" spans="1:50" ht="14.7" thickBot="1">
      <c r="C71" s="97"/>
      <c r="D71" s="237"/>
      <c r="E71" s="238"/>
      <c r="F71" s="99"/>
      <c r="G71" s="97"/>
      <c r="H71" s="237"/>
      <c r="I71" s="238"/>
      <c r="J71" s="101"/>
      <c r="K71" s="97"/>
      <c r="L71" s="237"/>
      <c r="M71" s="238"/>
      <c r="N71" s="101"/>
      <c r="O71" s="97"/>
      <c r="P71" s="237"/>
      <c r="Q71" s="238"/>
      <c r="R71" s="101"/>
      <c r="S71" s="97"/>
      <c r="T71" s="248"/>
      <c r="U71" s="249"/>
      <c r="V71" s="101"/>
      <c r="W71" s="97"/>
      <c r="X71" s="260" t="s">
        <v>173</v>
      </c>
      <c r="Y71" s="261"/>
      <c r="Z71" s="101">
        <f>Z70-1484.91-429.89</f>
        <v>1645.1799999999998</v>
      </c>
      <c r="AA71" s="97"/>
      <c r="AB71" s="248"/>
      <c r="AC71" s="249"/>
      <c r="AD71" s="101"/>
      <c r="AE71" s="97"/>
      <c r="AF71" s="248"/>
      <c r="AG71" s="249"/>
      <c r="AH71" s="101"/>
      <c r="AI71" s="97"/>
      <c r="AJ71" s="248"/>
      <c r="AK71" s="249"/>
      <c r="AL71" s="101"/>
      <c r="AM71" s="97"/>
      <c r="AN71" s="248"/>
      <c r="AO71" s="249"/>
      <c r="AP71" s="101"/>
      <c r="AQ71" s="97"/>
      <c r="AR71" s="237"/>
      <c r="AS71" s="238"/>
      <c r="AT71" s="101"/>
      <c r="AU71" s="97"/>
      <c r="AV71" s="237"/>
      <c r="AW71" s="238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64</v>
      </c>
      <c r="F73">
        <f>F72*20</f>
        <v>21.799999999999997</v>
      </c>
    </row>
    <row r="74" spans="1:50">
      <c r="A74" t="s">
        <v>257</v>
      </c>
      <c r="D74">
        <f>100/31</f>
        <v>3.225806451612903</v>
      </c>
    </row>
    <row r="75" spans="1:50">
      <c r="A75" t="s">
        <v>258</v>
      </c>
      <c r="C75">
        <v>21</v>
      </c>
      <c r="D75">
        <f>C75*D74</f>
        <v>67.741935483870961</v>
      </c>
      <c r="Z75" s="111"/>
    </row>
    <row r="76" spans="1:50">
      <c r="D76">
        <f>D75-D73</f>
        <v>3.7419354838709609</v>
      </c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workbookViewId="0">
      <selection activeCell="B1" sqref="B1:L1048576"/>
    </sheetView>
  </sheetViews>
  <sheetFormatPr defaultColWidth="11.41796875" defaultRowHeight="14.4"/>
  <cols>
    <col min="1" max="1" width="11.41796875" style="89"/>
    <col min="2" max="2" width="10" style="113" customWidth="1"/>
    <col min="3" max="3" width="33.26171875" style="89" customWidth="1"/>
    <col min="4" max="6" width="10" style="113" customWidth="1"/>
    <col min="7" max="7" width="33.26171875" style="89" customWidth="1"/>
    <col min="8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5.9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6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6">
      <c r="A6" s="112">
        <f>'08'!A6+(B6-SUM(D6:F6))</f>
        <v>3602.3100000000004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6">
      <c r="A7" s="112">
        <f>'08'!A7+(B7-SUM(D7:F7))</f>
        <v>1070.9000000000003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6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6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6">
      <c r="A10" s="112">
        <f>'08'!A10+(B10-SUM(D10:F10))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6">
      <c r="A11" s="112">
        <f>'08'!A11+(B11-SUM(D11:F11))</f>
        <v>272.06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6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6">
      <c r="A13" s="112">
        <f>'08'!A13+(B13-SUM(D13:F13))</f>
        <v>126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5.9" thickBot="1">
      <c r="A20" s="112">
        <f>SUM(A6:A15)</f>
        <v>5430.3100000000013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6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6">
      <c r="A26" s="112">
        <f>'08'!A26+(B26-SUM(D26:F26))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6">
      <c r="A27" s="112">
        <f>'08'!A27+(B27-SUM(D27:F27))</f>
        <v>1375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6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6">
      <c r="A29" s="112">
        <f>'08'!A29+(B29-SUM(D29:F29))</f>
        <v>145.23000000000002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'08'!A30+(B30-SUM(D30:F30))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5.9" thickBot="1">
      <c r="A40" s="112">
        <f>SUM(A26:A35)</f>
        <v>9719.91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6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6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5.9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5.9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6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6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'08'!A106+(B106-SUM(D106:F106))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'08'!A107+(B107-SUM(D107:F107))</f>
        <v>569.48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'08'!A109+(B109-SUM(D109:F109))</f>
        <v>3195.8300000000022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3284.34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6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6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4.7" thickBot="1">
      <c r="B201" s="5"/>
      <c r="C201" s="3"/>
      <c r="D201" s="5"/>
      <c r="E201" s="5"/>
    </row>
    <row r="202" spans="2:12" ht="14.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4.7" thickBot="1">
      <c r="B221" s="5"/>
      <c r="C221" s="3"/>
      <c r="D221" s="5"/>
      <c r="E221" s="5"/>
    </row>
    <row r="222" spans="2:7" ht="14.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4.7" thickBot="1">
      <c r="B241" s="5"/>
      <c r="C241" s="3"/>
      <c r="D241" s="5"/>
      <c r="E241" s="5"/>
    </row>
    <row r="242" spans="2:7" ht="14.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4.7" thickBot="1">
      <c r="B259" s="135"/>
      <c r="C259" s="17"/>
      <c r="D259" s="135"/>
      <c r="E259" s="139"/>
      <c r="F259" s="139"/>
      <c r="G259" s="17"/>
    </row>
    <row r="260" spans="2:7" ht="14.7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4.7" thickBot="1">
      <c r="B261" s="5"/>
      <c r="C261" s="3"/>
      <c r="D261" s="5"/>
      <c r="E261" s="5"/>
    </row>
    <row r="262" spans="2:7" ht="14.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4.7" thickBot="1">
      <c r="B279" s="135"/>
      <c r="C279" s="17"/>
      <c r="D279" s="135"/>
      <c r="E279" s="139"/>
      <c r="F279" s="139"/>
      <c r="G279" s="17"/>
    </row>
    <row r="280" spans="2:8" ht="14.7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4.7" thickBot="1">
      <c r="B281" s="5"/>
      <c r="C281" s="3"/>
      <c r="D281" s="5"/>
      <c r="E281" s="5"/>
    </row>
    <row r="282" spans="2:8" ht="14.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4.7" thickBot="1">
      <c r="B299" s="135"/>
      <c r="C299" s="17"/>
      <c r="D299" s="135"/>
      <c r="E299" s="139"/>
      <c r="F299" s="139"/>
      <c r="G299" s="17"/>
    </row>
    <row r="300" spans="2:8" ht="14.7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4.7" thickBot="1">
      <c r="B301" s="5"/>
      <c r="C301" s="3"/>
      <c r="D301" s="5"/>
      <c r="E301" s="5"/>
    </row>
    <row r="302" spans="2:8" ht="14.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4.7" thickBot="1"/>
    <row r="322" spans="2:7" ht="14.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4.7" thickBot="1">
      <c r="B339" s="135"/>
      <c r="C339" s="17"/>
      <c r="D339" s="135"/>
      <c r="E339" s="139"/>
      <c r="F339" s="139"/>
      <c r="G339" s="17"/>
    </row>
    <row r="340" spans="2:7" ht="14.7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4.7" thickBot="1">
      <c r="B341" s="5"/>
      <c r="C341" s="3"/>
      <c r="D341" s="5"/>
      <c r="E341" s="5"/>
    </row>
    <row r="342" spans="2:7" ht="14.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4.7" thickBot="1">
      <c r="B359" s="135"/>
      <c r="C359" s="17"/>
      <c r="D359" s="135"/>
      <c r="E359" s="139"/>
      <c r="F359" s="139"/>
      <c r="G359" s="17"/>
    </row>
    <row r="360" spans="2:7" ht="14.7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4.7" thickBot="1">
      <c r="B361" s="5"/>
      <c r="C361" s="3"/>
      <c r="D361" s="5"/>
      <c r="E361" s="5"/>
    </row>
    <row r="362" spans="2:7" ht="14.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4.7" thickBot="1">
      <c r="B381" s="5"/>
      <c r="C381" s="3"/>
      <c r="D381" s="5"/>
      <c r="E381" s="5"/>
    </row>
    <row r="382" spans="2:7" ht="14.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4.7" thickBot="1">
      <c r="B401" s="5"/>
      <c r="C401" s="3"/>
      <c r="D401" s="5"/>
      <c r="E401" s="5"/>
    </row>
    <row r="402" spans="2:7" ht="14.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4.7" thickBot="1">
      <c r="B421" s="5"/>
      <c r="C421" s="3"/>
      <c r="D421" s="5"/>
      <c r="E421" s="5"/>
    </row>
    <row r="422" spans="1:7" ht="14.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4.7" thickBot="1">
      <c r="B441" s="5"/>
      <c r="C441" s="3"/>
      <c r="D441" s="5"/>
      <c r="E441" s="5"/>
    </row>
    <row r="442" spans="2:7" ht="14.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4.7" thickBot="1">
      <c r="B461" s="5"/>
      <c r="C461" s="3"/>
      <c r="D461" s="5"/>
      <c r="E461" s="5"/>
    </row>
    <row r="462" spans="2:7" ht="14.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'08'!A466+(B466-SUM(D466:F466))</f>
        <v>750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'08'!A467+(B467-SUM(D467:F467))</f>
        <v>593.02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'08'!A468+(B468-SUM(D468:F468))</f>
        <v>70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1413.02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4.7" thickBot="1"/>
    <row r="482" spans="2:7" ht="14.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4.7" thickBot="1">
      <c r="B501" s="5"/>
      <c r="C501" s="3"/>
      <c r="D501" s="5"/>
      <c r="E501" s="5"/>
    </row>
    <row r="502" spans="2:7" ht="14.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1796875" defaultRowHeight="14.4"/>
  <cols>
    <col min="1" max="1" width="11.41796875" style="89"/>
    <col min="2" max="2" width="10" style="113" customWidth="1"/>
    <col min="3" max="3" width="33.26171875" style="89" customWidth="1"/>
    <col min="4" max="6" width="10" style="113" customWidth="1"/>
    <col min="7" max="7" width="33.26171875" style="89" customWidth="1"/>
    <col min="8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5.9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6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 t="s">
        <v>160</v>
      </c>
      <c r="O5" s="89">
        <f>M5-500</f>
        <v>-500</v>
      </c>
      <c r="R5" s="3"/>
    </row>
    <row r="6" spans="1:22" ht="15.6">
      <c r="A6" s="112">
        <f>'09'!A6+(B6-SUM(D6:F6))</f>
        <v>4001.9000000000005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6">
      <c r="A7" s="112">
        <f>'09'!A7+(B7-SUM(D7:F7))</f>
        <v>1141.0800000000004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6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6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6">
      <c r="A10" s="112">
        <f>'09'!A10+(B10-SUM(D10:F10))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6">
      <c r="A11" s="112">
        <f>'09'!A11+(B11-SUM(D11:F11))</f>
        <v>302.29000000000002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6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6">
      <c r="A13" s="112">
        <f>'09'!A13+(B13-SUM(D13:F13))</f>
        <v>133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5.9" thickBot="1">
      <c r="A20" s="112">
        <f>SUM(A6:A15)</f>
        <v>5974.3100000000013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6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6">
      <c r="A26" s="112">
        <f>'09'!A26+(B26-SUM(D26:F26))</f>
        <v>8100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6">
      <c r="A27" s="112">
        <f>'09'!A27+(B27-SUM(D27:F27))</f>
        <v>1545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6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6">
      <c r="A29" s="112">
        <f>'09'!A29+(B29-SUM(D29:F29))</f>
        <v>163.23000000000002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'09'!A30+(B30-SUM(D30:F30))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5.9" thickBot="1">
      <c r="A40" s="112">
        <f>SUM(A26:A35)</f>
        <v>10847.91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6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6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5.9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5.9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6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6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'09'!A106+(B106-SUM(D106:F106))</f>
        <v>2326.2300000000005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'09'!A107+(B107-SUM(D107:F107))</f>
        <v>640.48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'09'!A109+(B109-SUM(D109:F109))</f>
        <v>3221.3600000000024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3663.8100000000004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6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6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4.7" thickBot="1">
      <c r="B201" s="5"/>
      <c r="C201" s="3"/>
      <c r="D201" s="5"/>
      <c r="E201" s="5"/>
    </row>
    <row r="202" spans="2:12" ht="14.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4.7" thickBot="1">
      <c r="B221" s="5"/>
      <c r="C221" s="3"/>
      <c r="D221" s="5"/>
      <c r="E221" s="5"/>
    </row>
    <row r="222" spans="2:7" ht="14.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4.7" thickBot="1">
      <c r="B241" s="5"/>
      <c r="C241" s="3"/>
      <c r="D241" s="5"/>
      <c r="E241" s="5"/>
    </row>
    <row r="242" spans="2:7" ht="14.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4.7" thickBot="1">
      <c r="B259" s="135"/>
      <c r="C259" s="17"/>
      <c r="D259" s="135"/>
      <c r="E259" s="139"/>
      <c r="F259" s="139"/>
      <c r="G259" s="17"/>
    </row>
    <row r="260" spans="2:7" ht="14.7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4.7" thickBot="1">
      <c r="B261" s="5"/>
      <c r="C261" s="3"/>
      <c r="D261" s="5"/>
      <c r="E261" s="5"/>
    </row>
    <row r="262" spans="2:7" ht="14.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4.7" thickBot="1">
      <c r="B279" s="135"/>
      <c r="C279" s="17"/>
      <c r="D279" s="135"/>
      <c r="E279" s="139"/>
      <c r="F279" s="139"/>
      <c r="G279" s="17"/>
    </row>
    <row r="280" spans="2:8" ht="14.7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4.7" thickBot="1">
      <c r="B281" s="5"/>
      <c r="C281" s="3"/>
      <c r="D281" s="5"/>
      <c r="E281" s="5"/>
    </row>
    <row r="282" spans="2:8" ht="14.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4.7" thickBot="1">
      <c r="B299" s="135"/>
      <c r="C299" s="17"/>
      <c r="D299" s="135"/>
      <c r="E299" s="139"/>
      <c r="F299" s="139"/>
      <c r="G299" s="17"/>
    </row>
    <row r="300" spans="2:8" ht="14.7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4.7" thickBot="1">
      <c r="B301" s="5"/>
      <c r="C301" s="3"/>
      <c r="D301" s="5"/>
      <c r="E301" s="5"/>
    </row>
    <row r="302" spans="2:8" ht="14.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4.7" thickBot="1"/>
    <row r="322" spans="2:7" ht="14.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4.7" thickBot="1">
      <c r="B339" s="135"/>
      <c r="C339" s="17"/>
      <c r="D339" s="135"/>
      <c r="E339" s="139"/>
      <c r="F339" s="139"/>
      <c r="G339" s="17"/>
    </row>
    <row r="340" spans="2:7" ht="14.7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4.7" thickBot="1">
      <c r="B341" s="5"/>
      <c r="C341" s="3"/>
      <c r="D341" s="5"/>
      <c r="E341" s="5"/>
    </row>
    <row r="342" spans="2:7" ht="14.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4.7" thickBot="1">
      <c r="B359" s="135"/>
      <c r="C359" s="17"/>
      <c r="D359" s="135"/>
      <c r="E359" s="139"/>
      <c r="F359" s="139"/>
      <c r="G359" s="17"/>
    </row>
    <row r="360" spans="2:7" ht="14.7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4.7" thickBot="1">
      <c r="B361" s="5"/>
      <c r="C361" s="3"/>
      <c r="D361" s="5"/>
      <c r="E361" s="5"/>
    </row>
    <row r="362" spans="2:7" ht="14.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4.7" thickBot="1">
      <c r="B381" s="5"/>
      <c r="C381" s="3"/>
      <c r="D381" s="5"/>
      <c r="E381" s="5"/>
    </row>
    <row r="382" spans="2:7" ht="14.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4.7" thickBot="1">
      <c r="B401" s="5"/>
      <c r="C401" s="3"/>
      <c r="D401" s="5"/>
      <c r="E401" s="5"/>
    </row>
    <row r="402" spans="2:7" ht="14.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4.7" thickBot="1">
      <c r="B421" s="5"/>
      <c r="C421" s="3"/>
      <c r="D421" s="5"/>
      <c r="E421" s="5"/>
    </row>
    <row r="422" spans="1:7" ht="14.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4.7" thickBot="1">
      <c r="B441" s="5"/>
      <c r="C441" s="3"/>
      <c r="D441" s="5"/>
      <c r="E441" s="5"/>
    </row>
    <row r="442" spans="2:7" ht="14.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4.7" thickBot="1">
      <c r="B461" s="5"/>
      <c r="C461" s="3"/>
      <c r="D461" s="5"/>
      <c r="E461" s="5"/>
    </row>
    <row r="462" spans="2:7" ht="14.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'09'!A466+(B466-SUM(D466:F466))</f>
        <v>775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'09'!A467+(B467-SUM(D467:F467))</f>
        <v>613.02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'09'!A468+(B468-SUM(D468:F468))</f>
        <v>75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1463.02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4.7" thickBot="1"/>
    <row r="482" spans="2:7" ht="14.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4.7" thickBot="1">
      <c r="B501" s="5"/>
      <c r="C501" s="3"/>
      <c r="D501" s="5"/>
      <c r="E501" s="5"/>
    </row>
    <row r="502" spans="2:7" ht="14.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1796875" defaultRowHeight="14.4"/>
  <cols>
    <col min="1" max="1" width="11.41796875" style="89"/>
    <col min="2" max="2" width="10" style="113" customWidth="1"/>
    <col min="3" max="3" width="33.26171875" style="89" customWidth="1"/>
    <col min="4" max="6" width="10" style="113" customWidth="1"/>
    <col min="7" max="7" width="33.26171875" style="89" customWidth="1"/>
    <col min="8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5.9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6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6">
      <c r="A6" s="112">
        <f>'10'!A6+(B6-SUM(D6:F6))</f>
        <v>4401.4900000000007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6">
      <c r="A7" s="112">
        <f>'10'!A7+(B7-SUM(D7:F7))</f>
        <v>1211.2600000000004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6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6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6">
      <c r="A10" s="112">
        <f>'10'!A10+(B10-SUM(D10:F10))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6">
      <c r="A11" s="112">
        <f>'10'!A11+(B11-SUM(D11:F11))</f>
        <v>332.52000000000004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6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6">
      <c r="A13" s="112">
        <f>'10'!A13+(B13-SUM(D13:F13))</f>
        <v>140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5.9" thickBot="1">
      <c r="A20" s="112">
        <f>SUM(A6:A15)</f>
        <v>6518.3100000000013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6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6">
      <c r="A26" s="112">
        <f>'10'!A26+(B26-SUM(D26:F26))</f>
        <v>9000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6">
      <c r="A27" s="112">
        <f>'10'!A27+(B27-SUM(D27:F27))</f>
        <v>1715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6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6">
      <c r="A29" s="112">
        <f>'10'!A29+(B29-SUM(D29:F29))</f>
        <v>181.23000000000002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'10'!A30+(B30-SUM(D30:F30))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5.9" thickBot="1">
      <c r="A40" s="112">
        <f>SUM(A26:A35)</f>
        <v>11975.91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6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6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5.9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5.9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6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6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'10'!A106+(B106-SUM(D106:F106))</f>
        <v>2584.7000000000007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'10'!A107+(B107-SUM(D107:F107))</f>
        <v>711.48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'10'!A109+(B109-SUM(D109:F109))</f>
        <v>3246.8900000000026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4043.2800000000007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6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6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4.7" thickBot="1">
      <c r="B201" s="5"/>
      <c r="C201" s="3"/>
      <c r="D201" s="5"/>
      <c r="E201" s="5"/>
    </row>
    <row r="202" spans="2:12" ht="14.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4.7" thickBot="1">
      <c r="B221" s="5"/>
      <c r="C221" s="3"/>
      <c r="D221" s="5"/>
      <c r="E221" s="5"/>
    </row>
    <row r="222" spans="2:7" ht="14.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4.7" thickBot="1">
      <c r="B241" s="5"/>
      <c r="C241" s="3"/>
      <c r="D241" s="5"/>
      <c r="E241" s="5"/>
    </row>
    <row r="242" spans="2:7" ht="14.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4.7" thickBot="1">
      <c r="B259" s="135"/>
      <c r="C259" s="17"/>
      <c r="D259" s="135"/>
      <c r="E259" s="139"/>
      <c r="F259" s="139"/>
      <c r="G259" s="17"/>
    </row>
    <row r="260" spans="2:7" ht="14.7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4.7" thickBot="1">
      <c r="B261" s="5"/>
      <c r="C261" s="3"/>
      <c r="D261" s="5"/>
      <c r="E261" s="5"/>
    </row>
    <row r="262" spans="2:7" ht="14.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4.7" thickBot="1">
      <c r="B279" s="135"/>
      <c r="C279" s="17"/>
      <c r="D279" s="135"/>
      <c r="E279" s="139"/>
      <c r="F279" s="139"/>
      <c r="G279" s="17"/>
    </row>
    <row r="280" spans="2:8" ht="14.7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4.7" thickBot="1">
      <c r="B281" s="5"/>
      <c r="C281" s="3"/>
      <c r="D281" s="5"/>
      <c r="E281" s="5"/>
    </row>
    <row r="282" spans="2:8" ht="14.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4.7" thickBot="1">
      <c r="B299" s="135"/>
      <c r="C299" s="17"/>
      <c r="D299" s="135"/>
      <c r="E299" s="139"/>
      <c r="F299" s="139"/>
      <c r="G299" s="17"/>
    </row>
    <row r="300" spans="2:8" ht="14.7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4.7" thickBot="1">
      <c r="B301" s="5"/>
      <c r="C301" s="3"/>
      <c r="D301" s="5"/>
      <c r="E301" s="5"/>
    </row>
    <row r="302" spans="2:8" ht="14.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4.7" thickBot="1"/>
    <row r="322" spans="2:7" ht="14.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4.7" thickBot="1">
      <c r="B339" s="135"/>
      <c r="C339" s="17"/>
      <c r="D339" s="135"/>
      <c r="E339" s="139"/>
      <c r="F339" s="139"/>
      <c r="G339" s="17"/>
    </row>
    <row r="340" spans="2:7" ht="14.7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4.7" thickBot="1">
      <c r="B341" s="5"/>
      <c r="C341" s="3"/>
      <c r="D341" s="5"/>
      <c r="E341" s="5"/>
    </row>
    <row r="342" spans="2:7" ht="14.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4.7" thickBot="1">
      <c r="B359" s="135"/>
      <c r="C359" s="17"/>
      <c r="D359" s="135"/>
      <c r="E359" s="139"/>
      <c r="F359" s="139"/>
      <c r="G359" s="17"/>
    </row>
    <row r="360" spans="2:7" ht="14.7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4.7" thickBot="1">
      <c r="B361" s="5"/>
      <c r="C361" s="3"/>
      <c r="D361" s="5"/>
      <c r="E361" s="5"/>
    </row>
    <row r="362" spans="2:7" ht="14.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4.7" thickBot="1">
      <c r="B381" s="5"/>
      <c r="C381" s="3"/>
      <c r="D381" s="5"/>
      <c r="E381" s="5"/>
    </row>
    <row r="382" spans="2:7" ht="14.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4.7" thickBot="1">
      <c r="B401" s="5"/>
      <c r="C401" s="3"/>
      <c r="D401" s="5"/>
      <c r="E401" s="5"/>
    </row>
    <row r="402" spans="2:7" ht="14.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4.7" thickBot="1">
      <c r="B421" s="5"/>
      <c r="C421" s="3"/>
      <c r="D421" s="5"/>
      <c r="E421" s="5"/>
    </row>
    <row r="422" spans="1:7" ht="14.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4.7" thickBot="1">
      <c r="B441" s="5"/>
      <c r="C441" s="3"/>
      <c r="D441" s="5"/>
      <c r="E441" s="5"/>
    </row>
    <row r="442" spans="2:7" ht="14.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4.7" thickBot="1">
      <c r="B461" s="5"/>
      <c r="C461" s="3"/>
      <c r="D461" s="5"/>
      <c r="E461" s="5"/>
    </row>
    <row r="462" spans="2:7" ht="14.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'10'!A466+(B466-SUM(D466:F466))</f>
        <v>800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'10'!A467+(B467-SUM(D467:F467))</f>
        <v>633.02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'10'!A468+(B468-SUM(D468:F468))</f>
        <v>80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1513.02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4.7" thickBot="1"/>
    <row r="482" spans="2:7" ht="14.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4.7" thickBot="1">
      <c r="B501" s="5"/>
      <c r="C501" s="3"/>
      <c r="D501" s="5"/>
      <c r="E501" s="5"/>
    </row>
    <row r="502" spans="2:7" ht="14.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22" workbookViewId="0">
      <selection activeCell="B22" sqref="B22:G23"/>
    </sheetView>
  </sheetViews>
  <sheetFormatPr defaultColWidth="11.41796875" defaultRowHeight="14.4"/>
  <cols>
    <col min="1" max="1" width="11.41796875" style="89"/>
    <col min="2" max="2" width="10" style="113" customWidth="1"/>
    <col min="3" max="3" width="33.26171875" style="89" customWidth="1"/>
    <col min="4" max="6" width="10" style="113" customWidth="1"/>
    <col min="7" max="7" width="33.26171875" style="89" customWidth="1"/>
    <col min="8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5.9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6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6">
      <c r="A6" s="112">
        <f>'11'!A6+(B6-SUM(D6:F6))</f>
        <v>4801.0800000000008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6">
      <c r="A7" s="112">
        <f>'11'!A7+(B7-SUM(D7:F7))</f>
        <v>1281.4400000000005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6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6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6">
      <c r="A10" s="112">
        <f>'11'!A10+(B10-SUM(D10:F10))</f>
        <v>132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6">
      <c r="A11" s="112">
        <f>'11'!A11+(B11-SUM(D11:F11))</f>
        <v>362.75000000000006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6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6">
      <c r="A13" s="112">
        <f>'11'!A13+(B13-SUM(D13:F13))</f>
        <v>147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5.9" thickBot="1">
      <c r="A20" s="112">
        <f>SUM(A6:A15)</f>
        <v>7062.3100000000013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6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6">
      <c r="A26" s="112">
        <f>'11'!A26+(B26-SUM(D26:F26))</f>
        <v>9900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6">
      <c r="A27" s="112">
        <f>'11'!A27+(B27-SUM(D27:F27))</f>
        <v>1885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6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6">
      <c r="A29" s="112">
        <f>'11'!A29+(B29-SUM(D29:F29))</f>
        <v>199.23000000000002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'11'!A30+(B30-SUM(D30:F30))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5.9" thickBot="1">
      <c r="A40" s="112">
        <f>SUM(A26:A35)</f>
        <v>13103.91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6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6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5.9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5.9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6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6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'11'!A106+(B106-SUM(D106:F106))</f>
        <v>2843.170000000001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'11'!A107+(B107-SUM(D107:F107))</f>
        <v>782.48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'11'!A109+(B109-SUM(D109:F109))</f>
        <v>3272.4200000000028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4422.7500000000009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6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6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4.7" thickBot="1">
      <c r="B201" s="5"/>
      <c r="C201" s="3"/>
      <c r="D201" s="5"/>
      <c r="E201" s="5"/>
    </row>
    <row r="202" spans="2:12" ht="14.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4.7" thickBot="1">
      <c r="B221" s="5"/>
      <c r="C221" s="3"/>
      <c r="D221" s="5"/>
      <c r="E221" s="5"/>
    </row>
    <row r="222" spans="2:7" ht="14.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4.7" thickBot="1">
      <c r="B241" s="5"/>
      <c r="C241" s="3"/>
      <c r="D241" s="5"/>
      <c r="E241" s="5"/>
    </row>
    <row r="242" spans="2:7" ht="14.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4.7" thickBot="1">
      <c r="B259" s="135"/>
      <c r="C259" s="17"/>
      <c r="D259" s="135"/>
      <c r="E259" s="139"/>
      <c r="F259" s="139"/>
      <c r="G259" s="17"/>
    </row>
    <row r="260" spans="2:7" ht="14.7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4.7" thickBot="1">
      <c r="B261" s="5"/>
      <c r="C261" s="3"/>
      <c r="D261" s="5"/>
      <c r="E261" s="5"/>
    </row>
    <row r="262" spans="2:7" ht="14.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4.7" thickBot="1">
      <c r="B279" s="135"/>
      <c r="C279" s="17"/>
      <c r="D279" s="135"/>
      <c r="E279" s="139"/>
      <c r="F279" s="139"/>
      <c r="G279" s="17"/>
    </row>
    <row r="280" spans="2:8" ht="14.7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4.7" thickBot="1">
      <c r="B281" s="5"/>
      <c r="C281" s="3"/>
      <c r="D281" s="5"/>
      <c r="E281" s="5"/>
    </row>
    <row r="282" spans="2:8" ht="14.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4.7" thickBot="1">
      <c r="B299" s="135"/>
      <c r="C299" s="17"/>
      <c r="D299" s="135"/>
      <c r="E299" s="139"/>
      <c r="F299" s="139"/>
      <c r="G299" s="17"/>
    </row>
    <row r="300" spans="2:8" ht="14.7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4.7" thickBot="1">
      <c r="B301" s="5"/>
      <c r="C301" s="3"/>
      <c r="D301" s="5"/>
      <c r="E301" s="5"/>
    </row>
    <row r="302" spans="2:8" ht="14.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4.7" thickBot="1"/>
    <row r="322" spans="2:7" ht="14.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4.7" thickBot="1">
      <c r="B339" s="135"/>
      <c r="C339" s="17"/>
      <c r="D339" s="135"/>
      <c r="E339" s="139"/>
      <c r="F339" s="139"/>
      <c r="G339" s="17"/>
    </row>
    <row r="340" spans="2:7" ht="14.7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4.7" thickBot="1">
      <c r="B341" s="5"/>
      <c r="C341" s="3"/>
      <c r="D341" s="5"/>
      <c r="E341" s="5"/>
    </row>
    <row r="342" spans="2:7" ht="14.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4.7" thickBot="1">
      <c r="B359" s="135"/>
      <c r="C359" s="17"/>
      <c r="D359" s="135"/>
      <c r="E359" s="139"/>
      <c r="F359" s="139"/>
      <c r="G359" s="17"/>
    </row>
    <row r="360" spans="2:7" ht="14.7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4.7" thickBot="1">
      <c r="B361" s="5"/>
      <c r="C361" s="3"/>
      <c r="D361" s="5"/>
      <c r="E361" s="5"/>
    </row>
    <row r="362" spans="2:7" ht="14.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4.7" thickBot="1">
      <c r="B381" s="5"/>
      <c r="C381" s="3"/>
      <c r="D381" s="5"/>
      <c r="E381" s="5"/>
    </row>
    <row r="382" spans="2:7" ht="14.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4.7" thickBot="1">
      <c r="B401" s="5"/>
      <c r="C401" s="3"/>
      <c r="D401" s="5"/>
      <c r="E401" s="5"/>
    </row>
    <row r="402" spans="2:7" ht="14.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4.7" thickBot="1">
      <c r="B421" s="5"/>
      <c r="C421" s="3"/>
      <c r="D421" s="5"/>
      <c r="E421" s="5"/>
    </row>
    <row r="422" spans="1:7" ht="14.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4.7" thickBot="1">
      <c r="B441" s="5"/>
      <c r="C441" s="3"/>
      <c r="D441" s="5"/>
      <c r="E441" s="5"/>
    </row>
    <row r="442" spans="2:7" ht="14.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4.7" thickBot="1">
      <c r="B461" s="5"/>
      <c r="C461" s="3"/>
      <c r="D461" s="5"/>
      <c r="E461" s="5"/>
    </row>
    <row r="462" spans="2:7" ht="14.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'11'!A466+(B466-SUM(D466:F466))</f>
        <v>825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'11'!A467+(B467-SUM(D467:F467))</f>
        <v>653.02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'11'!A468+(B468-SUM(D468:F468))</f>
        <v>85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1563.02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4.7" thickBot="1"/>
    <row r="482" spans="2:7" ht="14.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4.7" thickBot="1">
      <c r="B501" s="5"/>
      <c r="C501" s="3"/>
      <c r="D501" s="5"/>
      <c r="E501" s="5"/>
    </row>
    <row r="502" spans="2:7" ht="14.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E18" sqref="E18"/>
    </sheetView>
  </sheetViews>
  <sheetFormatPr defaultColWidth="11.68359375" defaultRowHeight="14.4"/>
  <cols>
    <col min="1" max="1" width="30.15625" customWidth="1"/>
    <col min="2" max="2" width="15" customWidth="1"/>
    <col min="3" max="3" width="14.41796875" customWidth="1"/>
    <col min="4" max="4" width="29.15625" customWidth="1"/>
    <col min="5" max="5" width="24.578125" customWidth="1"/>
    <col min="6" max="6" width="13.15625" customWidth="1"/>
    <col min="7" max="7" width="8.68359375" customWidth="1"/>
    <col min="8" max="8" width="8" customWidth="1"/>
    <col min="9" max="9" width="12.26171875" customWidth="1"/>
    <col min="10" max="10" width="20.26171875" customWidth="1"/>
    <col min="11" max="11" width="13.83984375" customWidth="1"/>
    <col min="12" max="12" width="8" customWidth="1"/>
    <col min="257" max="257" width="30.15625" customWidth="1"/>
    <col min="258" max="258" width="15" customWidth="1"/>
    <col min="259" max="259" width="14.41796875" customWidth="1"/>
    <col min="260" max="260" width="29.15625" customWidth="1"/>
    <col min="261" max="261" width="24.578125" customWidth="1"/>
    <col min="262" max="262" width="13.15625" customWidth="1"/>
    <col min="263" max="263" width="8.68359375" customWidth="1"/>
    <col min="264" max="264" width="8" customWidth="1"/>
    <col min="265" max="265" width="12.26171875" customWidth="1"/>
    <col min="266" max="266" width="20.26171875" customWidth="1"/>
    <col min="267" max="267" width="13.83984375" customWidth="1"/>
    <col min="268" max="268" width="8" customWidth="1"/>
    <col min="513" max="513" width="30.15625" customWidth="1"/>
    <col min="514" max="514" width="15" customWidth="1"/>
    <col min="515" max="515" width="14.41796875" customWidth="1"/>
    <col min="516" max="516" width="29.15625" customWidth="1"/>
    <col min="517" max="517" width="24.578125" customWidth="1"/>
    <col min="518" max="518" width="13.15625" customWidth="1"/>
    <col min="519" max="519" width="8.68359375" customWidth="1"/>
    <col min="520" max="520" width="8" customWidth="1"/>
    <col min="521" max="521" width="12.26171875" customWidth="1"/>
    <col min="522" max="522" width="20.26171875" customWidth="1"/>
    <col min="523" max="523" width="13.83984375" customWidth="1"/>
    <col min="524" max="524" width="8" customWidth="1"/>
    <col min="769" max="769" width="30.15625" customWidth="1"/>
    <col min="770" max="770" width="15" customWidth="1"/>
    <col min="771" max="771" width="14.41796875" customWidth="1"/>
    <col min="772" max="772" width="29.15625" customWidth="1"/>
    <col min="773" max="773" width="24.578125" customWidth="1"/>
    <col min="774" max="774" width="13.15625" customWidth="1"/>
    <col min="775" max="775" width="8.68359375" customWidth="1"/>
    <col min="776" max="776" width="8" customWidth="1"/>
    <col min="777" max="777" width="12.26171875" customWidth="1"/>
    <col min="778" max="778" width="20.26171875" customWidth="1"/>
    <col min="779" max="779" width="13.83984375" customWidth="1"/>
    <col min="780" max="780" width="8" customWidth="1"/>
    <col min="1025" max="1025" width="30.15625" customWidth="1"/>
    <col min="1026" max="1026" width="15" customWidth="1"/>
    <col min="1027" max="1027" width="14.41796875" customWidth="1"/>
    <col min="1028" max="1028" width="29.15625" customWidth="1"/>
    <col min="1029" max="1029" width="24.578125" customWidth="1"/>
    <col min="1030" max="1030" width="13.15625" customWidth="1"/>
    <col min="1031" max="1031" width="8.68359375" customWidth="1"/>
    <col min="1032" max="1032" width="8" customWidth="1"/>
    <col min="1033" max="1033" width="12.26171875" customWidth="1"/>
    <col min="1034" max="1034" width="20.26171875" customWidth="1"/>
    <col min="1035" max="1035" width="13.83984375" customWidth="1"/>
    <col min="1036" max="1036" width="8" customWidth="1"/>
    <col min="1281" max="1281" width="30.15625" customWidth="1"/>
    <col min="1282" max="1282" width="15" customWidth="1"/>
    <col min="1283" max="1283" width="14.41796875" customWidth="1"/>
    <col min="1284" max="1284" width="29.15625" customWidth="1"/>
    <col min="1285" max="1285" width="24.578125" customWidth="1"/>
    <col min="1286" max="1286" width="13.15625" customWidth="1"/>
    <col min="1287" max="1287" width="8.68359375" customWidth="1"/>
    <col min="1288" max="1288" width="8" customWidth="1"/>
    <col min="1289" max="1289" width="12.26171875" customWidth="1"/>
    <col min="1290" max="1290" width="20.26171875" customWidth="1"/>
    <col min="1291" max="1291" width="13.83984375" customWidth="1"/>
    <col min="1292" max="1292" width="8" customWidth="1"/>
    <col min="1537" max="1537" width="30.15625" customWidth="1"/>
    <col min="1538" max="1538" width="15" customWidth="1"/>
    <col min="1539" max="1539" width="14.41796875" customWidth="1"/>
    <col min="1540" max="1540" width="29.15625" customWidth="1"/>
    <col min="1541" max="1541" width="24.578125" customWidth="1"/>
    <col min="1542" max="1542" width="13.15625" customWidth="1"/>
    <col min="1543" max="1543" width="8.68359375" customWidth="1"/>
    <col min="1544" max="1544" width="8" customWidth="1"/>
    <col min="1545" max="1545" width="12.26171875" customWidth="1"/>
    <col min="1546" max="1546" width="20.26171875" customWidth="1"/>
    <col min="1547" max="1547" width="13.83984375" customWidth="1"/>
    <col min="1548" max="1548" width="8" customWidth="1"/>
    <col min="1793" max="1793" width="30.15625" customWidth="1"/>
    <col min="1794" max="1794" width="15" customWidth="1"/>
    <col min="1795" max="1795" width="14.41796875" customWidth="1"/>
    <col min="1796" max="1796" width="29.15625" customWidth="1"/>
    <col min="1797" max="1797" width="24.578125" customWidth="1"/>
    <col min="1798" max="1798" width="13.15625" customWidth="1"/>
    <col min="1799" max="1799" width="8.68359375" customWidth="1"/>
    <col min="1800" max="1800" width="8" customWidth="1"/>
    <col min="1801" max="1801" width="12.26171875" customWidth="1"/>
    <col min="1802" max="1802" width="20.26171875" customWidth="1"/>
    <col min="1803" max="1803" width="13.83984375" customWidth="1"/>
    <col min="1804" max="1804" width="8" customWidth="1"/>
    <col min="2049" max="2049" width="30.15625" customWidth="1"/>
    <col min="2050" max="2050" width="15" customWidth="1"/>
    <col min="2051" max="2051" width="14.41796875" customWidth="1"/>
    <col min="2052" max="2052" width="29.15625" customWidth="1"/>
    <col min="2053" max="2053" width="24.578125" customWidth="1"/>
    <col min="2054" max="2054" width="13.15625" customWidth="1"/>
    <col min="2055" max="2055" width="8.68359375" customWidth="1"/>
    <col min="2056" max="2056" width="8" customWidth="1"/>
    <col min="2057" max="2057" width="12.26171875" customWidth="1"/>
    <col min="2058" max="2058" width="20.26171875" customWidth="1"/>
    <col min="2059" max="2059" width="13.83984375" customWidth="1"/>
    <col min="2060" max="2060" width="8" customWidth="1"/>
    <col min="2305" max="2305" width="30.15625" customWidth="1"/>
    <col min="2306" max="2306" width="15" customWidth="1"/>
    <col min="2307" max="2307" width="14.41796875" customWidth="1"/>
    <col min="2308" max="2308" width="29.15625" customWidth="1"/>
    <col min="2309" max="2309" width="24.578125" customWidth="1"/>
    <col min="2310" max="2310" width="13.15625" customWidth="1"/>
    <col min="2311" max="2311" width="8.68359375" customWidth="1"/>
    <col min="2312" max="2312" width="8" customWidth="1"/>
    <col min="2313" max="2313" width="12.26171875" customWidth="1"/>
    <col min="2314" max="2314" width="20.26171875" customWidth="1"/>
    <col min="2315" max="2315" width="13.83984375" customWidth="1"/>
    <col min="2316" max="2316" width="8" customWidth="1"/>
    <col min="2561" max="2561" width="30.15625" customWidth="1"/>
    <col min="2562" max="2562" width="15" customWidth="1"/>
    <col min="2563" max="2563" width="14.41796875" customWidth="1"/>
    <col min="2564" max="2564" width="29.15625" customWidth="1"/>
    <col min="2565" max="2565" width="24.578125" customWidth="1"/>
    <col min="2566" max="2566" width="13.15625" customWidth="1"/>
    <col min="2567" max="2567" width="8.68359375" customWidth="1"/>
    <col min="2568" max="2568" width="8" customWidth="1"/>
    <col min="2569" max="2569" width="12.26171875" customWidth="1"/>
    <col min="2570" max="2570" width="20.26171875" customWidth="1"/>
    <col min="2571" max="2571" width="13.83984375" customWidth="1"/>
    <col min="2572" max="2572" width="8" customWidth="1"/>
    <col min="2817" max="2817" width="30.15625" customWidth="1"/>
    <col min="2818" max="2818" width="15" customWidth="1"/>
    <col min="2819" max="2819" width="14.41796875" customWidth="1"/>
    <col min="2820" max="2820" width="29.15625" customWidth="1"/>
    <col min="2821" max="2821" width="24.578125" customWidth="1"/>
    <col min="2822" max="2822" width="13.15625" customWidth="1"/>
    <col min="2823" max="2823" width="8.68359375" customWidth="1"/>
    <col min="2824" max="2824" width="8" customWidth="1"/>
    <col min="2825" max="2825" width="12.26171875" customWidth="1"/>
    <col min="2826" max="2826" width="20.26171875" customWidth="1"/>
    <col min="2827" max="2827" width="13.83984375" customWidth="1"/>
    <col min="2828" max="2828" width="8" customWidth="1"/>
    <col min="3073" max="3073" width="30.15625" customWidth="1"/>
    <col min="3074" max="3074" width="15" customWidth="1"/>
    <col min="3075" max="3075" width="14.41796875" customWidth="1"/>
    <col min="3076" max="3076" width="29.15625" customWidth="1"/>
    <col min="3077" max="3077" width="24.578125" customWidth="1"/>
    <col min="3078" max="3078" width="13.15625" customWidth="1"/>
    <col min="3079" max="3079" width="8.68359375" customWidth="1"/>
    <col min="3080" max="3080" width="8" customWidth="1"/>
    <col min="3081" max="3081" width="12.26171875" customWidth="1"/>
    <col min="3082" max="3082" width="20.26171875" customWidth="1"/>
    <col min="3083" max="3083" width="13.83984375" customWidth="1"/>
    <col min="3084" max="3084" width="8" customWidth="1"/>
    <col min="3329" max="3329" width="30.15625" customWidth="1"/>
    <col min="3330" max="3330" width="15" customWidth="1"/>
    <col min="3331" max="3331" width="14.41796875" customWidth="1"/>
    <col min="3332" max="3332" width="29.15625" customWidth="1"/>
    <col min="3333" max="3333" width="24.578125" customWidth="1"/>
    <col min="3334" max="3334" width="13.15625" customWidth="1"/>
    <col min="3335" max="3335" width="8.68359375" customWidth="1"/>
    <col min="3336" max="3336" width="8" customWidth="1"/>
    <col min="3337" max="3337" width="12.26171875" customWidth="1"/>
    <col min="3338" max="3338" width="20.26171875" customWidth="1"/>
    <col min="3339" max="3339" width="13.83984375" customWidth="1"/>
    <col min="3340" max="3340" width="8" customWidth="1"/>
    <col min="3585" max="3585" width="30.15625" customWidth="1"/>
    <col min="3586" max="3586" width="15" customWidth="1"/>
    <col min="3587" max="3587" width="14.41796875" customWidth="1"/>
    <col min="3588" max="3588" width="29.15625" customWidth="1"/>
    <col min="3589" max="3589" width="24.578125" customWidth="1"/>
    <col min="3590" max="3590" width="13.15625" customWidth="1"/>
    <col min="3591" max="3591" width="8.68359375" customWidth="1"/>
    <col min="3592" max="3592" width="8" customWidth="1"/>
    <col min="3593" max="3593" width="12.26171875" customWidth="1"/>
    <col min="3594" max="3594" width="20.26171875" customWidth="1"/>
    <col min="3595" max="3595" width="13.83984375" customWidth="1"/>
    <col min="3596" max="3596" width="8" customWidth="1"/>
    <col min="3841" max="3841" width="30.15625" customWidth="1"/>
    <col min="3842" max="3842" width="15" customWidth="1"/>
    <col min="3843" max="3843" width="14.41796875" customWidth="1"/>
    <col min="3844" max="3844" width="29.15625" customWidth="1"/>
    <col min="3845" max="3845" width="24.578125" customWidth="1"/>
    <col min="3846" max="3846" width="13.15625" customWidth="1"/>
    <col min="3847" max="3847" width="8.68359375" customWidth="1"/>
    <col min="3848" max="3848" width="8" customWidth="1"/>
    <col min="3849" max="3849" width="12.26171875" customWidth="1"/>
    <col min="3850" max="3850" width="20.26171875" customWidth="1"/>
    <col min="3851" max="3851" width="13.83984375" customWidth="1"/>
    <col min="3852" max="3852" width="8" customWidth="1"/>
    <col min="4097" max="4097" width="30.15625" customWidth="1"/>
    <col min="4098" max="4098" width="15" customWidth="1"/>
    <col min="4099" max="4099" width="14.41796875" customWidth="1"/>
    <col min="4100" max="4100" width="29.15625" customWidth="1"/>
    <col min="4101" max="4101" width="24.578125" customWidth="1"/>
    <col min="4102" max="4102" width="13.15625" customWidth="1"/>
    <col min="4103" max="4103" width="8.68359375" customWidth="1"/>
    <col min="4104" max="4104" width="8" customWidth="1"/>
    <col min="4105" max="4105" width="12.26171875" customWidth="1"/>
    <col min="4106" max="4106" width="20.26171875" customWidth="1"/>
    <col min="4107" max="4107" width="13.83984375" customWidth="1"/>
    <col min="4108" max="4108" width="8" customWidth="1"/>
    <col min="4353" max="4353" width="30.15625" customWidth="1"/>
    <col min="4354" max="4354" width="15" customWidth="1"/>
    <col min="4355" max="4355" width="14.41796875" customWidth="1"/>
    <col min="4356" max="4356" width="29.15625" customWidth="1"/>
    <col min="4357" max="4357" width="24.578125" customWidth="1"/>
    <col min="4358" max="4358" width="13.15625" customWidth="1"/>
    <col min="4359" max="4359" width="8.68359375" customWidth="1"/>
    <col min="4360" max="4360" width="8" customWidth="1"/>
    <col min="4361" max="4361" width="12.26171875" customWidth="1"/>
    <col min="4362" max="4362" width="20.26171875" customWidth="1"/>
    <col min="4363" max="4363" width="13.83984375" customWidth="1"/>
    <col min="4364" max="4364" width="8" customWidth="1"/>
    <col min="4609" max="4609" width="30.15625" customWidth="1"/>
    <col min="4610" max="4610" width="15" customWidth="1"/>
    <col min="4611" max="4611" width="14.41796875" customWidth="1"/>
    <col min="4612" max="4612" width="29.15625" customWidth="1"/>
    <col min="4613" max="4613" width="24.578125" customWidth="1"/>
    <col min="4614" max="4614" width="13.15625" customWidth="1"/>
    <col min="4615" max="4615" width="8.68359375" customWidth="1"/>
    <col min="4616" max="4616" width="8" customWidth="1"/>
    <col min="4617" max="4617" width="12.26171875" customWidth="1"/>
    <col min="4618" max="4618" width="20.26171875" customWidth="1"/>
    <col min="4619" max="4619" width="13.83984375" customWidth="1"/>
    <col min="4620" max="4620" width="8" customWidth="1"/>
    <col min="4865" max="4865" width="30.15625" customWidth="1"/>
    <col min="4866" max="4866" width="15" customWidth="1"/>
    <col min="4867" max="4867" width="14.41796875" customWidth="1"/>
    <col min="4868" max="4868" width="29.15625" customWidth="1"/>
    <col min="4869" max="4869" width="24.578125" customWidth="1"/>
    <col min="4870" max="4870" width="13.15625" customWidth="1"/>
    <col min="4871" max="4871" width="8.68359375" customWidth="1"/>
    <col min="4872" max="4872" width="8" customWidth="1"/>
    <col min="4873" max="4873" width="12.26171875" customWidth="1"/>
    <col min="4874" max="4874" width="20.26171875" customWidth="1"/>
    <col min="4875" max="4875" width="13.83984375" customWidth="1"/>
    <col min="4876" max="4876" width="8" customWidth="1"/>
    <col min="5121" max="5121" width="30.15625" customWidth="1"/>
    <col min="5122" max="5122" width="15" customWidth="1"/>
    <col min="5123" max="5123" width="14.41796875" customWidth="1"/>
    <col min="5124" max="5124" width="29.15625" customWidth="1"/>
    <col min="5125" max="5125" width="24.578125" customWidth="1"/>
    <col min="5126" max="5126" width="13.15625" customWidth="1"/>
    <col min="5127" max="5127" width="8.68359375" customWidth="1"/>
    <col min="5128" max="5128" width="8" customWidth="1"/>
    <col min="5129" max="5129" width="12.26171875" customWidth="1"/>
    <col min="5130" max="5130" width="20.26171875" customWidth="1"/>
    <col min="5131" max="5131" width="13.83984375" customWidth="1"/>
    <col min="5132" max="5132" width="8" customWidth="1"/>
    <col min="5377" max="5377" width="30.15625" customWidth="1"/>
    <col min="5378" max="5378" width="15" customWidth="1"/>
    <col min="5379" max="5379" width="14.41796875" customWidth="1"/>
    <col min="5380" max="5380" width="29.15625" customWidth="1"/>
    <col min="5381" max="5381" width="24.578125" customWidth="1"/>
    <col min="5382" max="5382" width="13.15625" customWidth="1"/>
    <col min="5383" max="5383" width="8.68359375" customWidth="1"/>
    <col min="5384" max="5384" width="8" customWidth="1"/>
    <col min="5385" max="5385" width="12.26171875" customWidth="1"/>
    <col min="5386" max="5386" width="20.26171875" customWidth="1"/>
    <col min="5387" max="5387" width="13.83984375" customWidth="1"/>
    <col min="5388" max="5388" width="8" customWidth="1"/>
    <col min="5633" max="5633" width="30.15625" customWidth="1"/>
    <col min="5634" max="5634" width="15" customWidth="1"/>
    <col min="5635" max="5635" width="14.41796875" customWidth="1"/>
    <col min="5636" max="5636" width="29.15625" customWidth="1"/>
    <col min="5637" max="5637" width="24.578125" customWidth="1"/>
    <col min="5638" max="5638" width="13.15625" customWidth="1"/>
    <col min="5639" max="5639" width="8.68359375" customWidth="1"/>
    <col min="5640" max="5640" width="8" customWidth="1"/>
    <col min="5641" max="5641" width="12.26171875" customWidth="1"/>
    <col min="5642" max="5642" width="20.26171875" customWidth="1"/>
    <col min="5643" max="5643" width="13.83984375" customWidth="1"/>
    <col min="5644" max="5644" width="8" customWidth="1"/>
    <col min="5889" max="5889" width="30.15625" customWidth="1"/>
    <col min="5890" max="5890" width="15" customWidth="1"/>
    <col min="5891" max="5891" width="14.41796875" customWidth="1"/>
    <col min="5892" max="5892" width="29.15625" customWidth="1"/>
    <col min="5893" max="5893" width="24.578125" customWidth="1"/>
    <col min="5894" max="5894" width="13.15625" customWidth="1"/>
    <col min="5895" max="5895" width="8.68359375" customWidth="1"/>
    <col min="5896" max="5896" width="8" customWidth="1"/>
    <col min="5897" max="5897" width="12.26171875" customWidth="1"/>
    <col min="5898" max="5898" width="20.26171875" customWidth="1"/>
    <col min="5899" max="5899" width="13.83984375" customWidth="1"/>
    <col min="5900" max="5900" width="8" customWidth="1"/>
    <col min="6145" max="6145" width="30.15625" customWidth="1"/>
    <col min="6146" max="6146" width="15" customWidth="1"/>
    <col min="6147" max="6147" width="14.41796875" customWidth="1"/>
    <col min="6148" max="6148" width="29.15625" customWidth="1"/>
    <col min="6149" max="6149" width="24.578125" customWidth="1"/>
    <col min="6150" max="6150" width="13.15625" customWidth="1"/>
    <col min="6151" max="6151" width="8.68359375" customWidth="1"/>
    <col min="6152" max="6152" width="8" customWidth="1"/>
    <col min="6153" max="6153" width="12.26171875" customWidth="1"/>
    <col min="6154" max="6154" width="20.26171875" customWidth="1"/>
    <col min="6155" max="6155" width="13.83984375" customWidth="1"/>
    <col min="6156" max="6156" width="8" customWidth="1"/>
    <col min="6401" max="6401" width="30.15625" customWidth="1"/>
    <col min="6402" max="6402" width="15" customWidth="1"/>
    <col min="6403" max="6403" width="14.41796875" customWidth="1"/>
    <col min="6404" max="6404" width="29.15625" customWidth="1"/>
    <col min="6405" max="6405" width="24.578125" customWidth="1"/>
    <col min="6406" max="6406" width="13.15625" customWidth="1"/>
    <col min="6407" max="6407" width="8.68359375" customWidth="1"/>
    <col min="6408" max="6408" width="8" customWidth="1"/>
    <col min="6409" max="6409" width="12.26171875" customWidth="1"/>
    <col min="6410" max="6410" width="20.26171875" customWidth="1"/>
    <col min="6411" max="6411" width="13.83984375" customWidth="1"/>
    <col min="6412" max="6412" width="8" customWidth="1"/>
    <col min="6657" max="6657" width="30.15625" customWidth="1"/>
    <col min="6658" max="6658" width="15" customWidth="1"/>
    <col min="6659" max="6659" width="14.41796875" customWidth="1"/>
    <col min="6660" max="6660" width="29.15625" customWidth="1"/>
    <col min="6661" max="6661" width="24.578125" customWidth="1"/>
    <col min="6662" max="6662" width="13.15625" customWidth="1"/>
    <col min="6663" max="6663" width="8.68359375" customWidth="1"/>
    <col min="6664" max="6664" width="8" customWidth="1"/>
    <col min="6665" max="6665" width="12.26171875" customWidth="1"/>
    <col min="6666" max="6666" width="20.26171875" customWidth="1"/>
    <col min="6667" max="6667" width="13.83984375" customWidth="1"/>
    <col min="6668" max="6668" width="8" customWidth="1"/>
    <col min="6913" max="6913" width="30.15625" customWidth="1"/>
    <col min="6914" max="6914" width="15" customWidth="1"/>
    <col min="6915" max="6915" width="14.41796875" customWidth="1"/>
    <col min="6916" max="6916" width="29.15625" customWidth="1"/>
    <col min="6917" max="6917" width="24.578125" customWidth="1"/>
    <col min="6918" max="6918" width="13.15625" customWidth="1"/>
    <col min="6919" max="6919" width="8.68359375" customWidth="1"/>
    <col min="6920" max="6920" width="8" customWidth="1"/>
    <col min="6921" max="6921" width="12.26171875" customWidth="1"/>
    <col min="6922" max="6922" width="20.26171875" customWidth="1"/>
    <col min="6923" max="6923" width="13.83984375" customWidth="1"/>
    <col min="6924" max="6924" width="8" customWidth="1"/>
    <col min="7169" max="7169" width="30.15625" customWidth="1"/>
    <col min="7170" max="7170" width="15" customWidth="1"/>
    <col min="7171" max="7171" width="14.41796875" customWidth="1"/>
    <col min="7172" max="7172" width="29.15625" customWidth="1"/>
    <col min="7173" max="7173" width="24.578125" customWidth="1"/>
    <col min="7174" max="7174" width="13.15625" customWidth="1"/>
    <col min="7175" max="7175" width="8.68359375" customWidth="1"/>
    <col min="7176" max="7176" width="8" customWidth="1"/>
    <col min="7177" max="7177" width="12.26171875" customWidth="1"/>
    <col min="7178" max="7178" width="20.26171875" customWidth="1"/>
    <col min="7179" max="7179" width="13.83984375" customWidth="1"/>
    <col min="7180" max="7180" width="8" customWidth="1"/>
    <col min="7425" max="7425" width="30.15625" customWidth="1"/>
    <col min="7426" max="7426" width="15" customWidth="1"/>
    <col min="7427" max="7427" width="14.41796875" customWidth="1"/>
    <col min="7428" max="7428" width="29.15625" customWidth="1"/>
    <col min="7429" max="7429" width="24.578125" customWidth="1"/>
    <col min="7430" max="7430" width="13.15625" customWidth="1"/>
    <col min="7431" max="7431" width="8.68359375" customWidth="1"/>
    <col min="7432" max="7432" width="8" customWidth="1"/>
    <col min="7433" max="7433" width="12.26171875" customWidth="1"/>
    <col min="7434" max="7434" width="20.26171875" customWidth="1"/>
    <col min="7435" max="7435" width="13.83984375" customWidth="1"/>
    <col min="7436" max="7436" width="8" customWidth="1"/>
    <col min="7681" max="7681" width="30.15625" customWidth="1"/>
    <col min="7682" max="7682" width="15" customWidth="1"/>
    <col min="7683" max="7683" width="14.41796875" customWidth="1"/>
    <col min="7684" max="7684" width="29.15625" customWidth="1"/>
    <col min="7685" max="7685" width="24.578125" customWidth="1"/>
    <col min="7686" max="7686" width="13.15625" customWidth="1"/>
    <col min="7687" max="7687" width="8.68359375" customWidth="1"/>
    <col min="7688" max="7688" width="8" customWidth="1"/>
    <col min="7689" max="7689" width="12.26171875" customWidth="1"/>
    <col min="7690" max="7690" width="20.26171875" customWidth="1"/>
    <col min="7691" max="7691" width="13.83984375" customWidth="1"/>
    <col min="7692" max="7692" width="8" customWidth="1"/>
    <col min="7937" max="7937" width="30.15625" customWidth="1"/>
    <col min="7938" max="7938" width="15" customWidth="1"/>
    <col min="7939" max="7939" width="14.41796875" customWidth="1"/>
    <col min="7940" max="7940" width="29.15625" customWidth="1"/>
    <col min="7941" max="7941" width="24.578125" customWidth="1"/>
    <col min="7942" max="7942" width="13.15625" customWidth="1"/>
    <col min="7943" max="7943" width="8.68359375" customWidth="1"/>
    <col min="7944" max="7944" width="8" customWidth="1"/>
    <col min="7945" max="7945" width="12.26171875" customWidth="1"/>
    <col min="7946" max="7946" width="20.26171875" customWidth="1"/>
    <col min="7947" max="7947" width="13.83984375" customWidth="1"/>
    <col min="7948" max="7948" width="8" customWidth="1"/>
    <col min="8193" max="8193" width="30.15625" customWidth="1"/>
    <col min="8194" max="8194" width="15" customWidth="1"/>
    <col min="8195" max="8195" width="14.41796875" customWidth="1"/>
    <col min="8196" max="8196" width="29.15625" customWidth="1"/>
    <col min="8197" max="8197" width="24.578125" customWidth="1"/>
    <col min="8198" max="8198" width="13.15625" customWidth="1"/>
    <col min="8199" max="8199" width="8.68359375" customWidth="1"/>
    <col min="8200" max="8200" width="8" customWidth="1"/>
    <col min="8201" max="8201" width="12.26171875" customWidth="1"/>
    <col min="8202" max="8202" width="20.26171875" customWidth="1"/>
    <col min="8203" max="8203" width="13.83984375" customWidth="1"/>
    <col min="8204" max="8204" width="8" customWidth="1"/>
    <col min="8449" max="8449" width="30.15625" customWidth="1"/>
    <col min="8450" max="8450" width="15" customWidth="1"/>
    <col min="8451" max="8451" width="14.41796875" customWidth="1"/>
    <col min="8452" max="8452" width="29.15625" customWidth="1"/>
    <col min="8453" max="8453" width="24.578125" customWidth="1"/>
    <col min="8454" max="8454" width="13.15625" customWidth="1"/>
    <col min="8455" max="8455" width="8.68359375" customWidth="1"/>
    <col min="8456" max="8456" width="8" customWidth="1"/>
    <col min="8457" max="8457" width="12.26171875" customWidth="1"/>
    <col min="8458" max="8458" width="20.26171875" customWidth="1"/>
    <col min="8459" max="8459" width="13.83984375" customWidth="1"/>
    <col min="8460" max="8460" width="8" customWidth="1"/>
    <col min="8705" max="8705" width="30.15625" customWidth="1"/>
    <col min="8706" max="8706" width="15" customWidth="1"/>
    <col min="8707" max="8707" width="14.41796875" customWidth="1"/>
    <col min="8708" max="8708" width="29.15625" customWidth="1"/>
    <col min="8709" max="8709" width="24.578125" customWidth="1"/>
    <col min="8710" max="8710" width="13.15625" customWidth="1"/>
    <col min="8711" max="8711" width="8.68359375" customWidth="1"/>
    <col min="8712" max="8712" width="8" customWidth="1"/>
    <col min="8713" max="8713" width="12.26171875" customWidth="1"/>
    <col min="8714" max="8714" width="20.26171875" customWidth="1"/>
    <col min="8715" max="8715" width="13.83984375" customWidth="1"/>
    <col min="8716" max="8716" width="8" customWidth="1"/>
    <col min="8961" max="8961" width="30.15625" customWidth="1"/>
    <col min="8962" max="8962" width="15" customWidth="1"/>
    <col min="8963" max="8963" width="14.41796875" customWidth="1"/>
    <col min="8964" max="8964" width="29.15625" customWidth="1"/>
    <col min="8965" max="8965" width="24.578125" customWidth="1"/>
    <col min="8966" max="8966" width="13.15625" customWidth="1"/>
    <col min="8967" max="8967" width="8.68359375" customWidth="1"/>
    <col min="8968" max="8968" width="8" customWidth="1"/>
    <col min="8969" max="8969" width="12.26171875" customWidth="1"/>
    <col min="8970" max="8970" width="20.26171875" customWidth="1"/>
    <col min="8971" max="8971" width="13.83984375" customWidth="1"/>
    <col min="8972" max="8972" width="8" customWidth="1"/>
    <col min="9217" max="9217" width="30.15625" customWidth="1"/>
    <col min="9218" max="9218" width="15" customWidth="1"/>
    <col min="9219" max="9219" width="14.41796875" customWidth="1"/>
    <col min="9220" max="9220" width="29.15625" customWidth="1"/>
    <col min="9221" max="9221" width="24.578125" customWidth="1"/>
    <col min="9222" max="9222" width="13.15625" customWidth="1"/>
    <col min="9223" max="9223" width="8.68359375" customWidth="1"/>
    <col min="9224" max="9224" width="8" customWidth="1"/>
    <col min="9225" max="9225" width="12.26171875" customWidth="1"/>
    <col min="9226" max="9226" width="20.26171875" customWidth="1"/>
    <col min="9227" max="9227" width="13.83984375" customWidth="1"/>
    <col min="9228" max="9228" width="8" customWidth="1"/>
    <col min="9473" max="9473" width="30.15625" customWidth="1"/>
    <col min="9474" max="9474" width="15" customWidth="1"/>
    <col min="9475" max="9475" width="14.41796875" customWidth="1"/>
    <col min="9476" max="9476" width="29.15625" customWidth="1"/>
    <col min="9477" max="9477" width="24.578125" customWidth="1"/>
    <col min="9478" max="9478" width="13.15625" customWidth="1"/>
    <col min="9479" max="9479" width="8.68359375" customWidth="1"/>
    <col min="9480" max="9480" width="8" customWidth="1"/>
    <col min="9481" max="9481" width="12.26171875" customWidth="1"/>
    <col min="9482" max="9482" width="20.26171875" customWidth="1"/>
    <col min="9483" max="9483" width="13.83984375" customWidth="1"/>
    <col min="9484" max="9484" width="8" customWidth="1"/>
    <col min="9729" max="9729" width="30.15625" customWidth="1"/>
    <col min="9730" max="9730" width="15" customWidth="1"/>
    <col min="9731" max="9731" width="14.41796875" customWidth="1"/>
    <col min="9732" max="9732" width="29.15625" customWidth="1"/>
    <col min="9733" max="9733" width="24.578125" customWidth="1"/>
    <col min="9734" max="9734" width="13.15625" customWidth="1"/>
    <col min="9735" max="9735" width="8.68359375" customWidth="1"/>
    <col min="9736" max="9736" width="8" customWidth="1"/>
    <col min="9737" max="9737" width="12.26171875" customWidth="1"/>
    <col min="9738" max="9738" width="20.26171875" customWidth="1"/>
    <col min="9739" max="9739" width="13.83984375" customWidth="1"/>
    <col min="9740" max="9740" width="8" customWidth="1"/>
    <col min="9985" max="9985" width="30.15625" customWidth="1"/>
    <col min="9986" max="9986" width="15" customWidth="1"/>
    <col min="9987" max="9987" width="14.41796875" customWidth="1"/>
    <col min="9988" max="9988" width="29.15625" customWidth="1"/>
    <col min="9989" max="9989" width="24.578125" customWidth="1"/>
    <col min="9990" max="9990" width="13.15625" customWidth="1"/>
    <col min="9991" max="9991" width="8.68359375" customWidth="1"/>
    <col min="9992" max="9992" width="8" customWidth="1"/>
    <col min="9993" max="9993" width="12.26171875" customWidth="1"/>
    <col min="9994" max="9994" width="20.26171875" customWidth="1"/>
    <col min="9995" max="9995" width="13.83984375" customWidth="1"/>
    <col min="9996" max="9996" width="8" customWidth="1"/>
    <col min="10241" max="10241" width="30.15625" customWidth="1"/>
    <col min="10242" max="10242" width="15" customWidth="1"/>
    <col min="10243" max="10243" width="14.41796875" customWidth="1"/>
    <col min="10244" max="10244" width="29.15625" customWidth="1"/>
    <col min="10245" max="10245" width="24.578125" customWidth="1"/>
    <col min="10246" max="10246" width="13.15625" customWidth="1"/>
    <col min="10247" max="10247" width="8.68359375" customWidth="1"/>
    <col min="10248" max="10248" width="8" customWidth="1"/>
    <col min="10249" max="10249" width="12.26171875" customWidth="1"/>
    <col min="10250" max="10250" width="20.26171875" customWidth="1"/>
    <col min="10251" max="10251" width="13.83984375" customWidth="1"/>
    <col min="10252" max="10252" width="8" customWidth="1"/>
    <col min="10497" max="10497" width="30.15625" customWidth="1"/>
    <col min="10498" max="10498" width="15" customWidth="1"/>
    <col min="10499" max="10499" width="14.41796875" customWidth="1"/>
    <col min="10500" max="10500" width="29.15625" customWidth="1"/>
    <col min="10501" max="10501" width="24.578125" customWidth="1"/>
    <col min="10502" max="10502" width="13.15625" customWidth="1"/>
    <col min="10503" max="10503" width="8.68359375" customWidth="1"/>
    <col min="10504" max="10504" width="8" customWidth="1"/>
    <col min="10505" max="10505" width="12.26171875" customWidth="1"/>
    <col min="10506" max="10506" width="20.26171875" customWidth="1"/>
    <col min="10507" max="10507" width="13.83984375" customWidth="1"/>
    <col min="10508" max="10508" width="8" customWidth="1"/>
    <col min="10753" max="10753" width="30.15625" customWidth="1"/>
    <col min="10754" max="10754" width="15" customWidth="1"/>
    <col min="10755" max="10755" width="14.41796875" customWidth="1"/>
    <col min="10756" max="10756" width="29.15625" customWidth="1"/>
    <col min="10757" max="10757" width="24.578125" customWidth="1"/>
    <col min="10758" max="10758" width="13.15625" customWidth="1"/>
    <col min="10759" max="10759" width="8.68359375" customWidth="1"/>
    <col min="10760" max="10760" width="8" customWidth="1"/>
    <col min="10761" max="10761" width="12.26171875" customWidth="1"/>
    <col min="10762" max="10762" width="20.26171875" customWidth="1"/>
    <col min="10763" max="10763" width="13.83984375" customWidth="1"/>
    <col min="10764" max="10764" width="8" customWidth="1"/>
    <col min="11009" max="11009" width="30.15625" customWidth="1"/>
    <col min="11010" max="11010" width="15" customWidth="1"/>
    <col min="11011" max="11011" width="14.41796875" customWidth="1"/>
    <col min="11012" max="11012" width="29.15625" customWidth="1"/>
    <col min="11013" max="11013" width="24.578125" customWidth="1"/>
    <col min="11014" max="11014" width="13.15625" customWidth="1"/>
    <col min="11015" max="11015" width="8.68359375" customWidth="1"/>
    <col min="11016" max="11016" width="8" customWidth="1"/>
    <col min="11017" max="11017" width="12.26171875" customWidth="1"/>
    <col min="11018" max="11018" width="20.26171875" customWidth="1"/>
    <col min="11019" max="11019" width="13.83984375" customWidth="1"/>
    <col min="11020" max="11020" width="8" customWidth="1"/>
    <col min="11265" max="11265" width="30.15625" customWidth="1"/>
    <col min="11266" max="11266" width="15" customWidth="1"/>
    <col min="11267" max="11267" width="14.41796875" customWidth="1"/>
    <col min="11268" max="11268" width="29.15625" customWidth="1"/>
    <col min="11269" max="11269" width="24.578125" customWidth="1"/>
    <col min="11270" max="11270" width="13.15625" customWidth="1"/>
    <col min="11271" max="11271" width="8.68359375" customWidth="1"/>
    <col min="11272" max="11272" width="8" customWidth="1"/>
    <col min="11273" max="11273" width="12.26171875" customWidth="1"/>
    <col min="11274" max="11274" width="20.26171875" customWidth="1"/>
    <col min="11275" max="11275" width="13.83984375" customWidth="1"/>
    <col min="11276" max="11276" width="8" customWidth="1"/>
    <col min="11521" max="11521" width="30.15625" customWidth="1"/>
    <col min="11522" max="11522" width="15" customWidth="1"/>
    <col min="11523" max="11523" width="14.41796875" customWidth="1"/>
    <col min="11524" max="11524" width="29.15625" customWidth="1"/>
    <col min="11525" max="11525" width="24.578125" customWidth="1"/>
    <col min="11526" max="11526" width="13.15625" customWidth="1"/>
    <col min="11527" max="11527" width="8.68359375" customWidth="1"/>
    <col min="11528" max="11528" width="8" customWidth="1"/>
    <col min="11529" max="11529" width="12.26171875" customWidth="1"/>
    <col min="11530" max="11530" width="20.26171875" customWidth="1"/>
    <col min="11531" max="11531" width="13.83984375" customWidth="1"/>
    <col min="11532" max="11532" width="8" customWidth="1"/>
    <col min="11777" max="11777" width="30.15625" customWidth="1"/>
    <col min="11778" max="11778" width="15" customWidth="1"/>
    <col min="11779" max="11779" width="14.41796875" customWidth="1"/>
    <col min="11780" max="11780" width="29.15625" customWidth="1"/>
    <col min="11781" max="11781" width="24.578125" customWidth="1"/>
    <col min="11782" max="11782" width="13.15625" customWidth="1"/>
    <col min="11783" max="11783" width="8.68359375" customWidth="1"/>
    <col min="11784" max="11784" width="8" customWidth="1"/>
    <col min="11785" max="11785" width="12.26171875" customWidth="1"/>
    <col min="11786" max="11786" width="20.26171875" customWidth="1"/>
    <col min="11787" max="11787" width="13.83984375" customWidth="1"/>
    <col min="11788" max="11788" width="8" customWidth="1"/>
    <col min="12033" max="12033" width="30.15625" customWidth="1"/>
    <col min="12034" max="12034" width="15" customWidth="1"/>
    <col min="12035" max="12035" width="14.41796875" customWidth="1"/>
    <col min="12036" max="12036" width="29.15625" customWidth="1"/>
    <col min="12037" max="12037" width="24.578125" customWidth="1"/>
    <col min="12038" max="12038" width="13.15625" customWidth="1"/>
    <col min="12039" max="12039" width="8.68359375" customWidth="1"/>
    <col min="12040" max="12040" width="8" customWidth="1"/>
    <col min="12041" max="12041" width="12.26171875" customWidth="1"/>
    <col min="12042" max="12042" width="20.26171875" customWidth="1"/>
    <col min="12043" max="12043" width="13.83984375" customWidth="1"/>
    <col min="12044" max="12044" width="8" customWidth="1"/>
    <col min="12289" max="12289" width="30.15625" customWidth="1"/>
    <col min="12290" max="12290" width="15" customWidth="1"/>
    <col min="12291" max="12291" width="14.41796875" customWidth="1"/>
    <col min="12292" max="12292" width="29.15625" customWidth="1"/>
    <col min="12293" max="12293" width="24.578125" customWidth="1"/>
    <col min="12294" max="12294" width="13.15625" customWidth="1"/>
    <col min="12295" max="12295" width="8.68359375" customWidth="1"/>
    <col min="12296" max="12296" width="8" customWidth="1"/>
    <col min="12297" max="12297" width="12.26171875" customWidth="1"/>
    <col min="12298" max="12298" width="20.26171875" customWidth="1"/>
    <col min="12299" max="12299" width="13.83984375" customWidth="1"/>
    <col min="12300" max="12300" width="8" customWidth="1"/>
    <col min="12545" max="12545" width="30.15625" customWidth="1"/>
    <col min="12546" max="12546" width="15" customWidth="1"/>
    <col min="12547" max="12547" width="14.41796875" customWidth="1"/>
    <col min="12548" max="12548" width="29.15625" customWidth="1"/>
    <col min="12549" max="12549" width="24.578125" customWidth="1"/>
    <col min="12550" max="12550" width="13.15625" customWidth="1"/>
    <col min="12551" max="12551" width="8.68359375" customWidth="1"/>
    <col min="12552" max="12552" width="8" customWidth="1"/>
    <col min="12553" max="12553" width="12.26171875" customWidth="1"/>
    <col min="12554" max="12554" width="20.26171875" customWidth="1"/>
    <col min="12555" max="12555" width="13.83984375" customWidth="1"/>
    <col min="12556" max="12556" width="8" customWidth="1"/>
    <col min="12801" max="12801" width="30.15625" customWidth="1"/>
    <col min="12802" max="12802" width="15" customWidth="1"/>
    <col min="12803" max="12803" width="14.41796875" customWidth="1"/>
    <col min="12804" max="12804" width="29.15625" customWidth="1"/>
    <col min="12805" max="12805" width="24.578125" customWidth="1"/>
    <col min="12806" max="12806" width="13.15625" customWidth="1"/>
    <col min="12807" max="12807" width="8.68359375" customWidth="1"/>
    <col min="12808" max="12808" width="8" customWidth="1"/>
    <col min="12809" max="12809" width="12.26171875" customWidth="1"/>
    <col min="12810" max="12810" width="20.26171875" customWidth="1"/>
    <col min="12811" max="12811" width="13.83984375" customWidth="1"/>
    <col min="12812" max="12812" width="8" customWidth="1"/>
    <col min="13057" max="13057" width="30.15625" customWidth="1"/>
    <col min="13058" max="13058" width="15" customWidth="1"/>
    <col min="13059" max="13059" width="14.41796875" customWidth="1"/>
    <col min="13060" max="13060" width="29.15625" customWidth="1"/>
    <col min="13061" max="13061" width="24.578125" customWidth="1"/>
    <col min="13062" max="13062" width="13.15625" customWidth="1"/>
    <col min="13063" max="13063" width="8.68359375" customWidth="1"/>
    <col min="13064" max="13064" width="8" customWidth="1"/>
    <col min="13065" max="13065" width="12.26171875" customWidth="1"/>
    <col min="13066" max="13066" width="20.26171875" customWidth="1"/>
    <col min="13067" max="13067" width="13.83984375" customWidth="1"/>
    <col min="13068" max="13068" width="8" customWidth="1"/>
    <col min="13313" max="13313" width="30.15625" customWidth="1"/>
    <col min="13314" max="13314" width="15" customWidth="1"/>
    <col min="13315" max="13315" width="14.41796875" customWidth="1"/>
    <col min="13316" max="13316" width="29.15625" customWidth="1"/>
    <col min="13317" max="13317" width="24.578125" customWidth="1"/>
    <col min="13318" max="13318" width="13.15625" customWidth="1"/>
    <col min="13319" max="13319" width="8.68359375" customWidth="1"/>
    <col min="13320" max="13320" width="8" customWidth="1"/>
    <col min="13321" max="13321" width="12.26171875" customWidth="1"/>
    <col min="13322" max="13322" width="20.26171875" customWidth="1"/>
    <col min="13323" max="13323" width="13.83984375" customWidth="1"/>
    <col min="13324" max="13324" width="8" customWidth="1"/>
    <col min="13569" max="13569" width="30.15625" customWidth="1"/>
    <col min="13570" max="13570" width="15" customWidth="1"/>
    <col min="13571" max="13571" width="14.41796875" customWidth="1"/>
    <col min="13572" max="13572" width="29.15625" customWidth="1"/>
    <col min="13573" max="13573" width="24.578125" customWidth="1"/>
    <col min="13574" max="13574" width="13.15625" customWidth="1"/>
    <col min="13575" max="13575" width="8.68359375" customWidth="1"/>
    <col min="13576" max="13576" width="8" customWidth="1"/>
    <col min="13577" max="13577" width="12.26171875" customWidth="1"/>
    <col min="13578" max="13578" width="20.26171875" customWidth="1"/>
    <col min="13579" max="13579" width="13.83984375" customWidth="1"/>
    <col min="13580" max="13580" width="8" customWidth="1"/>
    <col min="13825" max="13825" width="30.15625" customWidth="1"/>
    <col min="13826" max="13826" width="15" customWidth="1"/>
    <col min="13827" max="13827" width="14.41796875" customWidth="1"/>
    <col min="13828" max="13828" width="29.15625" customWidth="1"/>
    <col min="13829" max="13829" width="24.578125" customWidth="1"/>
    <col min="13830" max="13830" width="13.15625" customWidth="1"/>
    <col min="13831" max="13831" width="8.68359375" customWidth="1"/>
    <col min="13832" max="13832" width="8" customWidth="1"/>
    <col min="13833" max="13833" width="12.26171875" customWidth="1"/>
    <col min="13834" max="13834" width="20.26171875" customWidth="1"/>
    <col min="13835" max="13835" width="13.83984375" customWidth="1"/>
    <col min="13836" max="13836" width="8" customWidth="1"/>
    <col min="14081" max="14081" width="30.15625" customWidth="1"/>
    <col min="14082" max="14082" width="15" customWidth="1"/>
    <col min="14083" max="14083" width="14.41796875" customWidth="1"/>
    <col min="14084" max="14084" width="29.15625" customWidth="1"/>
    <col min="14085" max="14085" width="24.578125" customWidth="1"/>
    <col min="14086" max="14086" width="13.15625" customWidth="1"/>
    <col min="14087" max="14087" width="8.68359375" customWidth="1"/>
    <col min="14088" max="14088" width="8" customWidth="1"/>
    <col min="14089" max="14089" width="12.26171875" customWidth="1"/>
    <col min="14090" max="14090" width="20.26171875" customWidth="1"/>
    <col min="14091" max="14091" width="13.83984375" customWidth="1"/>
    <col min="14092" max="14092" width="8" customWidth="1"/>
    <col min="14337" max="14337" width="30.15625" customWidth="1"/>
    <col min="14338" max="14338" width="15" customWidth="1"/>
    <col min="14339" max="14339" width="14.41796875" customWidth="1"/>
    <col min="14340" max="14340" width="29.15625" customWidth="1"/>
    <col min="14341" max="14341" width="24.578125" customWidth="1"/>
    <col min="14342" max="14342" width="13.15625" customWidth="1"/>
    <col min="14343" max="14343" width="8.68359375" customWidth="1"/>
    <col min="14344" max="14344" width="8" customWidth="1"/>
    <col min="14345" max="14345" width="12.26171875" customWidth="1"/>
    <col min="14346" max="14346" width="20.26171875" customWidth="1"/>
    <col min="14347" max="14347" width="13.83984375" customWidth="1"/>
    <col min="14348" max="14348" width="8" customWidth="1"/>
    <col min="14593" max="14593" width="30.15625" customWidth="1"/>
    <col min="14594" max="14594" width="15" customWidth="1"/>
    <col min="14595" max="14595" width="14.41796875" customWidth="1"/>
    <col min="14596" max="14596" width="29.15625" customWidth="1"/>
    <col min="14597" max="14597" width="24.578125" customWidth="1"/>
    <col min="14598" max="14598" width="13.15625" customWidth="1"/>
    <col min="14599" max="14599" width="8.68359375" customWidth="1"/>
    <col min="14600" max="14600" width="8" customWidth="1"/>
    <col min="14601" max="14601" width="12.26171875" customWidth="1"/>
    <col min="14602" max="14602" width="20.26171875" customWidth="1"/>
    <col min="14603" max="14603" width="13.83984375" customWidth="1"/>
    <col min="14604" max="14604" width="8" customWidth="1"/>
    <col min="14849" max="14849" width="30.15625" customWidth="1"/>
    <col min="14850" max="14850" width="15" customWidth="1"/>
    <col min="14851" max="14851" width="14.41796875" customWidth="1"/>
    <col min="14852" max="14852" width="29.15625" customWidth="1"/>
    <col min="14853" max="14853" width="24.578125" customWidth="1"/>
    <col min="14854" max="14854" width="13.15625" customWidth="1"/>
    <col min="14855" max="14855" width="8.68359375" customWidth="1"/>
    <col min="14856" max="14856" width="8" customWidth="1"/>
    <col min="14857" max="14857" width="12.26171875" customWidth="1"/>
    <col min="14858" max="14858" width="20.26171875" customWidth="1"/>
    <col min="14859" max="14859" width="13.83984375" customWidth="1"/>
    <col min="14860" max="14860" width="8" customWidth="1"/>
    <col min="15105" max="15105" width="30.15625" customWidth="1"/>
    <col min="15106" max="15106" width="15" customWidth="1"/>
    <col min="15107" max="15107" width="14.41796875" customWidth="1"/>
    <col min="15108" max="15108" width="29.15625" customWidth="1"/>
    <col min="15109" max="15109" width="24.578125" customWidth="1"/>
    <col min="15110" max="15110" width="13.15625" customWidth="1"/>
    <col min="15111" max="15111" width="8.68359375" customWidth="1"/>
    <col min="15112" max="15112" width="8" customWidth="1"/>
    <col min="15113" max="15113" width="12.26171875" customWidth="1"/>
    <col min="15114" max="15114" width="20.26171875" customWidth="1"/>
    <col min="15115" max="15115" width="13.83984375" customWidth="1"/>
    <col min="15116" max="15116" width="8" customWidth="1"/>
    <col min="15361" max="15361" width="30.15625" customWidth="1"/>
    <col min="15362" max="15362" width="15" customWidth="1"/>
    <col min="15363" max="15363" width="14.41796875" customWidth="1"/>
    <col min="15364" max="15364" width="29.15625" customWidth="1"/>
    <col min="15365" max="15365" width="24.578125" customWidth="1"/>
    <col min="15366" max="15366" width="13.15625" customWidth="1"/>
    <col min="15367" max="15367" width="8.68359375" customWidth="1"/>
    <col min="15368" max="15368" width="8" customWidth="1"/>
    <col min="15369" max="15369" width="12.26171875" customWidth="1"/>
    <col min="15370" max="15370" width="20.26171875" customWidth="1"/>
    <col min="15371" max="15371" width="13.83984375" customWidth="1"/>
    <col min="15372" max="15372" width="8" customWidth="1"/>
    <col min="15617" max="15617" width="30.15625" customWidth="1"/>
    <col min="15618" max="15618" width="15" customWidth="1"/>
    <col min="15619" max="15619" width="14.41796875" customWidth="1"/>
    <col min="15620" max="15620" width="29.15625" customWidth="1"/>
    <col min="15621" max="15621" width="24.578125" customWidth="1"/>
    <col min="15622" max="15622" width="13.15625" customWidth="1"/>
    <col min="15623" max="15623" width="8.68359375" customWidth="1"/>
    <col min="15624" max="15624" width="8" customWidth="1"/>
    <col min="15625" max="15625" width="12.26171875" customWidth="1"/>
    <col min="15626" max="15626" width="20.26171875" customWidth="1"/>
    <col min="15627" max="15627" width="13.83984375" customWidth="1"/>
    <col min="15628" max="15628" width="8" customWidth="1"/>
    <col min="15873" max="15873" width="30.15625" customWidth="1"/>
    <col min="15874" max="15874" width="15" customWidth="1"/>
    <col min="15875" max="15875" width="14.41796875" customWidth="1"/>
    <col min="15876" max="15876" width="29.15625" customWidth="1"/>
    <col min="15877" max="15877" width="24.578125" customWidth="1"/>
    <col min="15878" max="15878" width="13.15625" customWidth="1"/>
    <col min="15879" max="15879" width="8.68359375" customWidth="1"/>
    <col min="15880" max="15880" width="8" customWidth="1"/>
    <col min="15881" max="15881" width="12.26171875" customWidth="1"/>
    <col min="15882" max="15882" width="20.26171875" customWidth="1"/>
    <col min="15883" max="15883" width="13.83984375" customWidth="1"/>
    <col min="15884" max="15884" width="8" customWidth="1"/>
    <col min="16129" max="16129" width="30.15625" customWidth="1"/>
    <col min="16130" max="16130" width="15" customWidth="1"/>
    <col min="16131" max="16131" width="14.41796875" customWidth="1"/>
    <col min="16132" max="16132" width="29.15625" customWidth="1"/>
    <col min="16133" max="16133" width="24.578125" customWidth="1"/>
    <col min="16134" max="16134" width="13.15625" customWidth="1"/>
    <col min="16135" max="16135" width="8.68359375" customWidth="1"/>
    <col min="16136" max="16136" width="8" customWidth="1"/>
    <col min="16137" max="16137" width="12.26171875" customWidth="1"/>
    <col min="16138" max="16138" width="20.26171875" customWidth="1"/>
    <col min="16139" max="16139" width="13.839843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Historico!I24</f>
        <v>43556</v>
      </c>
      <c r="D3" s="44"/>
      <c r="E3" s="45"/>
    </row>
    <row r="4" spans="1:13" ht="12.75" customHeight="1">
      <c r="A4" t="s">
        <v>182</v>
      </c>
      <c r="B4" s="119">
        <f>Historico!B24</f>
        <v>132572.97</v>
      </c>
      <c r="E4" s="41"/>
    </row>
    <row r="5" spans="1:13" ht="12.75" customHeight="1">
      <c r="A5" t="s">
        <v>90</v>
      </c>
      <c r="B5" s="46">
        <f>(12*(YEAR(Historico!I82) - YEAR(B3)))+4-MONTH(B3)</f>
        <v>348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-0.16900000000000001</v>
      </c>
      <c r="C6" s="44" t="s">
        <v>95</v>
      </c>
      <c r="D6" s="43" t="s">
        <v>96</v>
      </c>
      <c r="E6" s="42"/>
      <c r="J6" t="s">
        <v>97</v>
      </c>
      <c r="K6" s="49">
        <f>B4-B15</f>
        <v>132209.9522452362</v>
      </c>
      <c r="L6" s="39">
        <f>B4*(E8/100)</f>
        <v>36.568044225000001</v>
      </c>
      <c r="M6" s="49">
        <f>B13-L6</f>
        <v>363.01775476379282</v>
      </c>
    </row>
    <row r="7" spans="1:13" ht="12.75" customHeight="1">
      <c r="E7" s="42"/>
      <c r="J7" t="s">
        <v>98</v>
      </c>
      <c r="K7" s="49">
        <f>K6-(B13-L7)</f>
        <v>131846.83435807505</v>
      </c>
      <c r="L7" s="39">
        <f>(K6*(E8/100))</f>
        <v>36.467911827644322</v>
      </c>
      <c r="M7" s="49">
        <f>B13-L7</f>
        <v>363.11788716114847</v>
      </c>
    </row>
    <row r="8" spans="1:13" ht="12.75" customHeight="1">
      <c r="B8" s="42"/>
      <c r="D8" t="s">
        <v>186</v>
      </c>
      <c r="E8" s="50">
        <f>(B6+0.5)/12</f>
        <v>2.7583333333333331E-2</v>
      </c>
      <c r="J8" t="s">
        <v>99</v>
      </c>
      <c r="K8" s="49">
        <f>K7-(B13-L8)</f>
        <v>131483.6163108967</v>
      </c>
      <c r="L8" s="39">
        <f>(K7*(E8/100))</f>
        <v>36.367751810435699</v>
      </c>
      <c r="M8" s="49">
        <f>B13-L8</f>
        <v>363.2180471783571</v>
      </c>
    </row>
    <row r="9" spans="1:13" ht="12.75" customHeight="1">
      <c r="B9" s="42"/>
      <c r="D9" t="s">
        <v>100</v>
      </c>
      <c r="E9" s="50">
        <f>1+(E8/100)</f>
        <v>1.0002758333333333</v>
      </c>
      <c r="J9" t="s">
        <v>101</v>
      </c>
      <c r="K9" s="49">
        <f>K8-(B13-L9)</f>
        <v>131120.29807607367</v>
      </c>
      <c r="L9" s="39">
        <f>(K8*(E8/100))</f>
        <v>36.267564165755672</v>
      </c>
      <c r="M9" s="49">
        <f>B13-L9</f>
        <v>363.31823482303713</v>
      </c>
    </row>
    <row r="10" spans="1:13" ht="12.75" customHeight="1">
      <c r="B10" s="42"/>
      <c r="D10" t="s">
        <v>102</v>
      </c>
      <c r="E10" s="50">
        <f>E9^-B5</f>
        <v>0.90848512555365957</v>
      </c>
      <c r="J10" t="s">
        <v>103</v>
      </c>
      <c r="K10" s="49">
        <f>K9-(B13-L10)</f>
        <v>130756.87962597086</v>
      </c>
      <c r="L10" s="39">
        <f>(K9*(E8/100))</f>
        <v>36.167348885983657</v>
      </c>
      <c r="M10" s="49">
        <f>B13-L10</f>
        <v>363.41845010280917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9.1514874446340428</v>
      </c>
      <c r="J11" t="s">
        <v>106</v>
      </c>
      <c r="K11" s="51">
        <f>K10-(B13-L11)</f>
        <v>130393.36093294556</v>
      </c>
      <c r="L11" s="39">
        <f>(K10*(E8/100))</f>
        <v>36.067105963496964</v>
      </c>
      <c r="M11" s="49">
        <f>B13-L11</f>
        <v>363.51869302529587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399.58579898879282</v>
      </c>
      <c r="E13" s="42"/>
      <c r="F13" s="44"/>
      <c r="G13" s="53"/>
      <c r="L13" s="54">
        <f>SUM(L6:L11)</f>
        <v>217.9057268783163</v>
      </c>
      <c r="M13" s="54">
        <f>SUM(M6:M11)</f>
        <v>2179.6090670544404</v>
      </c>
    </row>
    <row r="14" spans="1:13" ht="12.75" customHeight="1">
      <c r="A14" t="s">
        <v>108</v>
      </c>
      <c r="B14" s="55">
        <f>B4*(E8/100)</f>
        <v>36.568044225000001</v>
      </c>
      <c r="E14" s="42"/>
    </row>
    <row r="15" spans="1:13" ht="12.75" customHeight="1">
      <c r="A15" t="s">
        <v>109</v>
      </c>
      <c r="B15" s="55">
        <f>B13-B14</f>
        <v>363.01775476379282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399.5873589887928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-0.16900000000000001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-0.16900000000000001</v>
      </c>
    </row>
    <row r="21" spans="1:9" ht="12.75" customHeight="1">
      <c r="E21" s="42">
        <v>-0.16900000000000001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2179.6090670544404</v>
      </c>
      <c r="C22" s="58">
        <f>B22/170000</f>
        <v>1.2821229806202591E-2</v>
      </c>
      <c r="E22" s="42"/>
      <c r="F22">
        <v>2</v>
      </c>
      <c r="G22" s="57">
        <f t="shared" ref="G22:G40" si="0">IF(E22="",0,1)</f>
        <v>0</v>
      </c>
    </row>
    <row r="23" spans="1:9" ht="12.75" customHeight="1">
      <c r="A23" t="s">
        <v>115</v>
      </c>
      <c r="B23" s="53">
        <f>K11</f>
        <v>130393.36093294556</v>
      </c>
      <c r="C23" s="59">
        <f>6/(40*6)</f>
        <v>2.5000000000000001E-2</v>
      </c>
      <c r="E23" s="42"/>
      <c r="F23">
        <v>3</v>
      </c>
      <c r="G23" s="57">
        <f t="shared" si="0"/>
        <v>0</v>
      </c>
    </row>
    <row r="24" spans="1:9" ht="12.75" customHeight="1">
      <c r="E24" s="42"/>
      <c r="F24">
        <v>6</v>
      </c>
      <c r="G24" s="57">
        <f t="shared" si="0"/>
        <v>0</v>
      </c>
    </row>
    <row r="25" spans="1:9" ht="12.75" customHeight="1">
      <c r="E25" s="42"/>
      <c r="F25">
        <v>7</v>
      </c>
      <c r="G25" s="57">
        <f t="shared" si="0"/>
        <v>0</v>
      </c>
    </row>
    <row r="26" spans="1:9" ht="12.75" customHeight="1">
      <c r="E26" s="42"/>
      <c r="F26">
        <v>8</v>
      </c>
      <c r="G26" s="57">
        <f t="shared" si="0"/>
        <v>0</v>
      </c>
    </row>
    <row r="27" spans="1:9" ht="12.75" customHeight="1">
      <c r="E27" s="42"/>
      <c r="F27">
        <v>9</v>
      </c>
      <c r="G27" s="57">
        <f t="shared" si="0"/>
        <v>0</v>
      </c>
    </row>
    <row r="28" spans="1:9" ht="12.75" customHeight="1">
      <c r="C28" s="59">
        <f>1-(35/40)</f>
        <v>0.125</v>
      </c>
      <c r="E28" s="42"/>
      <c r="F28">
        <v>10</v>
      </c>
      <c r="G28" s="57">
        <f t="shared" si="0"/>
        <v>0</v>
      </c>
    </row>
    <row r="29" spans="1:9" ht="12.75" customHeight="1">
      <c r="C29" s="59">
        <f>1-(B4/170000)</f>
        <v>0.22015899999999999</v>
      </c>
      <c r="E29" s="42"/>
      <c r="F29">
        <v>13</v>
      </c>
      <c r="G29" s="57">
        <f t="shared" si="0"/>
        <v>0</v>
      </c>
    </row>
    <row r="30" spans="1:9" ht="12.75" customHeight="1">
      <c r="C30" s="59">
        <f>C28-C29</f>
        <v>-9.5158999999999994E-2</v>
      </c>
      <c r="E30" s="42"/>
      <c r="F30">
        <v>14</v>
      </c>
      <c r="G30" s="57">
        <f t="shared" si="0"/>
        <v>0</v>
      </c>
    </row>
    <row r="31" spans="1:9" ht="12.75" customHeight="1">
      <c r="E31" s="42"/>
      <c r="F31">
        <v>15</v>
      </c>
      <c r="G31" s="57">
        <f t="shared" si="0"/>
        <v>0</v>
      </c>
    </row>
    <row r="32" spans="1:9" ht="12.75" customHeight="1">
      <c r="E32" s="42"/>
      <c r="F32">
        <v>16</v>
      </c>
      <c r="G32" s="57">
        <f t="shared" si="0"/>
        <v>0</v>
      </c>
    </row>
    <row r="33" spans="2:7" ht="12.75" customHeight="1">
      <c r="C33" s="59">
        <f>1-(((12*35)-6)/(40*12))</f>
        <v>0.13749999999999996</v>
      </c>
      <c r="E33" s="42"/>
      <c r="F33">
        <v>17</v>
      </c>
      <c r="G33" s="57">
        <f t="shared" si="0"/>
        <v>0</v>
      </c>
    </row>
    <row r="34" spans="2:7" ht="12.75" customHeight="1">
      <c r="C34" s="58">
        <f>1-(K11/170000)</f>
        <v>0.23298022980620259</v>
      </c>
      <c r="E34" s="42"/>
      <c r="F34">
        <v>20</v>
      </c>
      <c r="G34" s="57">
        <f t="shared" si="0"/>
        <v>0</v>
      </c>
    </row>
    <row r="35" spans="2:7" ht="12.75" customHeight="1">
      <c r="C35" s="58">
        <f>C33-C34</f>
        <v>-9.5480229806202632E-2</v>
      </c>
      <c r="E35" s="42"/>
      <c r="F35">
        <v>21</v>
      </c>
      <c r="G35" s="57">
        <f t="shared" si="0"/>
        <v>0</v>
      </c>
    </row>
    <row r="36" spans="2:7" ht="12.75" customHeight="1">
      <c r="E36" s="42"/>
      <c r="F36">
        <v>22</v>
      </c>
      <c r="G36" s="57">
        <f t="shared" si="0"/>
        <v>0</v>
      </c>
    </row>
    <row r="37" spans="2:7" ht="12.75" customHeight="1">
      <c r="E37" s="42"/>
      <c r="F37">
        <v>23</v>
      </c>
      <c r="G37" s="57">
        <f t="shared" si="0"/>
        <v>0</v>
      </c>
    </row>
    <row r="38" spans="2:7" ht="12.75" customHeight="1">
      <c r="E38" s="42"/>
      <c r="F38">
        <v>24</v>
      </c>
      <c r="G38" s="57">
        <f t="shared" si="0"/>
        <v>0</v>
      </c>
    </row>
    <row r="39" spans="2:7" ht="12.75" customHeight="1">
      <c r="E39" s="42"/>
      <c r="F39">
        <v>27</v>
      </c>
      <c r="G39" s="57">
        <f t="shared" si="0"/>
        <v>0</v>
      </c>
    </row>
    <row r="40" spans="2:7" ht="12.75" customHeight="1">
      <c r="E40" s="42"/>
      <c r="F40">
        <v>28</v>
      </c>
      <c r="G40" s="57">
        <f t="shared" si="0"/>
        <v>0</v>
      </c>
    </row>
    <row r="41" spans="2:7" ht="12.75" customHeight="1">
      <c r="E41" s="42"/>
      <c r="F41">
        <v>29</v>
      </c>
      <c r="G41" s="57">
        <f t="shared" ref="G41:G43" si="1">IF(E41="",0,1)</f>
        <v>0</v>
      </c>
    </row>
    <row r="42" spans="2:7" ht="12.75" customHeight="1">
      <c r="E42" s="42"/>
      <c r="F42">
        <v>30</v>
      </c>
      <c r="G42" s="57">
        <f t="shared" si="1"/>
        <v>0</v>
      </c>
    </row>
    <row r="43" spans="2:7" ht="12.75" customHeight="1">
      <c r="B43" s="39"/>
      <c r="E43" s="42"/>
      <c r="F43">
        <v>31</v>
      </c>
      <c r="G43" s="57">
        <f t="shared" si="1"/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7" workbookViewId="0">
      <selection activeCell="E16" sqref="E16"/>
    </sheetView>
  </sheetViews>
  <sheetFormatPr defaultColWidth="11" defaultRowHeight="14.4"/>
  <cols>
    <col min="3" max="3" width="14.15625" customWidth="1"/>
    <col min="4" max="4" width="18" customWidth="1"/>
  </cols>
  <sheetData>
    <row r="1" spans="1:9" ht="14.7" thickBot="1">
      <c r="A1" s="90">
        <v>258.47000000000003</v>
      </c>
    </row>
    <row r="2" spans="1:9" ht="14.7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4.7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9397.4200000000019</v>
      </c>
      <c r="I63" s="119">
        <f>H63-D62</f>
        <v>-89.499999999979991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4" workbookViewId="0">
      <selection activeCell="G23" sqref="G23"/>
    </sheetView>
  </sheetViews>
  <sheetFormatPr defaultColWidth="8" defaultRowHeight="14.4"/>
  <cols>
    <col min="1" max="2" width="19.578125" customWidth="1"/>
    <col min="3" max="3" width="13.26171875" customWidth="1"/>
    <col min="4" max="4" width="8" customWidth="1"/>
    <col min="5" max="5" width="12.68359375" customWidth="1"/>
    <col min="6" max="6" width="8" customWidth="1"/>
    <col min="7" max="7" width="12" customWidth="1"/>
    <col min="9" max="9" width="24.83984375" customWidth="1"/>
    <col min="10" max="10" width="13.83984375" customWidth="1"/>
    <col min="11" max="11" width="11.15625" customWidth="1"/>
    <col min="12" max="12" width="19.83984375" customWidth="1"/>
    <col min="13" max="13" width="12.68359375" customWidth="1"/>
    <col min="258" max="258" width="19.578125" customWidth="1"/>
    <col min="259" max="259" width="13.26171875" customWidth="1"/>
    <col min="260" max="260" width="8" customWidth="1"/>
    <col min="261" max="261" width="12.68359375" customWidth="1"/>
    <col min="262" max="262" width="8" customWidth="1"/>
    <col min="263" max="263" width="12" customWidth="1"/>
    <col min="265" max="265" width="24.83984375" customWidth="1"/>
    <col min="266" max="266" width="13.83984375" customWidth="1"/>
    <col min="267" max="267" width="11.15625" customWidth="1"/>
    <col min="268" max="268" width="19.83984375" customWidth="1"/>
    <col min="269" max="269" width="12.68359375" customWidth="1"/>
    <col min="514" max="514" width="19.578125" customWidth="1"/>
    <col min="515" max="515" width="13.26171875" customWidth="1"/>
    <col min="516" max="516" width="8" customWidth="1"/>
    <col min="517" max="517" width="12.68359375" customWidth="1"/>
    <col min="518" max="518" width="8" customWidth="1"/>
    <col min="519" max="519" width="12" customWidth="1"/>
    <col min="521" max="521" width="24.83984375" customWidth="1"/>
    <col min="522" max="522" width="13.83984375" customWidth="1"/>
    <col min="523" max="523" width="11.15625" customWidth="1"/>
    <col min="524" max="524" width="19.83984375" customWidth="1"/>
    <col min="525" max="525" width="12.68359375" customWidth="1"/>
    <col min="770" max="770" width="19.578125" customWidth="1"/>
    <col min="771" max="771" width="13.26171875" customWidth="1"/>
    <col min="772" max="772" width="8" customWidth="1"/>
    <col min="773" max="773" width="12.68359375" customWidth="1"/>
    <col min="774" max="774" width="8" customWidth="1"/>
    <col min="775" max="775" width="12" customWidth="1"/>
    <col min="777" max="777" width="24.83984375" customWidth="1"/>
    <col min="778" max="778" width="13.83984375" customWidth="1"/>
    <col min="779" max="779" width="11.15625" customWidth="1"/>
    <col min="780" max="780" width="19.83984375" customWidth="1"/>
    <col min="781" max="781" width="12.68359375" customWidth="1"/>
    <col min="1026" max="1026" width="19.578125" customWidth="1"/>
    <col min="1027" max="1027" width="13.26171875" customWidth="1"/>
    <col min="1028" max="1028" width="8" customWidth="1"/>
    <col min="1029" max="1029" width="12.68359375" customWidth="1"/>
    <col min="1030" max="1030" width="8" customWidth="1"/>
    <col min="1031" max="1031" width="12" customWidth="1"/>
    <col min="1033" max="1033" width="24.83984375" customWidth="1"/>
    <col min="1034" max="1034" width="13.83984375" customWidth="1"/>
    <col min="1035" max="1035" width="11.15625" customWidth="1"/>
    <col min="1036" max="1036" width="19.83984375" customWidth="1"/>
    <col min="1037" max="1037" width="12.68359375" customWidth="1"/>
    <col min="1282" max="1282" width="19.578125" customWidth="1"/>
    <col min="1283" max="1283" width="13.26171875" customWidth="1"/>
    <col min="1284" max="1284" width="8" customWidth="1"/>
    <col min="1285" max="1285" width="12.68359375" customWidth="1"/>
    <col min="1286" max="1286" width="8" customWidth="1"/>
    <col min="1287" max="1287" width="12" customWidth="1"/>
    <col min="1289" max="1289" width="24.83984375" customWidth="1"/>
    <col min="1290" max="1290" width="13.83984375" customWidth="1"/>
    <col min="1291" max="1291" width="11.15625" customWidth="1"/>
    <col min="1292" max="1292" width="19.83984375" customWidth="1"/>
    <col min="1293" max="1293" width="12.68359375" customWidth="1"/>
    <col min="1538" max="1538" width="19.578125" customWidth="1"/>
    <col min="1539" max="1539" width="13.26171875" customWidth="1"/>
    <col min="1540" max="1540" width="8" customWidth="1"/>
    <col min="1541" max="1541" width="12.68359375" customWidth="1"/>
    <col min="1542" max="1542" width="8" customWidth="1"/>
    <col min="1543" max="1543" width="12" customWidth="1"/>
    <col min="1545" max="1545" width="24.83984375" customWidth="1"/>
    <col min="1546" max="1546" width="13.83984375" customWidth="1"/>
    <col min="1547" max="1547" width="11.15625" customWidth="1"/>
    <col min="1548" max="1548" width="19.83984375" customWidth="1"/>
    <col min="1549" max="1549" width="12.68359375" customWidth="1"/>
    <col min="1794" max="1794" width="19.578125" customWidth="1"/>
    <col min="1795" max="1795" width="13.26171875" customWidth="1"/>
    <col min="1796" max="1796" width="8" customWidth="1"/>
    <col min="1797" max="1797" width="12.68359375" customWidth="1"/>
    <col min="1798" max="1798" width="8" customWidth="1"/>
    <col min="1799" max="1799" width="12" customWidth="1"/>
    <col min="1801" max="1801" width="24.83984375" customWidth="1"/>
    <col min="1802" max="1802" width="13.83984375" customWidth="1"/>
    <col min="1803" max="1803" width="11.15625" customWidth="1"/>
    <col min="1804" max="1804" width="19.83984375" customWidth="1"/>
    <col min="1805" max="1805" width="12.68359375" customWidth="1"/>
    <col min="2050" max="2050" width="19.578125" customWidth="1"/>
    <col min="2051" max="2051" width="13.26171875" customWidth="1"/>
    <col min="2052" max="2052" width="8" customWidth="1"/>
    <col min="2053" max="2053" width="12.68359375" customWidth="1"/>
    <col min="2054" max="2054" width="8" customWidth="1"/>
    <col min="2055" max="2055" width="12" customWidth="1"/>
    <col min="2057" max="2057" width="24.83984375" customWidth="1"/>
    <col min="2058" max="2058" width="13.83984375" customWidth="1"/>
    <col min="2059" max="2059" width="11.15625" customWidth="1"/>
    <col min="2060" max="2060" width="19.83984375" customWidth="1"/>
    <col min="2061" max="2061" width="12.68359375" customWidth="1"/>
    <col min="2306" max="2306" width="19.578125" customWidth="1"/>
    <col min="2307" max="2307" width="13.26171875" customWidth="1"/>
    <col min="2308" max="2308" width="8" customWidth="1"/>
    <col min="2309" max="2309" width="12.68359375" customWidth="1"/>
    <col min="2310" max="2310" width="8" customWidth="1"/>
    <col min="2311" max="2311" width="12" customWidth="1"/>
    <col min="2313" max="2313" width="24.83984375" customWidth="1"/>
    <col min="2314" max="2314" width="13.83984375" customWidth="1"/>
    <col min="2315" max="2315" width="11.15625" customWidth="1"/>
    <col min="2316" max="2316" width="19.83984375" customWidth="1"/>
    <col min="2317" max="2317" width="12.68359375" customWidth="1"/>
    <col min="2562" max="2562" width="19.578125" customWidth="1"/>
    <col min="2563" max="2563" width="13.26171875" customWidth="1"/>
    <col min="2564" max="2564" width="8" customWidth="1"/>
    <col min="2565" max="2565" width="12.68359375" customWidth="1"/>
    <col min="2566" max="2566" width="8" customWidth="1"/>
    <col min="2567" max="2567" width="12" customWidth="1"/>
    <col min="2569" max="2569" width="24.83984375" customWidth="1"/>
    <col min="2570" max="2570" width="13.83984375" customWidth="1"/>
    <col min="2571" max="2571" width="11.15625" customWidth="1"/>
    <col min="2572" max="2572" width="19.83984375" customWidth="1"/>
    <col min="2573" max="2573" width="12.68359375" customWidth="1"/>
    <col min="2818" max="2818" width="19.578125" customWidth="1"/>
    <col min="2819" max="2819" width="13.26171875" customWidth="1"/>
    <col min="2820" max="2820" width="8" customWidth="1"/>
    <col min="2821" max="2821" width="12.68359375" customWidth="1"/>
    <col min="2822" max="2822" width="8" customWidth="1"/>
    <col min="2823" max="2823" width="12" customWidth="1"/>
    <col min="2825" max="2825" width="24.83984375" customWidth="1"/>
    <col min="2826" max="2826" width="13.83984375" customWidth="1"/>
    <col min="2827" max="2827" width="11.15625" customWidth="1"/>
    <col min="2828" max="2828" width="19.83984375" customWidth="1"/>
    <col min="2829" max="2829" width="12.68359375" customWidth="1"/>
    <col min="3074" max="3074" width="19.578125" customWidth="1"/>
    <col min="3075" max="3075" width="13.26171875" customWidth="1"/>
    <col min="3076" max="3076" width="8" customWidth="1"/>
    <col min="3077" max="3077" width="12.68359375" customWidth="1"/>
    <col min="3078" max="3078" width="8" customWidth="1"/>
    <col min="3079" max="3079" width="12" customWidth="1"/>
    <col min="3081" max="3081" width="24.83984375" customWidth="1"/>
    <col min="3082" max="3082" width="13.83984375" customWidth="1"/>
    <col min="3083" max="3083" width="11.15625" customWidth="1"/>
    <col min="3084" max="3084" width="19.83984375" customWidth="1"/>
    <col min="3085" max="3085" width="12.68359375" customWidth="1"/>
    <col min="3330" max="3330" width="19.578125" customWidth="1"/>
    <col min="3331" max="3331" width="13.26171875" customWidth="1"/>
    <col min="3332" max="3332" width="8" customWidth="1"/>
    <col min="3333" max="3333" width="12.68359375" customWidth="1"/>
    <col min="3334" max="3334" width="8" customWidth="1"/>
    <col min="3335" max="3335" width="12" customWidth="1"/>
    <col min="3337" max="3337" width="24.83984375" customWidth="1"/>
    <col min="3338" max="3338" width="13.83984375" customWidth="1"/>
    <col min="3339" max="3339" width="11.15625" customWidth="1"/>
    <col min="3340" max="3340" width="19.83984375" customWidth="1"/>
    <col min="3341" max="3341" width="12.68359375" customWidth="1"/>
    <col min="3586" max="3586" width="19.578125" customWidth="1"/>
    <col min="3587" max="3587" width="13.26171875" customWidth="1"/>
    <col min="3588" max="3588" width="8" customWidth="1"/>
    <col min="3589" max="3589" width="12.68359375" customWidth="1"/>
    <col min="3590" max="3590" width="8" customWidth="1"/>
    <col min="3591" max="3591" width="12" customWidth="1"/>
    <col min="3593" max="3593" width="24.83984375" customWidth="1"/>
    <col min="3594" max="3594" width="13.83984375" customWidth="1"/>
    <col min="3595" max="3595" width="11.15625" customWidth="1"/>
    <col min="3596" max="3596" width="19.83984375" customWidth="1"/>
    <col min="3597" max="3597" width="12.68359375" customWidth="1"/>
    <col min="3842" max="3842" width="19.578125" customWidth="1"/>
    <col min="3843" max="3843" width="13.26171875" customWidth="1"/>
    <col min="3844" max="3844" width="8" customWidth="1"/>
    <col min="3845" max="3845" width="12.68359375" customWidth="1"/>
    <col min="3846" max="3846" width="8" customWidth="1"/>
    <col min="3847" max="3847" width="12" customWidth="1"/>
    <col min="3849" max="3849" width="24.83984375" customWidth="1"/>
    <col min="3850" max="3850" width="13.83984375" customWidth="1"/>
    <col min="3851" max="3851" width="11.15625" customWidth="1"/>
    <col min="3852" max="3852" width="19.83984375" customWidth="1"/>
    <col min="3853" max="3853" width="12.68359375" customWidth="1"/>
    <col min="4098" max="4098" width="19.578125" customWidth="1"/>
    <col min="4099" max="4099" width="13.26171875" customWidth="1"/>
    <col min="4100" max="4100" width="8" customWidth="1"/>
    <col min="4101" max="4101" width="12.68359375" customWidth="1"/>
    <col min="4102" max="4102" width="8" customWidth="1"/>
    <col min="4103" max="4103" width="12" customWidth="1"/>
    <col min="4105" max="4105" width="24.83984375" customWidth="1"/>
    <col min="4106" max="4106" width="13.83984375" customWidth="1"/>
    <col min="4107" max="4107" width="11.15625" customWidth="1"/>
    <col min="4108" max="4108" width="19.83984375" customWidth="1"/>
    <col min="4109" max="4109" width="12.68359375" customWidth="1"/>
    <col min="4354" max="4354" width="19.578125" customWidth="1"/>
    <col min="4355" max="4355" width="13.26171875" customWidth="1"/>
    <col min="4356" max="4356" width="8" customWidth="1"/>
    <col min="4357" max="4357" width="12.68359375" customWidth="1"/>
    <col min="4358" max="4358" width="8" customWidth="1"/>
    <col min="4359" max="4359" width="12" customWidth="1"/>
    <col min="4361" max="4361" width="24.83984375" customWidth="1"/>
    <col min="4362" max="4362" width="13.83984375" customWidth="1"/>
    <col min="4363" max="4363" width="11.15625" customWidth="1"/>
    <col min="4364" max="4364" width="19.83984375" customWidth="1"/>
    <col min="4365" max="4365" width="12.68359375" customWidth="1"/>
    <col min="4610" max="4610" width="19.578125" customWidth="1"/>
    <col min="4611" max="4611" width="13.26171875" customWidth="1"/>
    <col min="4612" max="4612" width="8" customWidth="1"/>
    <col min="4613" max="4613" width="12.68359375" customWidth="1"/>
    <col min="4614" max="4614" width="8" customWidth="1"/>
    <col min="4615" max="4615" width="12" customWidth="1"/>
    <col min="4617" max="4617" width="24.83984375" customWidth="1"/>
    <col min="4618" max="4618" width="13.83984375" customWidth="1"/>
    <col min="4619" max="4619" width="11.15625" customWidth="1"/>
    <col min="4620" max="4620" width="19.83984375" customWidth="1"/>
    <col min="4621" max="4621" width="12.68359375" customWidth="1"/>
    <col min="4866" max="4866" width="19.578125" customWidth="1"/>
    <col min="4867" max="4867" width="13.26171875" customWidth="1"/>
    <col min="4868" max="4868" width="8" customWidth="1"/>
    <col min="4869" max="4869" width="12.68359375" customWidth="1"/>
    <col min="4870" max="4870" width="8" customWidth="1"/>
    <col min="4871" max="4871" width="12" customWidth="1"/>
    <col min="4873" max="4873" width="24.83984375" customWidth="1"/>
    <col min="4874" max="4874" width="13.83984375" customWidth="1"/>
    <col min="4875" max="4875" width="11.15625" customWidth="1"/>
    <col min="4876" max="4876" width="19.83984375" customWidth="1"/>
    <col min="4877" max="4877" width="12.68359375" customWidth="1"/>
    <col min="5122" max="5122" width="19.578125" customWidth="1"/>
    <col min="5123" max="5123" width="13.26171875" customWidth="1"/>
    <col min="5124" max="5124" width="8" customWidth="1"/>
    <col min="5125" max="5125" width="12.68359375" customWidth="1"/>
    <col min="5126" max="5126" width="8" customWidth="1"/>
    <col min="5127" max="5127" width="12" customWidth="1"/>
    <col min="5129" max="5129" width="24.83984375" customWidth="1"/>
    <col min="5130" max="5130" width="13.83984375" customWidth="1"/>
    <col min="5131" max="5131" width="11.15625" customWidth="1"/>
    <col min="5132" max="5132" width="19.83984375" customWidth="1"/>
    <col min="5133" max="5133" width="12.68359375" customWidth="1"/>
    <col min="5378" max="5378" width="19.578125" customWidth="1"/>
    <col min="5379" max="5379" width="13.26171875" customWidth="1"/>
    <col min="5380" max="5380" width="8" customWidth="1"/>
    <col min="5381" max="5381" width="12.68359375" customWidth="1"/>
    <col min="5382" max="5382" width="8" customWidth="1"/>
    <col min="5383" max="5383" width="12" customWidth="1"/>
    <col min="5385" max="5385" width="24.83984375" customWidth="1"/>
    <col min="5386" max="5386" width="13.83984375" customWidth="1"/>
    <col min="5387" max="5387" width="11.15625" customWidth="1"/>
    <col min="5388" max="5388" width="19.83984375" customWidth="1"/>
    <col min="5389" max="5389" width="12.68359375" customWidth="1"/>
    <col min="5634" max="5634" width="19.578125" customWidth="1"/>
    <col min="5635" max="5635" width="13.26171875" customWidth="1"/>
    <col min="5636" max="5636" width="8" customWidth="1"/>
    <col min="5637" max="5637" width="12.68359375" customWidth="1"/>
    <col min="5638" max="5638" width="8" customWidth="1"/>
    <col min="5639" max="5639" width="12" customWidth="1"/>
    <col min="5641" max="5641" width="24.83984375" customWidth="1"/>
    <col min="5642" max="5642" width="13.83984375" customWidth="1"/>
    <col min="5643" max="5643" width="11.15625" customWidth="1"/>
    <col min="5644" max="5644" width="19.83984375" customWidth="1"/>
    <col min="5645" max="5645" width="12.68359375" customWidth="1"/>
    <col min="5890" max="5890" width="19.578125" customWidth="1"/>
    <col min="5891" max="5891" width="13.26171875" customWidth="1"/>
    <col min="5892" max="5892" width="8" customWidth="1"/>
    <col min="5893" max="5893" width="12.68359375" customWidth="1"/>
    <col min="5894" max="5894" width="8" customWidth="1"/>
    <col min="5895" max="5895" width="12" customWidth="1"/>
    <col min="5897" max="5897" width="24.83984375" customWidth="1"/>
    <col min="5898" max="5898" width="13.83984375" customWidth="1"/>
    <col min="5899" max="5899" width="11.15625" customWidth="1"/>
    <col min="5900" max="5900" width="19.83984375" customWidth="1"/>
    <col min="5901" max="5901" width="12.68359375" customWidth="1"/>
    <col min="6146" max="6146" width="19.578125" customWidth="1"/>
    <col min="6147" max="6147" width="13.26171875" customWidth="1"/>
    <col min="6148" max="6148" width="8" customWidth="1"/>
    <col min="6149" max="6149" width="12.68359375" customWidth="1"/>
    <col min="6150" max="6150" width="8" customWidth="1"/>
    <col min="6151" max="6151" width="12" customWidth="1"/>
    <col min="6153" max="6153" width="24.83984375" customWidth="1"/>
    <col min="6154" max="6154" width="13.83984375" customWidth="1"/>
    <col min="6155" max="6155" width="11.15625" customWidth="1"/>
    <col min="6156" max="6156" width="19.83984375" customWidth="1"/>
    <col min="6157" max="6157" width="12.68359375" customWidth="1"/>
    <col min="6402" max="6402" width="19.578125" customWidth="1"/>
    <col min="6403" max="6403" width="13.26171875" customWidth="1"/>
    <col min="6404" max="6404" width="8" customWidth="1"/>
    <col min="6405" max="6405" width="12.68359375" customWidth="1"/>
    <col min="6406" max="6406" width="8" customWidth="1"/>
    <col min="6407" max="6407" width="12" customWidth="1"/>
    <col min="6409" max="6409" width="24.83984375" customWidth="1"/>
    <col min="6410" max="6410" width="13.83984375" customWidth="1"/>
    <col min="6411" max="6411" width="11.15625" customWidth="1"/>
    <col min="6412" max="6412" width="19.83984375" customWidth="1"/>
    <col min="6413" max="6413" width="12.68359375" customWidth="1"/>
    <col min="6658" max="6658" width="19.578125" customWidth="1"/>
    <col min="6659" max="6659" width="13.26171875" customWidth="1"/>
    <col min="6660" max="6660" width="8" customWidth="1"/>
    <col min="6661" max="6661" width="12.68359375" customWidth="1"/>
    <col min="6662" max="6662" width="8" customWidth="1"/>
    <col min="6663" max="6663" width="12" customWidth="1"/>
    <col min="6665" max="6665" width="24.83984375" customWidth="1"/>
    <col min="6666" max="6666" width="13.83984375" customWidth="1"/>
    <col min="6667" max="6667" width="11.15625" customWidth="1"/>
    <col min="6668" max="6668" width="19.83984375" customWidth="1"/>
    <col min="6669" max="6669" width="12.68359375" customWidth="1"/>
    <col min="6914" max="6914" width="19.578125" customWidth="1"/>
    <col min="6915" max="6915" width="13.26171875" customWidth="1"/>
    <col min="6916" max="6916" width="8" customWidth="1"/>
    <col min="6917" max="6917" width="12.68359375" customWidth="1"/>
    <col min="6918" max="6918" width="8" customWidth="1"/>
    <col min="6919" max="6919" width="12" customWidth="1"/>
    <col min="6921" max="6921" width="24.83984375" customWidth="1"/>
    <col min="6922" max="6922" width="13.83984375" customWidth="1"/>
    <col min="6923" max="6923" width="11.15625" customWidth="1"/>
    <col min="6924" max="6924" width="19.83984375" customWidth="1"/>
    <col min="6925" max="6925" width="12.68359375" customWidth="1"/>
    <col min="7170" max="7170" width="19.578125" customWidth="1"/>
    <col min="7171" max="7171" width="13.26171875" customWidth="1"/>
    <col min="7172" max="7172" width="8" customWidth="1"/>
    <col min="7173" max="7173" width="12.68359375" customWidth="1"/>
    <col min="7174" max="7174" width="8" customWidth="1"/>
    <col min="7175" max="7175" width="12" customWidth="1"/>
    <col min="7177" max="7177" width="24.83984375" customWidth="1"/>
    <col min="7178" max="7178" width="13.83984375" customWidth="1"/>
    <col min="7179" max="7179" width="11.15625" customWidth="1"/>
    <col min="7180" max="7180" width="19.83984375" customWidth="1"/>
    <col min="7181" max="7181" width="12.68359375" customWidth="1"/>
    <col min="7426" max="7426" width="19.578125" customWidth="1"/>
    <col min="7427" max="7427" width="13.26171875" customWidth="1"/>
    <col min="7428" max="7428" width="8" customWidth="1"/>
    <col min="7429" max="7429" width="12.68359375" customWidth="1"/>
    <col min="7430" max="7430" width="8" customWidth="1"/>
    <col min="7431" max="7431" width="12" customWidth="1"/>
    <col min="7433" max="7433" width="24.83984375" customWidth="1"/>
    <col min="7434" max="7434" width="13.83984375" customWidth="1"/>
    <col min="7435" max="7435" width="11.15625" customWidth="1"/>
    <col min="7436" max="7436" width="19.83984375" customWidth="1"/>
    <col min="7437" max="7437" width="12.68359375" customWidth="1"/>
    <col min="7682" max="7682" width="19.578125" customWidth="1"/>
    <col min="7683" max="7683" width="13.26171875" customWidth="1"/>
    <col min="7684" max="7684" width="8" customWidth="1"/>
    <col min="7685" max="7685" width="12.68359375" customWidth="1"/>
    <col min="7686" max="7686" width="8" customWidth="1"/>
    <col min="7687" max="7687" width="12" customWidth="1"/>
    <col min="7689" max="7689" width="24.83984375" customWidth="1"/>
    <col min="7690" max="7690" width="13.83984375" customWidth="1"/>
    <col min="7691" max="7691" width="11.15625" customWidth="1"/>
    <col min="7692" max="7692" width="19.83984375" customWidth="1"/>
    <col min="7693" max="7693" width="12.68359375" customWidth="1"/>
    <col min="7938" max="7938" width="19.578125" customWidth="1"/>
    <col min="7939" max="7939" width="13.26171875" customWidth="1"/>
    <col min="7940" max="7940" width="8" customWidth="1"/>
    <col min="7941" max="7941" width="12.68359375" customWidth="1"/>
    <col min="7942" max="7942" width="8" customWidth="1"/>
    <col min="7943" max="7943" width="12" customWidth="1"/>
    <col min="7945" max="7945" width="24.83984375" customWidth="1"/>
    <col min="7946" max="7946" width="13.83984375" customWidth="1"/>
    <col min="7947" max="7947" width="11.15625" customWidth="1"/>
    <col min="7948" max="7948" width="19.83984375" customWidth="1"/>
    <col min="7949" max="7949" width="12.68359375" customWidth="1"/>
    <col min="8194" max="8194" width="19.578125" customWidth="1"/>
    <col min="8195" max="8195" width="13.26171875" customWidth="1"/>
    <col min="8196" max="8196" width="8" customWidth="1"/>
    <col min="8197" max="8197" width="12.68359375" customWidth="1"/>
    <col min="8198" max="8198" width="8" customWidth="1"/>
    <col min="8199" max="8199" width="12" customWidth="1"/>
    <col min="8201" max="8201" width="24.83984375" customWidth="1"/>
    <col min="8202" max="8202" width="13.83984375" customWidth="1"/>
    <col min="8203" max="8203" width="11.15625" customWidth="1"/>
    <col min="8204" max="8204" width="19.83984375" customWidth="1"/>
    <col min="8205" max="8205" width="12.68359375" customWidth="1"/>
    <col min="8450" max="8450" width="19.578125" customWidth="1"/>
    <col min="8451" max="8451" width="13.26171875" customWidth="1"/>
    <col min="8452" max="8452" width="8" customWidth="1"/>
    <col min="8453" max="8453" width="12.68359375" customWidth="1"/>
    <col min="8454" max="8454" width="8" customWidth="1"/>
    <col min="8455" max="8455" width="12" customWidth="1"/>
    <col min="8457" max="8457" width="24.83984375" customWidth="1"/>
    <col min="8458" max="8458" width="13.83984375" customWidth="1"/>
    <col min="8459" max="8459" width="11.15625" customWidth="1"/>
    <col min="8460" max="8460" width="19.83984375" customWidth="1"/>
    <col min="8461" max="8461" width="12.68359375" customWidth="1"/>
    <col min="8706" max="8706" width="19.578125" customWidth="1"/>
    <col min="8707" max="8707" width="13.26171875" customWidth="1"/>
    <col min="8708" max="8708" width="8" customWidth="1"/>
    <col min="8709" max="8709" width="12.68359375" customWidth="1"/>
    <col min="8710" max="8710" width="8" customWidth="1"/>
    <col min="8711" max="8711" width="12" customWidth="1"/>
    <col min="8713" max="8713" width="24.83984375" customWidth="1"/>
    <col min="8714" max="8714" width="13.83984375" customWidth="1"/>
    <col min="8715" max="8715" width="11.15625" customWidth="1"/>
    <col min="8716" max="8716" width="19.83984375" customWidth="1"/>
    <col min="8717" max="8717" width="12.68359375" customWidth="1"/>
    <col min="8962" max="8962" width="19.578125" customWidth="1"/>
    <col min="8963" max="8963" width="13.26171875" customWidth="1"/>
    <col min="8964" max="8964" width="8" customWidth="1"/>
    <col min="8965" max="8965" width="12.68359375" customWidth="1"/>
    <col min="8966" max="8966" width="8" customWidth="1"/>
    <col min="8967" max="8967" width="12" customWidth="1"/>
    <col min="8969" max="8969" width="24.83984375" customWidth="1"/>
    <col min="8970" max="8970" width="13.83984375" customWidth="1"/>
    <col min="8971" max="8971" width="11.15625" customWidth="1"/>
    <col min="8972" max="8972" width="19.83984375" customWidth="1"/>
    <col min="8973" max="8973" width="12.68359375" customWidth="1"/>
    <col min="9218" max="9218" width="19.578125" customWidth="1"/>
    <col min="9219" max="9219" width="13.26171875" customWidth="1"/>
    <col min="9220" max="9220" width="8" customWidth="1"/>
    <col min="9221" max="9221" width="12.68359375" customWidth="1"/>
    <col min="9222" max="9222" width="8" customWidth="1"/>
    <col min="9223" max="9223" width="12" customWidth="1"/>
    <col min="9225" max="9225" width="24.83984375" customWidth="1"/>
    <col min="9226" max="9226" width="13.83984375" customWidth="1"/>
    <col min="9227" max="9227" width="11.15625" customWidth="1"/>
    <col min="9228" max="9228" width="19.83984375" customWidth="1"/>
    <col min="9229" max="9229" width="12.68359375" customWidth="1"/>
    <col min="9474" max="9474" width="19.578125" customWidth="1"/>
    <col min="9475" max="9475" width="13.26171875" customWidth="1"/>
    <col min="9476" max="9476" width="8" customWidth="1"/>
    <col min="9477" max="9477" width="12.68359375" customWidth="1"/>
    <col min="9478" max="9478" width="8" customWidth="1"/>
    <col min="9479" max="9479" width="12" customWidth="1"/>
    <col min="9481" max="9481" width="24.83984375" customWidth="1"/>
    <col min="9482" max="9482" width="13.83984375" customWidth="1"/>
    <col min="9483" max="9483" width="11.15625" customWidth="1"/>
    <col min="9484" max="9484" width="19.83984375" customWidth="1"/>
    <col min="9485" max="9485" width="12.68359375" customWidth="1"/>
    <col min="9730" max="9730" width="19.578125" customWidth="1"/>
    <col min="9731" max="9731" width="13.26171875" customWidth="1"/>
    <col min="9732" max="9732" width="8" customWidth="1"/>
    <col min="9733" max="9733" width="12.68359375" customWidth="1"/>
    <col min="9734" max="9734" width="8" customWidth="1"/>
    <col min="9735" max="9735" width="12" customWidth="1"/>
    <col min="9737" max="9737" width="24.83984375" customWidth="1"/>
    <col min="9738" max="9738" width="13.83984375" customWidth="1"/>
    <col min="9739" max="9739" width="11.15625" customWidth="1"/>
    <col min="9740" max="9740" width="19.83984375" customWidth="1"/>
    <col min="9741" max="9741" width="12.68359375" customWidth="1"/>
    <col min="9986" max="9986" width="19.578125" customWidth="1"/>
    <col min="9987" max="9987" width="13.26171875" customWidth="1"/>
    <col min="9988" max="9988" width="8" customWidth="1"/>
    <col min="9989" max="9989" width="12.68359375" customWidth="1"/>
    <col min="9990" max="9990" width="8" customWidth="1"/>
    <col min="9991" max="9991" width="12" customWidth="1"/>
    <col min="9993" max="9993" width="24.83984375" customWidth="1"/>
    <col min="9994" max="9994" width="13.83984375" customWidth="1"/>
    <col min="9995" max="9995" width="11.15625" customWidth="1"/>
    <col min="9996" max="9996" width="19.83984375" customWidth="1"/>
    <col min="9997" max="9997" width="12.68359375" customWidth="1"/>
    <col min="10242" max="10242" width="19.578125" customWidth="1"/>
    <col min="10243" max="10243" width="13.26171875" customWidth="1"/>
    <col min="10244" max="10244" width="8" customWidth="1"/>
    <col min="10245" max="10245" width="12.68359375" customWidth="1"/>
    <col min="10246" max="10246" width="8" customWidth="1"/>
    <col min="10247" max="10247" width="12" customWidth="1"/>
    <col min="10249" max="10249" width="24.83984375" customWidth="1"/>
    <col min="10250" max="10250" width="13.83984375" customWidth="1"/>
    <col min="10251" max="10251" width="11.15625" customWidth="1"/>
    <col min="10252" max="10252" width="19.83984375" customWidth="1"/>
    <col min="10253" max="10253" width="12.68359375" customWidth="1"/>
    <col min="10498" max="10498" width="19.578125" customWidth="1"/>
    <col min="10499" max="10499" width="13.26171875" customWidth="1"/>
    <col min="10500" max="10500" width="8" customWidth="1"/>
    <col min="10501" max="10501" width="12.68359375" customWidth="1"/>
    <col min="10502" max="10502" width="8" customWidth="1"/>
    <col min="10503" max="10503" width="12" customWidth="1"/>
    <col min="10505" max="10505" width="24.83984375" customWidth="1"/>
    <col min="10506" max="10506" width="13.83984375" customWidth="1"/>
    <col min="10507" max="10507" width="11.15625" customWidth="1"/>
    <col min="10508" max="10508" width="19.83984375" customWidth="1"/>
    <col min="10509" max="10509" width="12.68359375" customWidth="1"/>
    <col min="10754" max="10754" width="19.578125" customWidth="1"/>
    <col min="10755" max="10755" width="13.26171875" customWidth="1"/>
    <col min="10756" max="10756" width="8" customWidth="1"/>
    <col min="10757" max="10757" width="12.68359375" customWidth="1"/>
    <col min="10758" max="10758" width="8" customWidth="1"/>
    <col min="10759" max="10759" width="12" customWidth="1"/>
    <col min="10761" max="10761" width="24.83984375" customWidth="1"/>
    <col min="10762" max="10762" width="13.83984375" customWidth="1"/>
    <col min="10763" max="10763" width="11.15625" customWidth="1"/>
    <col min="10764" max="10764" width="19.83984375" customWidth="1"/>
    <col min="10765" max="10765" width="12.68359375" customWidth="1"/>
    <col min="11010" max="11010" width="19.578125" customWidth="1"/>
    <col min="11011" max="11011" width="13.26171875" customWidth="1"/>
    <col min="11012" max="11012" width="8" customWidth="1"/>
    <col min="11013" max="11013" width="12.68359375" customWidth="1"/>
    <col min="11014" max="11014" width="8" customWidth="1"/>
    <col min="11015" max="11015" width="12" customWidth="1"/>
    <col min="11017" max="11017" width="24.83984375" customWidth="1"/>
    <col min="11018" max="11018" width="13.83984375" customWidth="1"/>
    <col min="11019" max="11019" width="11.15625" customWidth="1"/>
    <col min="11020" max="11020" width="19.83984375" customWidth="1"/>
    <col min="11021" max="11021" width="12.68359375" customWidth="1"/>
    <col min="11266" max="11266" width="19.578125" customWidth="1"/>
    <col min="11267" max="11267" width="13.26171875" customWidth="1"/>
    <col min="11268" max="11268" width="8" customWidth="1"/>
    <col min="11269" max="11269" width="12.68359375" customWidth="1"/>
    <col min="11270" max="11270" width="8" customWidth="1"/>
    <col min="11271" max="11271" width="12" customWidth="1"/>
    <col min="11273" max="11273" width="24.83984375" customWidth="1"/>
    <col min="11274" max="11274" width="13.83984375" customWidth="1"/>
    <col min="11275" max="11275" width="11.15625" customWidth="1"/>
    <col min="11276" max="11276" width="19.83984375" customWidth="1"/>
    <col min="11277" max="11277" width="12.68359375" customWidth="1"/>
    <col min="11522" max="11522" width="19.578125" customWidth="1"/>
    <col min="11523" max="11523" width="13.26171875" customWidth="1"/>
    <col min="11524" max="11524" width="8" customWidth="1"/>
    <col min="11525" max="11525" width="12.68359375" customWidth="1"/>
    <col min="11526" max="11526" width="8" customWidth="1"/>
    <col min="11527" max="11527" width="12" customWidth="1"/>
    <col min="11529" max="11529" width="24.83984375" customWidth="1"/>
    <col min="11530" max="11530" width="13.83984375" customWidth="1"/>
    <col min="11531" max="11531" width="11.15625" customWidth="1"/>
    <col min="11532" max="11532" width="19.83984375" customWidth="1"/>
    <col min="11533" max="11533" width="12.68359375" customWidth="1"/>
    <col min="11778" max="11778" width="19.578125" customWidth="1"/>
    <col min="11779" max="11779" width="13.26171875" customWidth="1"/>
    <col min="11780" max="11780" width="8" customWidth="1"/>
    <col min="11781" max="11781" width="12.68359375" customWidth="1"/>
    <col min="11782" max="11782" width="8" customWidth="1"/>
    <col min="11783" max="11783" width="12" customWidth="1"/>
    <col min="11785" max="11785" width="24.83984375" customWidth="1"/>
    <col min="11786" max="11786" width="13.83984375" customWidth="1"/>
    <col min="11787" max="11787" width="11.15625" customWidth="1"/>
    <col min="11788" max="11788" width="19.83984375" customWidth="1"/>
    <col min="11789" max="11789" width="12.68359375" customWidth="1"/>
    <col min="12034" max="12034" width="19.578125" customWidth="1"/>
    <col min="12035" max="12035" width="13.26171875" customWidth="1"/>
    <col min="12036" max="12036" width="8" customWidth="1"/>
    <col min="12037" max="12037" width="12.68359375" customWidth="1"/>
    <col min="12038" max="12038" width="8" customWidth="1"/>
    <col min="12039" max="12039" width="12" customWidth="1"/>
    <col min="12041" max="12041" width="24.83984375" customWidth="1"/>
    <col min="12042" max="12042" width="13.83984375" customWidth="1"/>
    <col min="12043" max="12043" width="11.15625" customWidth="1"/>
    <col min="12044" max="12044" width="19.83984375" customWidth="1"/>
    <col min="12045" max="12045" width="12.68359375" customWidth="1"/>
    <col min="12290" max="12290" width="19.578125" customWidth="1"/>
    <col min="12291" max="12291" width="13.26171875" customWidth="1"/>
    <col min="12292" max="12292" width="8" customWidth="1"/>
    <col min="12293" max="12293" width="12.68359375" customWidth="1"/>
    <col min="12294" max="12294" width="8" customWidth="1"/>
    <col min="12295" max="12295" width="12" customWidth="1"/>
    <col min="12297" max="12297" width="24.83984375" customWidth="1"/>
    <col min="12298" max="12298" width="13.83984375" customWidth="1"/>
    <col min="12299" max="12299" width="11.15625" customWidth="1"/>
    <col min="12300" max="12300" width="19.83984375" customWidth="1"/>
    <col min="12301" max="12301" width="12.68359375" customWidth="1"/>
    <col min="12546" max="12546" width="19.578125" customWidth="1"/>
    <col min="12547" max="12547" width="13.26171875" customWidth="1"/>
    <col min="12548" max="12548" width="8" customWidth="1"/>
    <col min="12549" max="12549" width="12.68359375" customWidth="1"/>
    <col min="12550" max="12550" width="8" customWidth="1"/>
    <col min="12551" max="12551" width="12" customWidth="1"/>
    <col min="12553" max="12553" width="24.83984375" customWidth="1"/>
    <col min="12554" max="12554" width="13.83984375" customWidth="1"/>
    <col min="12555" max="12555" width="11.15625" customWidth="1"/>
    <col min="12556" max="12556" width="19.83984375" customWidth="1"/>
    <col min="12557" max="12557" width="12.68359375" customWidth="1"/>
    <col min="12802" max="12802" width="19.578125" customWidth="1"/>
    <col min="12803" max="12803" width="13.26171875" customWidth="1"/>
    <col min="12804" max="12804" width="8" customWidth="1"/>
    <col min="12805" max="12805" width="12.68359375" customWidth="1"/>
    <col min="12806" max="12806" width="8" customWidth="1"/>
    <col min="12807" max="12807" width="12" customWidth="1"/>
    <col min="12809" max="12809" width="24.83984375" customWidth="1"/>
    <col min="12810" max="12810" width="13.83984375" customWidth="1"/>
    <col min="12811" max="12811" width="11.15625" customWidth="1"/>
    <col min="12812" max="12812" width="19.83984375" customWidth="1"/>
    <col min="12813" max="12813" width="12.68359375" customWidth="1"/>
    <col min="13058" max="13058" width="19.578125" customWidth="1"/>
    <col min="13059" max="13059" width="13.26171875" customWidth="1"/>
    <col min="13060" max="13060" width="8" customWidth="1"/>
    <col min="13061" max="13061" width="12.68359375" customWidth="1"/>
    <col min="13062" max="13062" width="8" customWidth="1"/>
    <col min="13063" max="13063" width="12" customWidth="1"/>
    <col min="13065" max="13065" width="24.83984375" customWidth="1"/>
    <col min="13066" max="13066" width="13.83984375" customWidth="1"/>
    <col min="13067" max="13067" width="11.15625" customWidth="1"/>
    <col min="13068" max="13068" width="19.83984375" customWidth="1"/>
    <col min="13069" max="13069" width="12.68359375" customWidth="1"/>
    <col min="13314" max="13314" width="19.578125" customWidth="1"/>
    <col min="13315" max="13315" width="13.26171875" customWidth="1"/>
    <col min="13316" max="13316" width="8" customWidth="1"/>
    <col min="13317" max="13317" width="12.68359375" customWidth="1"/>
    <col min="13318" max="13318" width="8" customWidth="1"/>
    <col min="13319" max="13319" width="12" customWidth="1"/>
    <col min="13321" max="13321" width="24.83984375" customWidth="1"/>
    <col min="13322" max="13322" width="13.83984375" customWidth="1"/>
    <col min="13323" max="13323" width="11.15625" customWidth="1"/>
    <col min="13324" max="13324" width="19.83984375" customWidth="1"/>
    <col min="13325" max="13325" width="12.68359375" customWidth="1"/>
    <col min="13570" max="13570" width="19.578125" customWidth="1"/>
    <col min="13571" max="13571" width="13.26171875" customWidth="1"/>
    <col min="13572" max="13572" width="8" customWidth="1"/>
    <col min="13573" max="13573" width="12.68359375" customWidth="1"/>
    <col min="13574" max="13574" width="8" customWidth="1"/>
    <col min="13575" max="13575" width="12" customWidth="1"/>
    <col min="13577" max="13577" width="24.83984375" customWidth="1"/>
    <col min="13578" max="13578" width="13.83984375" customWidth="1"/>
    <col min="13579" max="13579" width="11.15625" customWidth="1"/>
    <col min="13580" max="13580" width="19.83984375" customWidth="1"/>
    <col min="13581" max="13581" width="12.68359375" customWidth="1"/>
    <col min="13826" max="13826" width="19.578125" customWidth="1"/>
    <col min="13827" max="13827" width="13.26171875" customWidth="1"/>
    <col min="13828" max="13828" width="8" customWidth="1"/>
    <col min="13829" max="13829" width="12.68359375" customWidth="1"/>
    <col min="13830" max="13830" width="8" customWidth="1"/>
    <col min="13831" max="13831" width="12" customWidth="1"/>
    <col min="13833" max="13833" width="24.83984375" customWidth="1"/>
    <col min="13834" max="13834" width="13.83984375" customWidth="1"/>
    <col min="13835" max="13835" width="11.15625" customWidth="1"/>
    <col min="13836" max="13836" width="19.83984375" customWidth="1"/>
    <col min="13837" max="13837" width="12.68359375" customWidth="1"/>
    <col min="14082" max="14082" width="19.578125" customWidth="1"/>
    <col min="14083" max="14083" width="13.26171875" customWidth="1"/>
    <col min="14084" max="14084" width="8" customWidth="1"/>
    <col min="14085" max="14085" width="12.68359375" customWidth="1"/>
    <col min="14086" max="14086" width="8" customWidth="1"/>
    <col min="14087" max="14087" width="12" customWidth="1"/>
    <col min="14089" max="14089" width="24.83984375" customWidth="1"/>
    <col min="14090" max="14090" width="13.83984375" customWidth="1"/>
    <col min="14091" max="14091" width="11.15625" customWidth="1"/>
    <col min="14092" max="14092" width="19.83984375" customWidth="1"/>
    <col min="14093" max="14093" width="12.68359375" customWidth="1"/>
    <col min="14338" max="14338" width="19.578125" customWidth="1"/>
    <col min="14339" max="14339" width="13.26171875" customWidth="1"/>
    <col min="14340" max="14340" width="8" customWidth="1"/>
    <col min="14341" max="14341" width="12.68359375" customWidth="1"/>
    <col min="14342" max="14342" width="8" customWidth="1"/>
    <col min="14343" max="14343" width="12" customWidth="1"/>
    <col min="14345" max="14345" width="24.83984375" customWidth="1"/>
    <col min="14346" max="14346" width="13.83984375" customWidth="1"/>
    <col min="14347" max="14347" width="11.15625" customWidth="1"/>
    <col min="14348" max="14348" width="19.83984375" customWidth="1"/>
    <col min="14349" max="14349" width="12.68359375" customWidth="1"/>
    <col min="14594" max="14594" width="19.578125" customWidth="1"/>
    <col min="14595" max="14595" width="13.26171875" customWidth="1"/>
    <col min="14596" max="14596" width="8" customWidth="1"/>
    <col min="14597" max="14597" width="12.68359375" customWidth="1"/>
    <col min="14598" max="14598" width="8" customWidth="1"/>
    <col min="14599" max="14599" width="12" customWidth="1"/>
    <col min="14601" max="14601" width="24.83984375" customWidth="1"/>
    <col min="14602" max="14602" width="13.83984375" customWidth="1"/>
    <col min="14603" max="14603" width="11.15625" customWidth="1"/>
    <col min="14604" max="14604" width="19.83984375" customWidth="1"/>
    <col min="14605" max="14605" width="12.68359375" customWidth="1"/>
    <col min="14850" max="14850" width="19.578125" customWidth="1"/>
    <col min="14851" max="14851" width="13.26171875" customWidth="1"/>
    <col min="14852" max="14852" width="8" customWidth="1"/>
    <col min="14853" max="14853" width="12.68359375" customWidth="1"/>
    <col min="14854" max="14854" width="8" customWidth="1"/>
    <col min="14855" max="14855" width="12" customWidth="1"/>
    <col min="14857" max="14857" width="24.83984375" customWidth="1"/>
    <col min="14858" max="14858" width="13.83984375" customWidth="1"/>
    <col min="14859" max="14859" width="11.15625" customWidth="1"/>
    <col min="14860" max="14860" width="19.83984375" customWidth="1"/>
    <col min="14861" max="14861" width="12.68359375" customWidth="1"/>
    <col min="15106" max="15106" width="19.578125" customWidth="1"/>
    <col min="15107" max="15107" width="13.26171875" customWidth="1"/>
    <col min="15108" max="15108" width="8" customWidth="1"/>
    <col min="15109" max="15109" width="12.68359375" customWidth="1"/>
    <col min="15110" max="15110" width="8" customWidth="1"/>
    <col min="15111" max="15111" width="12" customWidth="1"/>
    <col min="15113" max="15113" width="24.83984375" customWidth="1"/>
    <col min="15114" max="15114" width="13.83984375" customWidth="1"/>
    <col min="15115" max="15115" width="11.15625" customWidth="1"/>
    <col min="15116" max="15116" width="19.83984375" customWidth="1"/>
    <col min="15117" max="15117" width="12.68359375" customWidth="1"/>
    <col min="15362" max="15362" width="19.578125" customWidth="1"/>
    <col min="15363" max="15363" width="13.26171875" customWidth="1"/>
    <col min="15364" max="15364" width="8" customWidth="1"/>
    <col min="15365" max="15365" width="12.68359375" customWidth="1"/>
    <col min="15366" max="15366" width="8" customWidth="1"/>
    <col min="15367" max="15367" width="12" customWidth="1"/>
    <col min="15369" max="15369" width="24.83984375" customWidth="1"/>
    <col min="15370" max="15370" width="13.83984375" customWidth="1"/>
    <col min="15371" max="15371" width="11.15625" customWidth="1"/>
    <col min="15372" max="15372" width="19.83984375" customWidth="1"/>
    <col min="15373" max="15373" width="12.68359375" customWidth="1"/>
    <col min="15618" max="15618" width="19.578125" customWidth="1"/>
    <col min="15619" max="15619" width="13.26171875" customWidth="1"/>
    <col min="15620" max="15620" width="8" customWidth="1"/>
    <col min="15621" max="15621" width="12.68359375" customWidth="1"/>
    <col min="15622" max="15622" width="8" customWidth="1"/>
    <col min="15623" max="15623" width="12" customWidth="1"/>
    <col min="15625" max="15625" width="24.83984375" customWidth="1"/>
    <col min="15626" max="15626" width="13.83984375" customWidth="1"/>
    <col min="15627" max="15627" width="11.15625" customWidth="1"/>
    <col min="15628" max="15628" width="19.83984375" customWidth="1"/>
    <col min="15629" max="15629" width="12.68359375" customWidth="1"/>
    <col min="15874" max="15874" width="19.578125" customWidth="1"/>
    <col min="15875" max="15875" width="13.26171875" customWidth="1"/>
    <col min="15876" max="15876" width="8" customWidth="1"/>
    <col min="15877" max="15877" width="12.68359375" customWidth="1"/>
    <col min="15878" max="15878" width="8" customWidth="1"/>
    <col min="15879" max="15879" width="12" customWidth="1"/>
    <col min="15881" max="15881" width="24.83984375" customWidth="1"/>
    <col min="15882" max="15882" width="13.83984375" customWidth="1"/>
    <col min="15883" max="15883" width="11.15625" customWidth="1"/>
    <col min="15884" max="15884" width="19.83984375" customWidth="1"/>
    <col min="15885" max="15885" width="12.68359375" customWidth="1"/>
    <col min="16130" max="16130" width="19.578125" customWidth="1"/>
    <col min="16131" max="16131" width="13.26171875" customWidth="1"/>
    <col min="16132" max="16132" width="8" customWidth="1"/>
    <col min="16133" max="16133" width="12.68359375" customWidth="1"/>
    <col min="16134" max="16134" width="8" customWidth="1"/>
    <col min="16135" max="16135" width="12" customWidth="1"/>
    <col min="16137" max="16137" width="24.83984375" customWidth="1"/>
    <col min="16138" max="16138" width="13.83984375" customWidth="1"/>
    <col min="16139" max="16139" width="11.15625" customWidth="1"/>
    <col min="16140" max="16140" width="19.83984375" customWidth="1"/>
    <col min="16141" max="16141" width="12.6835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3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132572.97</v>
      </c>
      <c r="C24" s="71">
        <f>Hipoteca!B$6/100</f>
        <v>-1.6900000000000001E-3</v>
      </c>
      <c r="D24" s="73">
        <f>Hipoteca!B$13</f>
        <v>399.58579898879282</v>
      </c>
      <c r="E24" s="72">
        <f t="shared" si="7"/>
        <v>-4.3609333545191475E-5</v>
      </c>
      <c r="I24" s="79">
        <f t="shared" si="4"/>
        <v>43556</v>
      </c>
      <c r="J24" s="128">
        <f>B24+Coche!D18</f>
        <v>153432.56999999998</v>
      </c>
      <c r="K24" s="127"/>
      <c r="L24" s="127"/>
      <c r="M24" s="72"/>
    </row>
    <row r="25" spans="1:13" ht="12.75" customHeight="1">
      <c r="A25" s="120">
        <f t="shared" si="5"/>
        <v>43678</v>
      </c>
      <c r="B25" s="116"/>
      <c r="C25" s="71"/>
      <c r="D25" s="73"/>
      <c r="E25" s="72"/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2" si="9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9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9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9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9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9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9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9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9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9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9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9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9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9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9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9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9"/>
        <v>53601</v>
      </c>
      <c r="J79" s="128"/>
      <c r="K79" s="127"/>
      <c r="L79" s="127"/>
      <c r="M79" s="72"/>
    </row>
    <row r="80" spans="1:13" ht="12.75" customHeight="1">
      <c r="A80" s="120">
        <f t="shared" ref="A80:A82" si="10">EDATE(A79,6)</f>
        <v>53724</v>
      </c>
      <c r="B80" s="116"/>
      <c r="C80" s="71"/>
      <c r="D80" s="73"/>
      <c r="E80" s="72"/>
      <c r="I80" s="79">
        <f t="shared" si="9"/>
        <v>53783</v>
      </c>
      <c r="J80" s="128"/>
      <c r="K80" s="127"/>
      <c r="L80" s="127"/>
      <c r="M80" s="72"/>
    </row>
    <row r="81" spans="1:13" ht="12.75" customHeight="1">
      <c r="A81" s="120">
        <f t="shared" si="10"/>
        <v>53905</v>
      </c>
      <c r="B81" s="116"/>
      <c r="C81" s="71"/>
      <c r="D81" s="73"/>
      <c r="E81" s="72"/>
      <c r="I81" s="79">
        <f t="shared" si="9"/>
        <v>53966</v>
      </c>
      <c r="J81" s="128"/>
      <c r="K81" s="127"/>
      <c r="L81" s="127"/>
      <c r="M81" s="72"/>
    </row>
    <row r="82" spans="1:13" ht="13.5" customHeight="1" thickBot="1">
      <c r="A82" s="122">
        <f t="shared" si="10"/>
        <v>54089</v>
      </c>
      <c r="B82" s="118"/>
      <c r="C82" s="80"/>
      <c r="D82" s="81"/>
      <c r="E82" s="82"/>
      <c r="I82" s="91">
        <f t="shared" si="9"/>
        <v>54149</v>
      </c>
      <c r="J82" s="129"/>
      <c r="K82" s="130"/>
      <c r="L82" s="130"/>
      <c r="M82" s="82"/>
    </row>
    <row r="83" spans="1:13" ht="12.75" customHeight="1">
      <c r="C83" s="84">
        <f>AVERAGE(C3:C82)</f>
        <v>8.8759686147186125E-3</v>
      </c>
      <c r="D83" s="85">
        <f>AVERAGE(D2:D82)</f>
        <v>496.56572354725716</v>
      </c>
      <c r="E83" s="86">
        <f>AVERAGE(E3:E82)</f>
        <v>-20.384736409600325</v>
      </c>
      <c r="M83" s="86">
        <f>AVERAGE(M3:M82)</f>
        <v>-6376.5190476190455</v>
      </c>
    </row>
    <row r="85" spans="1:13">
      <c r="E85" t="s">
        <v>125</v>
      </c>
      <c r="G85" s="68">
        <f>SUM(G2:G82)</f>
        <v>66128.555055588746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L57" sqref="L57"/>
    </sheetView>
  </sheetViews>
  <sheetFormatPr defaultColWidth="8" defaultRowHeight="14.4"/>
  <cols>
    <col min="1" max="1" width="8" customWidth="1"/>
    <col min="2" max="2" width="12.26171875" customWidth="1"/>
    <col min="3" max="5" width="8" customWidth="1"/>
    <col min="6" max="6" width="12.26171875" customWidth="1"/>
    <col min="7" max="7" width="9" customWidth="1"/>
    <col min="257" max="257" width="8" customWidth="1"/>
    <col min="258" max="258" width="12.26171875" customWidth="1"/>
    <col min="259" max="261" width="8" customWidth="1"/>
    <col min="262" max="262" width="12.26171875" customWidth="1"/>
    <col min="263" max="263" width="9" customWidth="1"/>
    <col min="513" max="513" width="8" customWidth="1"/>
    <col min="514" max="514" width="12.26171875" customWidth="1"/>
    <col min="515" max="517" width="8" customWidth="1"/>
    <col min="518" max="518" width="12.26171875" customWidth="1"/>
    <col min="519" max="519" width="9" customWidth="1"/>
    <col min="769" max="769" width="8" customWidth="1"/>
    <col min="770" max="770" width="12.26171875" customWidth="1"/>
    <col min="771" max="773" width="8" customWidth="1"/>
    <col min="774" max="774" width="12.26171875" customWidth="1"/>
    <col min="775" max="775" width="9" customWidth="1"/>
    <col min="1025" max="1025" width="8" customWidth="1"/>
    <col min="1026" max="1026" width="12.26171875" customWidth="1"/>
    <col min="1027" max="1029" width="8" customWidth="1"/>
    <col min="1030" max="1030" width="12.26171875" customWidth="1"/>
    <col min="1031" max="1031" width="9" customWidth="1"/>
    <col min="1281" max="1281" width="8" customWidth="1"/>
    <col min="1282" max="1282" width="12.26171875" customWidth="1"/>
    <col min="1283" max="1285" width="8" customWidth="1"/>
    <col min="1286" max="1286" width="12.26171875" customWidth="1"/>
    <col min="1287" max="1287" width="9" customWidth="1"/>
    <col min="1537" max="1537" width="8" customWidth="1"/>
    <col min="1538" max="1538" width="12.26171875" customWidth="1"/>
    <col min="1539" max="1541" width="8" customWidth="1"/>
    <col min="1542" max="1542" width="12.26171875" customWidth="1"/>
    <col min="1543" max="1543" width="9" customWidth="1"/>
    <col min="1793" max="1793" width="8" customWidth="1"/>
    <col min="1794" max="1794" width="12.26171875" customWidth="1"/>
    <col min="1795" max="1797" width="8" customWidth="1"/>
    <col min="1798" max="1798" width="12.26171875" customWidth="1"/>
    <col min="1799" max="1799" width="9" customWidth="1"/>
    <col min="2049" max="2049" width="8" customWidth="1"/>
    <col min="2050" max="2050" width="12.26171875" customWidth="1"/>
    <col min="2051" max="2053" width="8" customWidth="1"/>
    <col min="2054" max="2054" width="12.26171875" customWidth="1"/>
    <col min="2055" max="2055" width="9" customWidth="1"/>
    <col min="2305" max="2305" width="8" customWidth="1"/>
    <col min="2306" max="2306" width="12.26171875" customWidth="1"/>
    <col min="2307" max="2309" width="8" customWidth="1"/>
    <col min="2310" max="2310" width="12.26171875" customWidth="1"/>
    <col min="2311" max="2311" width="9" customWidth="1"/>
    <col min="2561" max="2561" width="8" customWidth="1"/>
    <col min="2562" max="2562" width="12.26171875" customWidth="1"/>
    <col min="2563" max="2565" width="8" customWidth="1"/>
    <col min="2566" max="2566" width="12.26171875" customWidth="1"/>
    <col min="2567" max="2567" width="9" customWidth="1"/>
    <col min="2817" max="2817" width="8" customWidth="1"/>
    <col min="2818" max="2818" width="12.26171875" customWidth="1"/>
    <col min="2819" max="2821" width="8" customWidth="1"/>
    <col min="2822" max="2822" width="12.26171875" customWidth="1"/>
    <col min="2823" max="2823" width="9" customWidth="1"/>
    <col min="3073" max="3073" width="8" customWidth="1"/>
    <col min="3074" max="3074" width="12.26171875" customWidth="1"/>
    <col min="3075" max="3077" width="8" customWidth="1"/>
    <col min="3078" max="3078" width="12.26171875" customWidth="1"/>
    <col min="3079" max="3079" width="9" customWidth="1"/>
    <col min="3329" max="3329" width="8" customWidth="1"/>
    <col min="3330" max="3330" width="12.26171875" customWidth="1"/>
    <col min="3331" max="3333" width="8" customWidth="1"/>
    <col min="3334" max="3334" width="12.26171875" customWidth="1"/>
    <col min="3335" max="3335" width="9" customWidth="1"/>
    <col min="3585" max="3585" width="8" customWidth="1"/>
    <col min="3586" max="3586" width="12.26171875" customWidth="1"/>
    <col min="3587" max="3589" width="8" customWidth="1"/>
    <col min="3590" max="3590" width="12.26171875" customWidth="1"/>
    <col min="3591" max="3591" width="9" customWidth="1"/>
    <col min="3841" max="3841" width="8" customWidth="1"/>
    <col min="3842" max="3842" width="12.26171875" customWidth="1"/>
    <col min="3843" max="3845" width="8" customWidth="1"/>
    <col min="3846" max="3846" width="12.26171875" customWidth="1"/>
    <col min="3847" max="3847" width="9" customWidth="1"/>
    <col min="4097" max="4097" width="8" customWidth="1"/>
    <col min="4098" max="4098" width="12.26171875" customWidth="1"/>
    <col min="4099" max="4101" width="8" customWidth="1"/>
    <col min="4102" max="4102" width="12.26171875" customWidth="1"/>
    <col min="4103" max="4103" width="9" customWidth="1"/>
    <col min="4353" max="4353" width="8" customWidth="1"/>
    <col min="4354" max="4354" width="12.26171875" customWidth="1"/>
    <col min="4355" max="4357" width="8" customWidth="1"/>
    <col min="4358" max="4358" width="12.26171875" customWidth="1"/>
    <col min="4359" max="4359" width="9" customWidth="1"/>
    <col min="4609" max="4609" width="8" customWidth="1"/>
    <col min="4610" max="4610" width="12.26171875" customWidth="1"/>
    <col min="4611" max="4613" width="8" customWidth="1"/>
    <col min="4614" max="4614" width="12.26171875" customWidth="1"/>
    <col min="4615" max="4615" width="9" customWidth="1"/>
    <col min="4865" max="4865" width="8" customWidth="1"/>
    <col min="4866" max="4866" width="12.26171875" customWidth="1"/>
    <col min="4867" max="4869" width="8" customWidth="1"/>
    <col min="4870" max="4870" width="12.26171875" customWidth="1"/>
    <col min="4871" max="4871" width="9" customWidth="1"/>
    <col min="5121" max="5121" width="8" customWidth="1"/>
    <col min="5122" max="5122" width="12.26171875" customWidth="1"/>
    <col min="5123" max="5125" width="8" customWidth="1"/>
    <col min="5126" max="5126" width="12.26171875" customWidth="1"/>
    <col min="5127" max="5127" width="9" customWidth="1"/>
    <col min="5377" max="5377" width="8" customWidth="1"/>
    <col min="5378" max="5378" width="12.26171875" customWidth="1"/>
    <col min="5379" max="5381" width="8" customWidth="1"/>
    <col min="5382" max="5382" width="12.26171875" customWidth="1"/>
    <col min="5383" max="5383" width="9" customWidth="1"/>
    <col min="5633" max="5633" width="8" customWidth="1"/>
    <col min="5634" max="5634" width="12.26171875" customWidth="1"/>
    <col min="5635" max="5637" width="8" customWidth="1"/>
    <col min="5638" max="5638" width="12.26171875" customWidth="1"/>
    <col min="5639" max="5639" width="9" customWidth="1"/>
    <col min="5889" max="5889" width="8" customWidth="1"/>
    <col min="5890" max="5890" width="12.26171875" customWidth="1"/>
    <col min="5891" max="5893" width="8" customWidth="1"/>
    <col min="5894" max="5894" width="12.26171875" customWidth="1"/>
    <col min="5895" max="5895" width="9" customWidth="1"/>
    <col min="6145" max="6145" width="8" customWidth="1"/>
    <col min="6146" max="6146" width="12.26171875" customWidth="1"/>
    <col min="6147" max="6149" width="8" customWidth="1"/>
    <col min="6150" max="6150" width="12.26171875" customWidth="1"/>
    <col min="6151" max="6151" width="9" customWidth="1"/>
    <col min="6401" max="6401" width="8" customWidth="1"/>
    <col min="6402" max="6402" width="12.26171875" customWidth="1"/>
    <col min="6403" max="6405" width="8" customWidth="1"/>
    <col min="6406" max="6406" width="12.26171875" customWidth="1"/>
    <col min="6407" max="6407" width="9" customWidth="1"/>
    <col min="6657" max="6657" width="8" customWidth="1"/>
    <col min="6658" max="6658" width="12.26171875" customWidth="1"/>
    <col min="6659" max="6661" width="8" customWidth="1"/>
    <col min="6662" max="6662" width="12.26171875" customWidth="1"/>
    <col min="6663" max="6663" width="9" customWidth="1"/>
    <col min="6913" max="6913" width="8" customWidth="1"/>
    <col min="6914" max="6914" width="12.26171875" customWidth="1"/>
    <col min="6915" max="6917" width="8" customWidth="1"/>
    <col min="6918" max="6918" width="12.26171875" customWidth="1"/>
    <col min="6919" max="6919" width="9" customWidth="1"/>
    <col min="7169" max="7169" width="8" customWidth="1"/>
    <col min="7170" max="7170" width="12.26171875" customWidth="1"/>
    <col min="7171" max="7173" width="8" customWidth="1"/>
    <col min="7174" max="7174" width="12.26171875" customWidth="1"/>
    <col min="7175" max="7175" width="9" customWidth="1"/>
    <col min="7425" max="7425" width="8" customWidth="1"/>
    <col min="7426" max="7426" width="12.26171875" customWidth="1"/>
    <col min="7427" max="7429" width="8" customWidth="1"/>
    <col min="7430" max="7430" width="12.26171875" customWidth="1"/>
    <col min="7431" max="7431" width="9" customWidth="1"/>
    <col min="7681" max="7681" width="8" customWidth="1"/>
    <col min="7682" max="7682" width="12.26171875" customWidth="1"/>
    <col min="7683" max="7685" width="8" customWidth="1"/>
    <col min="7686" max="7686" width="12.26171875" customWidth="1"/>
    <col min="7687" max="7687" width="9" customWidth="1"/>
    <col min="7937" max="7937" width="8" customWidth="1"/>
    <col min="7938" max="7938" width="12.26171875" customWidth="1"/>
    <col min="7939" max="7941" width="8" customWidth="1"/>
    <col min="7942" max="7942" width="12.26171875" customWidth="1"/>
    <col min="7943" max="7943" width="9" customWidth="1"/>
    <col min="8193" max="8193" width="8" customWidth="1"/>
    <col min="8194" max="8194" width="12.26171875" customWidth="1"/>
    <col min="8195" max="8197" width="8" customWidth="1"/>
    <col min="8198" max="8198" width="12.26171875" customWidth="1"/>
    <col min="8199" max="8199" width="9" customWidth="1"/>
    <col min="8449" max="8449" width="8" customWidth="1"/>
    <col min="8450" max="8450" width="12.26171875" customWidth="1"/>
    <col min="8451" max="8453" width="8" customWidth="1"/>
    <col min="8454" max="8454" width="12.26171875" customWidth="1"/>
    <col min="8455" max="8455" width="9" customWidth="1"/>
    <col min="8705" max="8705" width="8" customWidth="1"/>
    <col min="8706" max="8706" width="12.26171875" customWidth="1"/>
    <col min="8707" max="8709" width="8" customWidth="1"/>
    <col min="8710" max="8710" width="12.26171875" customWidth="1"/>
    <col min="8711" max="8711" width="9" customWidth="1"/>
    <col min="8961" max="8961" width="8" customWidth="1"/>
    <col min="8962" max="8962" width="12.26171875" customWidth="1"/>
    <col min="8963" max="8965" width="8" customWidth="1"/>
    <col min="8966" max="8966" width="12.26171875" customWidth="1"/>
    <col min="8967" max="8967" width="9" customWidth="1"/>
    <col min="9217" max="9217" width="8" customWidth="1"/>
    <col min="9218" max="9218" width="12.26171875" customWidth="1"/>
    <col min="9219" max="9221" width="8" customWidth="1"/>
    <col min="9222" max="9222" width="12.26171875" customWidth="1"/>
    <col min="9223" max="9223" width="9" customWidth="1"/>
    <col min="9473" max="9473" width="8" customWidth="1"/>
    <col min="9474" max="9474" width="12.26171875" customWidth="1"/>
    <col min="9475" max="9477" width="8" customWidth="1"/>
    <col min="9478" max="9478" width="12.26171875" customWidth="1"/>
    <col min="9479" max="9479" width="9" customWidth="1"/>
    <col min="9729" max="9729" width="8" customWidth="1"/>
    <col min="9730" max="9730" width="12.26171875" customWidth="1"/>
    <col min="9731" max="9733" width="8" customWidth="1"/>
    <col min="9734" max="9734" width="12.26171875" customWidth="1"/>
    <col min="9735" max="9735" width="9" customWidth="1"/>
    <col min="9985" max="9985" width="8" customWidth="1"/>
    <col min="9986" max="9986" width="12.26171875" customWidth="1"/>
    <col min="9987" max="9989" width="8" customWidth="1"/>
    <col min="9990" max="9990" width="12.26171875" customWidth="1"/>
    <col min="9991" max="9991" width="9" customWidth="1"/>
    <col min="10241" max="10241" width="8" customWidth="1"/>
    <col min="10242" max="10242" width="12.26171875" customWidth="1"/>
    <col min="10243" max="10245" width="8" customWidth="1"/>
    <col min="10246" max="10246" width="12.26171875" customWidth="1"/>
    <col min="10247" max="10247" width="9" customWidth="1"/>
    <col min="10497" max="10497" width="8" customWidth="1"/>
    <col min="10498" max="10498" width="12.26171875" customWidth="1"/>
    <col min="10499" max="10501" width="8" customWidth="1"/>
    <col min="10502" max="10502" width="12.26171875" customWidth="1"/>
    <col min="10503" max="10503" width="9" customWidth="1"/>
    <col min="10753" max="10753" width="8" customWidth="1"/>
    <col min="10754" max="10754" width="12.26171875" customWidth="1"/>
    <col min="10755" max="10757" width="8" customWidth="1"/>
    <col min="10758" max="10758" width="12.26171875" customWidth="1"/>
    <col min="10759" max="10759" width="9" customWidth="1"/>
    <col min="11009" max="11009" width="8" customWidth="1"/>
    <col min="11010" max="11010" width="12.26171875" customWidth="1"/>
    <col min="11011" max="11013" width="8" customWidth="1"/>
    <col min="11014" max="11014" width="12.26171875" customWidth="1"/>
    <col min="11015" max="11015" width="9" customWidth="1"/>
    <col min="11265" max="11265" width="8" customWidth="1"/>
    <col min="11266" max="11266" width="12.26171875" customWidth="1"/>
    <col min="11267" max="11269" width="8" customWidth="1"/>
    <col min="11270" max="11270" width="12.26171875" customWidth="1"/>
    <col min="11271" max="11271" width="9" customWidth="1"/>
    <col min="11521" max="11521" width="8" customWidth="1"/>
    <col min="11522" max="11522" width="12.26171875" customWidth="1"/>
    <col min="11523" max="11525" width="8" customWidth="1"/>
    <col min="11526" max="11526" width="12.26171875" customWidth="1"/>
    <col min="11527" max="11527" width="9" customWidth="1"/>
    <col min="11777" max="11777" width="8" customWidth="1"/>
    <col min="11778" max="11778" width="12.26171875" customWidth="1"/>
    <col min="11779" max="11781" width="8" customWidth="1"/>
    <col min="11782" max="11782" width="12.26171875" customWidth="1"/>
    <col min="11783" max="11783" width="9" customWidth="1"/>
    <col min="12033" max="12033" width="8" customWidth="1"/>
    <col min="12034" max="12034" width="12.26171875" customWidth="1"/>
    <col min="12035" max="12037" width="8" customWidth="1"/>
    <col min="12038" max="12038" width="12.26171875" customWidth="1"/>
    <col min="12039" max="12039" width="9" customWidth="1"/>
    <col min="12289" max="12289" width="8" customWidth="1"/>
    <col min="12290" max="12290" width="12.26171875" customWidth="1"/>
    <col min="12291" max="12293" width="8" customWidth="1"/>
    <col min="12294" max="12294" width="12.26171875" customWidth="1"/>
    <col min="12295" max="12295" width="9" customWidth="1"/>
    <col min="12545" max="12545" width="8" customWidth="1"/>
    <col min="12546" max="12546" width="12.26171875" customWidth="1"/>
    <col min="12547" max="12549" width="8" customWidth="1"/>
    <col min="12550" max="12550" width="12.26171875" customWidth="1"/>
    <col min="12551" max="12551" width="9" customWidth="1"/>
    <col min="12801" max="12801" width="8" customWidth="1"/>
    <col min="12802" max="12802" width="12.26171875" customWidth="1"/>
    <col min="12803" max="12805" width="8" customWidth="1"/>
    <col min="12806" max="12806" width="12.26171875" customWidth="1"/>
    <col min="12807" max="12807" width="9" customWidth="1"/>
    <col min="13057" max="13057" width="8" customWidth="1"/>
    <col min="13058" max="13058" width="12.26171875" customWidth="1"/>
    <col min="13059" max="13061" width="8" customWidth="1"/>
    <col min="13062" max="13062" width="12.26171875" customWidth="1"/>
    <col min="13063" max="13063" width="9" customWidth="1"/>
    <col min="13313" max="13313" width="8" customWidth="1"/>
    <col min="13314" max="13314" width="12.26171875" customWidth="1"/>
    <col min="13315" max="13317" width="8" customWidth="1"/>
    <col min="13318" max="13318" width="12.26171875" customWidth="1"/>
    <col min="13319" max="13319" width="9" customWidth="1"/>
    <col min="13569" max="13569" width="8" customWidth="1"/>
    <col min="13570" max="13570" width="12.26171875" customWidth="1"/>
    <col min="13571" max="13573" width="8" customWidth="1"/>
    <col min="13574" max="13574" width="12.26171875" customWidth="1"/>
    <col min="13575" max="13575" width="9" customWidth="1"/>
    <col min="13825" max="13825" width="8" customWidth="1"/>
    <col min="13826" max="13826" width="12.26171875" customWidth="1"/>
    <col min="13827" max="13829" width="8" customWidth="1"/>
    <col min="13830" max="13830" width="12.26171875" customWidth="1"/>
    <col min="13831" max="13831" width="9" customWidth="1"/>
    <col min="14081" max="14081" width="8" customWidth="1"/>
    <col min="14082" max="14082" width="12.26171875" customWidth="1"/>
    <col min="14083" max="14085" width="8" customWidth="1"/>
    <col min="14086" max="14086" width="12.26171875" customWidth="1"/>
    <col min="14087" max="14087" width="9" customWidth="1"/>
    <col min="14337" max="14337" width="8" customWidth="1"/>
    <col min="14338" max="14338" width="12.26171875" customWidth="1"/>
    <col min="14339" max="14341" width="8" customWidth="1"/>
    <col min="14342" max="14342" width="12.26171875" customWidth="1"/>
    <col min="14343" max="14343" width="9" customWidth="1"/>
    <col min="14593" max="14593" width="8" customWidth="1"/>
    <col min="14594" max="14594" width="12.26171875" customWidth="1"/>
    <col min="14595" max="14597" width="8" customWidth="1"/>
    <col min="14598" max="14598" width="12.26171875" customWidth="1"/>
    <col min="14599" max="14599" width="9" customWidth="1"/>
    <col min="14849" max="14849" width="8" customWidth="1"/>
    <col min="14850" max="14850" width="12.26171875" customWidth="1"/>
    <col min="14851" max="14853" width="8" customWidth="1"/>
    <col min="14854" max="14854" width="12.26171875" customWidth="1"/>
    <col min="14855" max="14855" width="9" customWidth="1"/>
    <col min="15105" max="15105" width="8" customWidth="1"/>
    <col min="15106" max="15106" width="12.26171875" customWidth="1"/>
    <col min="15107" max="15109" width="8" customWidth="1"/>
    <col min="15110" max="15110" width="12.26171875" customWidth="1"/>
    <col min="15111" max="15111" width="9" customWidth="1"/>
    <col min="15361" max="15361" width="8" customWidth="1"/>
    <col min="15362" max="15362" width="12.26171875" customWidth="1"/>
    <col min="15363" max="15365" width="8" customWidth="1"/>
    <col min="15366" max="15366" width="12.26171875" customWidth="1"/>
    <col min="15367" max="15367" width="9" customWidth="1"/>
    <col min="15617" max="15617" width="8" customWidth="1"/>
    <col min="15618" max="15618" width="12.26171875" customWidth="1"/>
    <col min="15619" max="15621" width="8" customWidth="1"/>
    <col min="15622" max="15622" width="12.26171875" customWidth="1"/>
    <col min="15623" max="15623" width="9" customWidth="1"/>
    <col min="15873" max="15873" width="8" customWidth="1"/>
    <col min="15874" max="15874" width="12.26171875" customWidth="1"/>
    <col min="15875" max="15877" width="8" customWidth="1"/>
    <col min="15878" max="15878" width="12.26171875" customWidth="1"/>
    <col min="15879" max="15879" width="9" customWidth="1"/>
    <col min="16129" max="16129" width="8" customWidth="1"/>
    <col min="16130" max="16130" width="12.26171875" customWidth="1"/>
    <col min="16131" max="16133" width="8" customWidth="1"/>
    <col min="16134" max="16134" width="12.26171875" customWidth="1"/>
    <col min="16135" max="16135" width="9" customWidth="1"/>
  </cols>
  <sheetData>
    <row r="2" spans="3:8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8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8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8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8">
      <c r="F6" s="39">
        <f>SUM(F2:F4)</f>
        <v>9.9365049245808024</v>
      </c>
      <c r="G6" s="39">
        <f>SUM(G2:G5)</f>
        <v>9.8596597639872012</v>
      </c>
    </row>
    <row r="8" spans="3:8">
      <c r="F8" t="s">
        <v>126</v>
      </c>
      <c r="G8">
        <v>386785</v>
      </c>
    </row>
    <row r="9" spans="3:8">
      <c r="F9" t="s">
        <v>127</v>
      </c>
      <c r="G9">
        <v>36372553</v>
      </c>
    </row>
    <row r="13" spans="3:8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8">
      <c r="F14" s="39">
        <f>F13/H13</f>
        <v>40.708125000000003</v>
      </c>
    </row>
    <row r="15" spans="3:8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15.2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494" workbookViewId="0">
      <selection activeCell="B502" sqref="B502:G503"/>
    </sheetView>
  </sheetViews>
  <sheetFormatPr defaultColWidth="11.41796875" defaultRowHeight="14.4"/>
  <cols>
    <col min="1" max="1" width="11.41796875" style="89"/>
    <col min="2" max="2" width="10.578125" style="113" customWidth="1"/>
    <col min="3" max="3" width="33.26171875" style="89" customWidth="1"/>
    <col min="4" max="6" width="10" style="113" customWidth="1"/>
    <col min="7" max="7" width="33.26171875" style="89" customWidth="1"/>
    <col min="8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5.9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6">
      <c r="A4" s="1"/>
      <c r="B4" s="322" t="s">
        <v>8</v>
      </c>
      <c r="C4" s="323"/>
      <c r="D4" s="324" t="s">
        <v>9</v>
      </c>
      <c r="E4" s="324"/>
      <c r="F4" s="324"/>
      <c r="G4" s="323"/>
      <c r="H4" s="222">
        <v>2018</v>
      </c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17">
        <v>2901.68</v>
      </c>
      <c r="L5" s="318"/>
      <c r="M5" s="1"/>
      <c r="N5" s="1"/>
      <c r="R5" s="3"/>
    </row>
    <row r="6" spans="1:22" ht="15.6">
      <c r="A6" s="112">
        <f>H6+(B6-SUM(D6:F6))</f>
        <v>405.59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19">
        <v>620.05999999999995</v>
      </c>
      <c r="L6" s="320"/>
      <c r="M6" s="1" t="s">
        <v>166</v>
      </c>
      <c r="N6" s="1"/>
      <c r="R6" s="3"/>
    </row>
    <row r="7" spans="1:22" ht="15.6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19">
        <v>8035.29</v>
      </c>
      <c r="L7" s="320"/>
      <c r="M7" s="1"/>
      <c r="N7" s="1"/>
      <c r="R7" s="3"/>
    </row>
    <row r="8" spans="1:22" ht="15.6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6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19">
        <v>659.39</v>
      </c>
      <c r="L9" s="320"/>
      <c r="M9" s="1"/>
      <c r="N9" s="1"/>
      <c r="R9" s="3"/>
    </row>
    <row r="10" spans="1:22" ht="15.6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6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19">
        <f>240+35</f>
        <v>275</v>
      </c>
      <c r="L11" s="320"/>
      <c r="M11" s="1"/>
      <c r="N11" s="1"/>
      <c r="R11" s="3"/>
    </row>
    <row r="12" spans="1:22" ht="15.6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6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19"/>
      <c r="L13" s="320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19"/>
      <c r="L14" s="320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19"/>
      <c r="L15" s="320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19"/>
      <c r="L16" s="320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19"/>
      <c r="L17" s="320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25"/>
      <c r="L18" s="326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25">
        <f>SUM(K5:K18)</f>
        <v>26383.54</v>
      </c>
      <c r="L19" s="326"/>
      <c r="M19" s="1"/>
      <c r="N19" s="1">
        <v>26293.569999999996</v>
      </c>
      <c r="R19" s="3"/>
    </row>
    <row r="20" spans="1:18" ht="15.9" thickBot="1">
      <c r="A20" s="112">
        <f>SUM(A6:A15)</f>
        <v>1078.31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12"/>
      <c r="I22" s="309" t="s">
        <v>6</v>
      </c>
      <c r="J22" s="310"/>
      <c r="K22" s="310"/>
      <c r="L22" s="311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12"/>
      <c r="I23" s="312"/>
      <c r="J23" s="313"/>
      <c r="K23" s="313"/>
      <c r="L23" s="314"/>
      <c r="M23" s="1"/>
      <c r="R23" s="3"/>
    </row>
    <row r="24" spans="1:18" ht="15.6">
      <c r="A24" s="1"/>
      <c r="B24" s="322" t="s">
        <v>8</v>
      </c>
      <c r="C24" s="323"/>
      <c r="D24" s="324" t="s">
        <v>9</v>
      </c>
      <c r="E24" s="324"/>
      <c r="F24" s="324"/>
      <c r="G24" s="323"/>
      <c r="H24" s="112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6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296" t="str">
        <f>AÑO!A8</f>
        <v>Manolo Salario</v>
      </c>
      <c r="J25" s="299"/>
      <c r="K25" s="300"/>
      <c r="L25" s="198"/>
      <c r="M25" s="1"/>
      <c r="R25" s="3"/>
    </row>
    <row r="26" spans="1:18" ht="15.6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297"/>
      <c r="J26" s="301"/>
      <c r="K26" s="302"/>
      <c r="L26" s="229"/>
      <c r="M26" s="1"/>
      <c r="R26" s="3"/>
    </row>
    <row r="27" spans="1:18" ht="15.6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297"/>
      <c r="J27" s="301"/>
      <c r="K27" s="302"/>
      <c r="L27" s="229"/>
      <c r="M27" s="1"/>
      <c r="R27" s="3"/>
    </row>
    <row r="28" spans="1:18" ht="15.6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297"/>
      <c r="J28" s="301"/>
      <c r="K28" s="302"/>
      <c r="L28" s="229"/>
      <c r="M28" s="1"/>
      <c r="R28" s="3"/>
    </row>
    <row r="29" spans="1:18" ht="15.6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05"/>
      <c r="J29" s="306"/>
      <c r="K29" s="307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12">
        <v>593.55999999999995</v>
      </c>
      <c r="I30" s="296" t="str">
        <f>AÑO!A9</f>
        <v>Rocío Salario</v>
      </c>
      <c r="J30" s="299" t="s">
        <v>241</v>
      </c>
      <c r="K30" s="300"/>
      <c r="L30" s="231">
        <v>350.59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12"/>
      <c r="I31" s="297"/>
      <c r="J31" s="301" t="s">
        <v>259</v>
      </c>
      <c r="K31" s="302"/>
      <c r="L31" s="229">
        <v>190.62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12"/>
      <c r="I32" s="297"/>
      <c r="J32" s="308" t="s">
        <v>270</v>
      </c>
      <c r="K32" s="302"/>
      <c r="L32" s="229">
        <v>114.38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12"/>
      <c r="I33" s="297"/>
      <c r="J33" s="301"/>
      <c r="K33" s="302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12"/>
      <c r="I34" s="305"/>
      <c r="J34" s="306"/>
      <c r="K34" s="30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12"/>
      <c r="I35" s="296" t="s">
        <v>221</v>
      </c>
      <c r="J35" s="299"/>
      <c r="K35" s="300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12"/>
      <c r="I36" s="297"/>
      <c r="J36" s="301"/>
      <c r="K36" s="302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12"/>
      <c r="I37" s="297"/>
      <c r="J37" s="301"/>
      <c r="K37" s="302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12"/>
      <c r="I38" s="297"/>
      <c r="J38" s="301"/>
      <c r="K38" s="302"/>
      <c r="L38" s="22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12"/>
      <c r="I39" s="305"/>
      <c r="J39" s="306"/>
      <c r="K39" s="307"/>
      <c r="L39" s="230"/>
      <c r="M39" s="1"/>
      <c r="R39" s="3"/>
    </row>
    <row r="40" spans="1:18" ht="15.9" thickBot="1">
      <c r="A40" s="112">
        <f>SUM(A26:A35)</f>
        <v>695.91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12">
        <v>652.8599999999999</v>
      </c>
      <c r="I40" s="296" t="str">
        <f>AÑO!A11</f>
        <v>Finanazas</v>
      </c>
      <c r="J40" s="299" t="s">
        <v>242</v>
      </c>
      <c r="K40" s="300"/>
      <c r="L40" s="231">
        <v>1.98</v>
      </c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12"/>
      <c r="I41" s="297"/>
      <c r="J41" s="301" t="s">
        <v>243</v>
      </c>
      <c r="K41" s="302"/>
      <c r="L41" s="229">
        <v>1.87</v>
      </c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12"/>
      <c r="I42" s="297"/>
      <c r="J42" s="301" t="s">
        <v>272</v>
      </c>
      <c r="K42" s="302"/>
      <c r="L42" s="229">
        <v>0.02</v>
      </c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12"/>
      <c r="I43" s="297"/>
      <c r="J43" s="301"/>
      <c r="K43" s="302"/>
      <c r="L43" s="229"/>
      <c r="M43" s="1"/>
      <c r="R43" s="3"/>
    </row>
    <row r="44" spans="1:18" ht="15.6">
      <c r="A44" s="1"/>
      <c r="B44" s="322" t="s">
        <v>8</v>
      </c>
      <c r="C44" s="323"/>
      <c r="D44" s="324" t="s">
        <v>9</v>
      </c>
      <c r="E44" s="324"/>
      <c r="F44" s="324"/>
      <c r="G44" s="323"/>
      <c r="H44" s="112"/>
      <c r="I44" s="305"/>
      <c r="J44" s="306"/>
      <c r="K44" s="30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296" t="str">
        <f>AÑO!A12</f>
        <v>Regalos</v>
      </c>
      <c r="J45" s="299"/>
      <c r="K45" s="300"/>
      <c r="L45" s="231"/>
      <c r="M45" s="1"/>
      <c r="R45" s="3"/>
    </row>
    <row r="46" spans="1:18" ht="15.6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297"/>
      <c r="J46" s="301"/>
      <c r="K46" s="302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297"/>
      <c r="J47" s="301"/>
      <c r="K47" s="302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297"/>
      <c r="J48" s="301"/>
      <c r="K48" s="302"/>
      <c r="L48" s="229"/>
      <c r="M48" s="1"/>
      <c r="R48" s="3"/>
    </row>
    <row r="49" spans="1:18" ht="15.6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05"/>
      <c r="J49" s="306"/>
      <c r="K49" s="307"/>
      <c r="L49" s="230"/>
      <c r="M49" s="1"/>
      <c r="R49" s="3"/>
    </row>
    <row r="50" spans="1:18" ht="15.6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296" t="str">
        <f>AÑO!A13</f>
        <v>Gubernamental</v>
      </c>
      <c r="J50" s="299" t="s">
        <v>262</v>
      </c>
      <c r="K50" s="300"/>
      <c r="L50" s="231">
        <v>95.8</v>
      </c>
      <c r="M50" s="1"/>
      <c r="R50" s="3"/>
    </row>
    <row r="51" spans="1:18" ht="15.6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297"/>
      <c r="J51" s="301"/>
      <c r="K51" s="302"/>
      <c r="L51" s="229"/>
      <c r="M51" s="1"/>
      <c r="R51" s="3"/>
    </row>
    <row r="52" spans="1:18" ht="15.6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297"/>
      <c r="J52" s="301"/>
      <c r="K52" s="302"/>
      <c r="L52" s="229"/>
      <c r="M52" s="1"/>
      <c r="R52" s="3"/>
    </row>
    <row r="53" spans="1:18" ht="15.6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297"/>
      <c r="J53" s="301"/>
      <c r="K53" s="302"/>
      <c r="L53" s="229"/>
      <c r="M53" s="1"/>
      <c r="R53" s="3"/>
    </row>
    <row r="54" spans="1:18" ht="15.6">
      <c r="A54" s="1"/>
      <c r="B54" s="134"/>
      <c r="C54" s="16"/>
      <c r="D54" s="137">
        <f>50.95</f>
        <v>50.95</v>
      </c>
      <c r="E54" s="138"/>
      <c r="F54" s="138"/>
      <c r="G54" s="16" t="s">
        <v>278</v>
      </c>
      <c r="H54" s="112"/>
      <c r="I54" s="305"/>
      <c r="J54" s="306"/>
      <c r="K54" s="307"/>
      <c r="L54" s="230"/>
      <c r="M54" s="1"/>
      <c r="R54" s="3"/>
    </row>
    <row r="55" spans="1:18" ht="15.6">
      <c r="A55" s="1"/>
      <c r="B55" s="134"/>
      <c r="C55" s="16"/>
      <c r="D55" s="137">
        <f>16.96</f>
        <v>16.96</v>
      </c>
      <c r="E55" s="138"/>
      <c r="F55" s="138"/>
      <c r="G55" s="16" t="s">
        <v>279</v>
      </c>
      <c r="H55" s="112"/>
      <c r="I55" s="296" t="str">
        <f>AÑO!A14</f>
        <v>Mutualite/DKV</v>
      </c>
      <c r="J55" s="299"/>
      <c r="K55" s="300"/>
      <c r="L55" s="231"/>
      <c r="M55" s="1"/>
      <c r="R55" s="3"/>
    </row>
    <row r="56" spans="1:18" ht="15.6">
      <c r="A56" s="1"/>
      <c r="B56" s="134"/>
      <c r="C56" s="16"/>
      <c r="D56" s="137">
        <f>20.5</f>
        <v>20.5</v>
      </c>
      <c r="E56" s="138"/>
      <c r="F56" s="138"/>
      <c r="G56" s="16" t="s">
        <v>281</v>
      </c>
      <c r="H56" s="112"/>
      <c r="I56" s="297"/>
      <c r="J56" s="301"/>
      <c r="K56" s="302"/>
      <c r="L56" s="229"/>
      <c r="M56" s="1"/>
      <c r="R56" s="3"/>
    </row>
    <row r="57" spans="1:18" ht="15.6">
      <c r="A57" s="1"/>
      <c r="B57" s="134"/>
      <c r="C57" s="16"/>
      <c r="D57" s="137">
        <f>48.43</f>
        <v>48.43</v>
      </c>
      <c r="E57" s="138"/>
      <c r="F57" s="138"/>
      <c r="G57" s="16" t="s">
        <v>283</v>
      </c>
      <c r="H57" s="112"/>
      <c r="I57" s="297"/>
      <c r="J57" s="301"/>
      <c r="K57" s="302"/>
      <c r="L57" s="229"/>
      <c r="M57" s="1"/>
      <c r="R57" s="3"/>
    </row>
    <row r="58" spans="1:18" ht="15.6">
      <c r="A58" s="1"/>
      <c r="B58" s="134"/>
      <c r="C58" s="16"/>
      <c r="D58" s="137">
        <f>29.54</f>
        <v>29.54</v>
      </c>
      <c r="E58" s="138"/>
      <c r="F58" s="138"/>
      <c r="G58" s="16" t="s">
        <v>284</v>
      </c>
      <c r="H58" s="112"/>
      <c r="I58" s="297"/>
      <c r="J58" s="301"/>
      <c r="K58" s="302"/>
      <c r="L58" s="22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12"/>
      <c r="I59" s="305"/>
      <c r="J59" s="306"/>
      <c r="K59" s="307"/>
      <c r="L59" s="230"/>
      <c r="M59" s="1"/>
      <c r="R59" s="3"/>
    </row>
    <row r="60" spans="1:18" ht="15.9" thickBot="1">
      <c r="A60" s="1"/>
      <c r="B60" s="135">
        <f>SUM(B46:B59)</f>
        <v>470</v>
      </c>
      <c r="C60" s="17" t="s">
        <v>53</v>
      </c>
      <c r="D60" s="135">
        <f>SUM(D46:D59)</f>
        <v>483.92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296" t="str">
        <f>AÑO!A15</f>
        <v>Alquiler Cartama</v>
      </c>
      <c r="J60" s="299"/>
      <c r="K60" s="300"/>
      <c r="L60" s="231"/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12"/>
      <c r="I61" s="297"/>
      <c r="J61" s="301"/>
      <c r="K61" s="302"/>
      <c r="L61" s="22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12"/>
      <c r="I62" s="297"/>
      <c r="J62" s="301"/>
      <c r="K62" s="302"/>
      <c r="L62" s="22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12"/>
      <c r="I63" s="297"/>
      <c r="J63" s="301"/>
      <c r="K63" s="302"/>
      <c r="L63" s="229"/>
      <c r="M63" s="1"/>
      <c r="R63" s="3"/>
    </row>
    <row r="64" spans="1:18" ht="15.6">
      <c r="A64" s="1"/>
      <c r="B64" s="322" t="s">
        <v>8</v>
      </c>
      <c r="C64" s="323"/>
      <c r="D64" s="324" t="s">
        <v>9</v>
      </c>
      <c r="E64" s="324"/>
      <c r="F64" s="324"/>
      <c r="G64" s="323"/>
      <c r="H64" s="112"/>
      <c r="I64" s="305"/>
      <c r="J64" s="306"/>
      <c r="K64" s="307"/>
      <c r="L64" s="230"/>
      <c r="M64" s="1"/>
      <c r="R64" s="3"/>
    </row>
    <row r="65" spans="1:18" ht="15.6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296" t="str">
        <f>AÑO!A16</f>
        <v>Otros</v>
      </c>
      <c r="J65" s="299"/>
      <c r="K65" s="300"/>
      <c r="L65" s="231"/>
      <c r="M65" s="1"/>
      <c r="R65" s="3"/>
    </row>
    <row r="66" spans="1:18" ht="15.6">
      <c r="A66" s="112">
        <f>H66+(B66-SUM(D66:F66))</f>
        <v>162.66999999999999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297"/>
      <c r="J66" s="301"/>
      <c r="K66" s="302"/>
      <c r="L66" s="229"/>
      <c r="M66" s="1"/>
      <c r="R66" s="3"/>
    </row>
    <row r="67" spans="1:18" ht="15.6">
      <c r="A67" s="112"/>
      <c r="B67" s="134"/>
      <c r="C67" s="16"/>
      <c r="D67" s="137"/>
      <c r="E67" s="138"/>
      <c r="F67" s="138"/>
      <c r="G67" s="31"/>
      <c r="H67" s="112"/>
      <c r="I67" s="297"/>
      <c r="J67" s="301"/>
      <c r="K67" s="302"/>
      <c r="L67" s="229"/>
      <c r="M67" s="1"/>
      <c r="R67" s="3"/>
    </row>
    <row r="68" spans="1:18" ht="15.6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297"/>
      <c r="J68" s="301"/>
      <c r="K68" s="302"/>
      <c r="L68" s="229"/>
      <c r="M68" s="1"/>
      <c r="R68" s="3"/>
    </row>
    <row r="69" spans="1:18" ht="15.9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298"/>
      <c r="J69" s="303"/>
      <c r="K69" s="304"/>
      <c r="L69" s="232"/>
      <c r="M69" s="1"/>
      <c r="R69" s="3"/>
    </row>
    <row r="70" spans="1:18" ht="15.6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6">
      <c r="A71" s="112"/>
      <c r="B71" s="134"/>
      <c r="C71" s="16"/>
      <c r="D71" s="137"/>
      <c r="E71" s="138"/>
      <c r="F71" s="138"/>
      <c r="G71" s="16"/>
      <c r="H71" s="112"/>
      <c r="M71" s="1"/>
      <c r="R71" s="3"/>
    </row>
    <row r="72" spans="1:18" ht="15.6">
      <c r="A72" s="112"/>
      <c r="B72" s="134"/>
      <c r="C72" s="16"/>
      <c r="D72" s="137"/>
      <c r="E72" s="138"/>
      <c r="F72" s="138"/>
      <c r="G72" s="16"/>
      <c r="H72" s="112"/>
      <c r="M72" s="1"/>
      <c r="R72" s="3"/>
    </row>
    <row r="73" spans="1:18" ht="15.6">
      <c r="A73" s="112"/>
      <c r="B73" s="134"/>
      <c r="C73" s="16"/>
      <c r="D73" s="137"/>
      <c r="E73" s="138"/>
      <c r="F73" s="138"/>
      <c r="G73" s="16"/>
      <c r="H73" s="112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5.9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5.9" thickBot="1">
      <c r="A80" s="112">
        <f>SUM(A66:A79)</f>
        <v>182.67</v>
      </c>
      <c r="B80" s="135">
        <f>SUM(B66:B79)</f>
        <v>170</v>
      </c>
      <c r="C80" s="17" t="s">
        <v>53</v>
      </c>
      <c r="D80" s="135">
        <f>SUM(D66:D79)</f>
        <v>90.25</v>
      </c>
      <c r="E80" s="135">
        <f>SUM(E66:E79)</f>
        <v>0</v>
      </c>
      <c r="F80" s="135">
        <f>SUM(F66:F79)</f>
        <v>15</v>
      </c>
      <c r="G80" s="17" t="s">
        <v>53</v>
      </c>
      <c r="H80" s="112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12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12"/>
      <c r="M83" s="1"/>
      <c r="R83" s="3"/>
    </row>
    <row r="84" spans="1:18" ht="15.6">
      <c r="A84" s="1"/>
      <c r="B84" s="322" t="s">
        <v>8</v>
      </c>
      <c r="C84" s="323"/>
      <c r="D84" s="324" t="s">
        <v>9</v>
      </c>
      <c r="E84" s="324"/>
      <c r="F84" s="324"/>
      <c r="G84" s="323"/>
      <c r="H84" s="112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6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6">
      <c r="A88" s="1"/>
      <c r="B88" s="134"/>
      <c r="C88" s="16"/>
      <c r="D88" s="137">
        <v>44.31</v>
      </c>
      <c r="E88" s="138"/>
      <c r="F88" s="138"/>
      <c r="G88" s="16" t="s">
        <v>289</v>
      </c>
      <c r="H88" s="112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5.9" thickBot="1">
      <c r="A100" s="1"/>
      <c r="B100" s="135">
        <f>SUM(B86:B99)</f>
        <v>160</v>
      </c>
      <c r="C100" s="17" t="s">
        <v>53</v>
      </c>
      <c r="D100" s="135">
        <f>SUM(D86:D99)</f>
        <v>89.31</v>
      </c>
      <c r="E100" s="135">
        <f>SUM(E86:E99)</f>
        <v>2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12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12"/>
      <c r="M103" s="1"/>
      <c r="R103" s="3"/>
    </row>
    <row r="104" spans="1:18" ht="15.6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12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6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6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6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6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5.9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12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12"/>
      <c r="M123" s="1"/>
      <c r="R123" s="3"/>
    </row>
    <row r="124" spans="1:18" ht="15.6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12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12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6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5.9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5.9" thickBot="1">
      <c r="A140" s="1"/>
      <c r="B140" s="135">
        <f>SUM(B126:B139)</f>
        <v>48</v>
      </c>
      <c r="C140" s="17" t="s">
        <v>53</v>
      </c>
      <c r="D140" s="135">
        <f>SUM(D126:D139)</f>
        <v>25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12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12"/>
      <c r="M143" s="1"/>
      <c r="R143" s="3"/>
    </row>
    <row r="144" spans="1:18" ht="15.6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12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6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282</v>
      </c>
      <c r="H146" s="112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5.9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374.2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280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6">
      <c r="B194" s="134"/>
      <c r="C194" s="16"/>
      <c r="D194" s="137"/>
      <c r="E194" s="138"/>
      <c r="F194" s="138"/>
      <c r="G194" s="16"/>
      <c r="H194" s="112"/>
    </row>
    <row r="195" spans="2:12" ht="15.6">
      <c r="B195" s="134"/>
      <c r="C195" s="16"/>
      <c r="D195" s="137"/>
      <c r="E195" s="138"/>
      <c r="F195" s="138"/>
      <c r="G195" s="16"/>
      <c r="H195" s="112"/>
    </row>
    <row r="196" spans="2:12" ht="15.6">
      <c r="B196" s="134"/>
      <c r="C196" s="16"/>
      <c r="D196" s="137"/>
      <c r="E196" s="138"/>
      <c r="F196" s="138"/>
      <c r="G196" s="16"/>
      <c r="H196" s="112"/>
    </row>
    <row r="197" spans="2:12" ht="15.6">
      <c r="B197" s="134"/>
      <c r="C197" s="16"/>
      <c r="D197" s="137"/>
      <c r="E197" s="138"/>
      <c r="F197" s="138"/>
      <c r="G197" s="16"/>
      <c r="H197" s="112"/>
    </row>
    <row r="198" spans="2:12" ht="15.6">
      <c r="B198" s="134"/>
      <c r="C198" s="16"/>
      <c r="D198" s="137"/>
      <c r="E198" s="138"/>
      <c r="F198" s="138"/>
      <c r="G198" s="16"/>
      <c r="H198" s="112"/>
    </row>
    <row r="199" spans="2:12" ht="15.9" thickBot="1">
      <c r="B199" s="135"/>
      <c r="C199" s="17"/>
      <c r="D199" s="135"/>
      <c r="E199" s="139"/>
      <c r="F199" s="139"/>
      <c r="G199" s="17"/>
      <c r="H199" s="112"/>
    </row>
    <row r="200" spans="2:12" ht="15.9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5.9" thickBot="1">
      <c r="B201" s="5"/>
      <c r="C201" s="3"/>
      <c r="D201" s="5"/>
      <c r="E201" s="5"/>
      <c r="H201" s="112"/>
    </row>
    <row r="202" spans="2:12" ht="14.5" customHeight="1">
      <c r="B202" s="321" t="str">
        <f>AÑO!A30</f>
        <v>Belleza</v>
      </c>
      <c r="C202" s="310"/>
      <c r="D202" s="310"/>
      <c r="E202" s="310"/>
      <c r="F202" s="310"/>
      <c r="G202" s="311"/>
      <c r="H202" s="112"/>
    </row>
    <row r="203" spans="2:12" ht="15" customHeight="1" thickBot="1">
      <c r="B203" s="312"/>
      <c r="C203" s="313"/>
      <c r="D203" s="313"/>
      <c r="E203" s="313"/>
      <c r="F203" s="313"/>
      <c r="G203" s="314"/>
      <c r="H203" s="112"/>
    </row>
    <row r="204" spans="2:12" ht="15.6">
      <c r="B204" s="322" t="s">
        <v>8</v>
      </c>
      <c r="C204" s="323"/>
      <c r="D204" s="324" t="s">
        <v>9</v>
      </c>
      <c r="E204" s="324"/>
      <c r="F204" s="324"/>
      <c r="G204" s="323"/>
      <c r="H204" s="112"/>
    </row>
    <row r="205" spans="2:12" ht="15.6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6">
      <c r="B206" s="133">
        <v>35</v>
      </c>
      <c r="C206" s="19"/>
      <c r="D206" s="137"/>
      <c r="E206" s="138"/>
      <c r="F206" s="138"/>
      <c r="G206" s="16"/>
      <c r="H206" s="112"/>
    </row>
    <row r="207" spans="2:12" ht="15.6">
      <c r="B207" s="134"/>
      <c r="C207" s="16"/>
      <c r="D207" s="137"/>
      <c r="E207" s="138"/>
      <c r="F207" s="138"/>
      <c r="G207" s="16"/>
      <c r="H207" s="112"/>
    </row>
    <row r="208" spans="2:12" ht="15.6">
      <c r="B208" s="134"/>
      <c r="C208" s="16"/>
      <c r="D208" s="137"/>
      <c r="E208" s="138"/>
      <c r="F208" s="138"/>
      <c r="G208" s="16"/>
      <c r="H208" s="112"/>
    </row>
    <row r="209" spans="2:8" ht="15.6">
      <c r="B209" s="134"/>
      <c r="C209" s="16"/>
      <c r="D209" s="137"/>
      <c r="E209" s="138"/>
      <c r="F209" s="138"/>
      <c r="G209" s="16"/>
      <c r="H209" s="112"/>
    </row>
    <row r="210" spans="2:8" ht="15.6">
      <c r="B210" s="134"/>
      <c r="C210" s="16"/>
      <c r="D210" s="137"/>
      <c r="E210" s="138"/>
      <c r="F210" s="138"/>
      <c r="G210" s="16"/>
      <c r="H210" s="112"/>
    </row>
    <row r="211" spans="2:8" ht="15.6">
      <c r="B211" s="134"/>
      <c r="C211" s="16"/>
      <c r="D211" s="137"/>
      <c r="E211" s="138"/>
      <c r="F211" s="138"/>
      <c r="G211" s="16"/>
      <c r="H211" s="112"/>
    </row>
    <row r="212" spans="2:8" ht="15.6">
      <c r="B212" s="134"/>
      <c r="C212" s="16"/>
      <c r="D212" s="137"/>
      <c r="E212" s="138"/>
      <c r="F212" s="138"/>
      <c r="G212" s="16"/>
      <c r="H212" s="112"/>
    </row>
    <row r="213" spans="2:8" ht="15.6">
      <c r="B213" s="134"/>
      <c r="C213" s="16"/>
      <c r="D213" s="137"/>
      <c r="E213" s="138"/>
      <c r="F213" s="138"/>
      <c r="G213" s="16"/>
      <c r="H213" s="112"/>
    </row>
    <row r="214" spans="2:8" ht="15.6">
      <c r="B214" s="134"/>
      <c r="C214" s="16"/>
      <c r="D214" s="137"/>
      <c r="E214" s="138"/>
      <c r="F214" s="138"/>
      <c r="G214" s="16"/>
      <c r="H214" s="112"/>
    </row>
    <row r="215" spans="2:8" ht="15.6">
      <c r="B215" s="134"/>
      <c r="C215" s="16"/>
      <c r="D215" s="137"/>
      <c r="E215" s="138"/>
      <c r="F215" s="138"/>
      <c r="G215" s="16"/>
      <c r="H215" s="112"/>
    </row>
    <row r="216" spans="2:8" ht="15.6">
      <c r="B216" s="134"/>
      <c r="C216" s="16"/>
      <c r="D216" s="137"/>
      <c r="E216" s="138"/>
      <c r="F216" s="138"/>
      <c r="G216" s="16"/>
      <c r="H216" s="112"/>
    </row>
    <row r="217" spans="2:8" ht="15.6">
      <c r="B217" s="134"/>
      <c r="C217" s="16"/>
      <c r="D217" s="137"/>
      <c r="E217" s="138"/>
      <c r="F217" s="138"/>
      <c r="G217" s="16"/>
      <c r="H217" s="112"/>
    </row>
    <row r="218" spans="2:8" ht="15.6">
      <c r="B218" s="134"/>
      <c r="C218" s="16"/>
      <c r="D218" s="137"/>
      <c r="E218" s="138"/>
      <c r="F218" s="138"/>
      <c r="G218" s="16"/>
      <c r="H218" s="112"/>
    </row>
    <row r="219" spans="2:8" ht="15.9" thickBot="1">
      <c r="B219" s="135"/>
      <c r="C219" s="17"/>
      <c r="D219" s="135"/>
      <c r="E219" s="139"/>
      <c r="F219" s="139"/>
      <c r="G219" s="17"/>
      <c r="H219" s="112"/>
    </row>
    <row r="220" spans="2:8" ht="15.9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5.9" thickBot="1">
      <c r="B221" s="5"/>
      <c r="C221" s="3"/>
      <c r="D221" s="5"/>
      <c r="E221" s="5"/>
      <c r="H221" s="112"/>
    </row>
    <row r="222" spans="2:8" ht="14.5" customHeight="1">
      <c r="B222" s="321" t="str">
        <f>AÑO!A31</f>
        <v>Deportes</v>
      </c>
      <c r="C222" s="310"/>
      <c r="D222" s="310"/>
      <c r="E222" s="310"/>
      <c r="F222" s="310"/>
      <c r="G222" s="311"/>
      <c r="H222" s="112"/>
    </row>
    <row r="223" spans="2:8" ht="15" customHeight="1" thickBot="1">
      <c r="B223" s="312"/>
      <c r="C223" s="313"/>
      <c r="D223" s="313"/>
      <c r="E223" s="313"/>
      <c r="F223" s="313"/>
      <c r="G223" s="314"/>
      <c r="H223" s="112"/>
    </row>
    <row r="224" spans="2:8" ht="15.6">
      <c r="B224" s="322" t="s">
        <v>8</v>
      </c>
      <c r="C224" s="323"/>
      <c r="D224" s="324" t="s">
        <v>9</v>
      </c>
      <c r="E224" s="324"/>
      <c r="F224" s="324"/>
      <c r="G224" s="323"/>
      <c r="H224" s="112"/>
    </row>
    <row r="225" spans="2:8" ht="15.6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6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6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6">
      <c r="B228" s="134"/>
      <c r="C228" s="16"/>
      <c r="D228" s="137"/>
      <c r="E228" s="138"/>
      <c r="F228" s="138"/>
      <c r="G228" s="16"/>
      <c r="H228" s="112"/>
    </row>
    <row r="229" spans="2:8" ht="15.6">
      <c r="B229" s="134"/>
      <c r="C229" s="16"/>
      <c r="D229" s="137"/>
      <c r="E229" s="138"/>
      <c r="F229" s="138"/>
      <c r="G229" s="16"/>
      <c r="H229" s="112"/>
    </row>
    <row r="230" spans="2:8" ht="15.6">
      <c r="B230" s="134"/>
      <c r="C230" s="16"/>
      <c r="D230" s="137"/>
      <c r="E230" s="138"/>
      <c r="F230" s="138"/>
      <c r="G230" s="16"/>
      <c r="H230" s="112"/>
    </row>
    <row r="231" spans="2:8" ht="15.6">
      <c r="B231" s="134"/>
      <c r="C231" s="16"/>
      <c r="D231" s="137"/>
      <c r="E231" s="138"/>
      <c r="F231" s="138"/>
      <c r="G231" s="16"/>
      <c r="H231" s="112"/>
    </row>
    <row r="232" spans="2:8" ht="15.6">
      <c r="B232" s="134"/>
      <c r="C232" s="16"/>
      <c r="D232" s="137"/>
      <c r="E232" s="138"/>
      <c r="F232" s="138"/>
      <c r="G232" s="16"/>
      <c r="H232" s="112"/>
    </row>
    <row r="233" spans="2:8" ht="15.6">
      <c r="B233" s="134"/>
      <c r="C233" s="16"/>
      <c r="D233" s="137"/>
      <c r="E233" s="138"/>
      <c r="F233" s="138"/>
      <c r="G233" s="16"/>
      <c r="H233" s="112"/>
    </row>
    <row r="234" spans="2:8" ht="15.6">
      <c r="B234" s="134"/>
      <c r="C234" s="16"/>
      <c r="D234" s="137"/>
      <c r="E234" s="138"/>
      <c r="F234" s="138"/>
      <c r="G234" s="16"/>
      <c r="H234" s="112"/>
    </row>
    <row r="235" spans="2:8" ht="15.6">
      <c r="B235" s="134"/>
      <c r="C235" s="16"/>
      <c r="D235" s="137"/>
      <c r="E235" s="138"/>
      <c r="F235" s="138"/>
      <c r="G235" s="16"/>
      <c r="H235" s="112"/>
    </row>
    <row r="236" spans="2:8" ht="15.6">
      <c r="B236" s="134"/>
      <c r="C236" s="16"/>
      <c r="D236" s="137"/>
      <c r="E236" s="138"/>
      <c r="F236" s="138"/>
      <c r="G236" s="16"/>
      <c r="H236" s="112"/>
    </row>
    <row r="237" spans="2:8" ht="15.6">
      <c r="B237" s="134"/>
      <c r="C237" s="16"/>
      <c r="D237" s="137"/>
      <c r="E237" s="138"/>
      <c r="F237" s="138"/>
      <c r="G237" s="16"/>
      <c r="H237" s="112"/>
    </row>
    <row r="238" spans="2:8" ht="15.6">
      <c r="B238" s="134"/>
      <c r="C238" s="16"/>
      <c r="D238" s="137"/>
      <c r="E238" s="138"/>
      <c r="F238" s="138"/>
      <c r="G238" s="16"/>
      <c r="H238" s="112"/>
    </row>
    <row r="239" spans="2:8" ht="15.9" thickBot="1">
      <c r="B239" s="135"/>
      <c r="C239" s="17"/>
      <c r="D239" s="135"/>
      <c r="E239" s="139"/>
      <c r="F239" s="139"/>
      <c r="G239" s="17"/>
      <c r="H239" s="112"/>
    </row>
    <row r="240" spans="2:8" ht="15.9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5.9" thickBot="1">
      <c r="B241" s="5"/>
      <c r="C241" s="3"/>
      <c r="D241" s="5"/>
      <c r="E241" s="5"/>
      <c r="H241" s="112"/>
    </row>
    <row r="242" spans="2:8" ht="14.5" customHeight="1">
      <c r="B242" s="321" t="str">
        <f>AÑO!A32</f>
        <v>Hogar</v>
      </c>
      <c r="C242" s="310"/>
      <c r="D242" s="310"/>
      <c r="E242" s="310"/>
      <c r="F242" s="310"/>
      <c r="G242" s="311"/>
      <c r="H242" s="112"/>
    </row>
    <row r="243" spans="2:8" ht="15" customHeight="1" thickBot="1">
      <c r="B243" s="312"/>
      <c r="C243" s="313"/>
      <c r="D243" s="313"/>
      <c r="E243" s="313"/>
      <c r="F243" s="313"/>
      <c r="G243" s="314"/>
      <c r="H243" s="112"/>
    </row>
    <row r="244" spans="2:8" ht="15" customHeight="1">
      <c r="B244" s="322" t="s">
        <v>8</v>
      </c>
      <c r="C244" s="323"/>
      <c r="D244" s="324" t="s">
        <v>9</v>
      </c>
      <c r="E244" s="324"/>
      <c r="F244" s="324"/>
      <c r="G244" s="323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/>
      <c r="F246" s="138"/>
      <c r="G246" s="16"/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6">
      <c r="B248" s="134"/>
      <c r="C248" s="16"/>
      <c r="D248" s="137"/>
      <c r="E248" s="138"/>
      <c r="F248" s="138"/>
      <c r="G248" s="16"/>
      <c r="H248" s="112"/>
    </row>
    <row r="249" spans="2:8" ht="15.6">
      <c r="B249" s="134"/>
      <c r="C249" s="16"/>
      <c r="D249" s="137"/>
      <c r="E249" s="138"/>
      <c r="F249" s="138"/>
      <c r="G249" s="16"/>
      <c r="H249" s="112"/>
    </row>
    <row r="250" spans="2:8" ht="15.6">
      <c r="B250" s="134"/>
      <c r="C250" s="16"/>
      <c r="D250" s="137"/>
      <c r="E250" s="138"/>
      <c r="F250" s="138"/>
      <c r="G250" s="16"/>
      <c r="H250" s="112"/>
    </row>
    <row r="251" spans="2:8" ht="15.6">
      <c r="B251" s="134"/>
      <c r="C251" s="16"/>
      <c r="D251" s="137"/>
      <c r="E251" s="138"/>
      <c r="F251" s="138"/>
      <c r="G251" s="16"/>
      <c r="H251" s="112"/>
    </row>
    <row r="252" spans="2:8" ht="15.6">
      <c r="B252" s="134"/>
      <c r="C252" s="16"/>
      <c r="D252" s="137"/>
      <c r="E252" s="138"/>
      <c r="F252" s="138"/>
      <c r="G252" s="16"/>
      <c r="H252" s="112"/>
    </row>
    <row r="253" spans="2:8" ht="15.6">
      <c r="B253" s="134"/>
      <c r="C253" s="16"/>
      <c r="D253" s="137"/>
      <c r="E253" s="138"/>
      <c r="F253" s="138"/>
      <c r="G253" s="16"/>
      <c r="H253" s="112"/>
    </row>
    <row r="254" spans="2:8" ht="15.6">
      <c r="B254" s="134"/>
      <c r="C254" s="16"/>
      <c r="D254" s="137"/>
      <c r="E254" s="138"/>
      <c r="F254" s="138"/>
      <c r="G254" s="16"/>
      <c r="H254" s="112"/>
    </row>
    <row r="255" spans="2:8" ht="15.6">
      <c r="B255" s="134"/>
      <c r="C255" s="16"/>
      <c r="D255" s="137"/>
      <c r="E255" s="138"/>
      <c r="F255" s="138"/>
      <c r="G255" s="16"/>
      <c r="H255" s="112"/>
    </row>
    <row r="256" spans="2:8" ht="15.6">
      <c r="B256" s="134"/>
      <c r="C256" s="16"/>
      <c r="D256" s="137"/>
      <c r="E256" s="138"/>
      <c r="F256" s="138"/>
      <c r="G256" s="16"/>
      <c r="H256" s="112"/>
    </row>
    <row r="257" spans="2:8" ht="15.6">
      <c r="B257" s="134"/>
      <c r="C257" s="16"/>
      <c r="D257" s="137"/>
      <c r="E257" s="138"/>
      <c r="F257" s="138"/>
      <c r="G257" s="16"/>
      <c r="H257" s="112"/>
    </row>
    <row r="258" spans="2:8" ht="15.6">
      <c r="B258" s="134"/>
      <c r="C258" s="16"/>
      <c r="D258" s="137"/>
      <c r="E258" s="138"/>
      <c r="F258" s="138"/>
      <c r="G258" s="16"/>
      <c r="H258" s="112"/>
    </row>
    <row r="259" spans="2:8" ht="15.9" thickBot="1">
      <c r="B259" s="135"/>
      <c r="C259" s="17"/>
      <c r="D259" s="135"/>
      <c r="E259" s="139"/>
      <c r="F259" s="139"/>
      <c r="G259" s="17"/>
      <c r="H259" s="112"/>
    </row>
    <row r="260" spans="2:8" ht="15.9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  <c r="H260" s="112"/>
    </row>
    <row r="261" spans="2:8" ht="15.9" thickBot="1">
      <c r="B261" s="5"/>
      <c r="C261" s="3"/>
      <c r="D261" s="5"/>
      <c r="E261" s="5"/>
      <c r="H261" s="112"/>
    </row>
    <row r="262" spans="2:8" ht="14.5" customHeight="1">
      <c r="B262" s="321" t="str">
        <f>AÑO!A33</f>
        <v>Formación</v>
      </c>
      <c r="C262" s="310"/>
      <c r="D262" s="310"/>
      <c r="E262" s="310"/>
      <c r="F262" s="310"/>
      <c r="G262" s="311"/>
      <c r="H262" s="112"/>
    </row>
    <row r="263" spans="2:8" ht="15" customHeight="1" thickBot="1">
      <c r="B263" s="312"/>
      <c r="C263" s="313"/>
      <c r="D263" s="313"/>
      <c r="E263" s="313"/>
      <c r="F263" s="313"/>
      <c r="G263" s="314"/>
      <c r="H263" s="112"/>
    </row>
    <row r="264" spans="2:8" ht="15.6">
      <c r="B264" s="322" t="s">
        <v>8</v>
      </c>
      <c r="C264" s="323"/>
      <c r="D264" s="324" t="s">
        <v>9</v>
      </c>
      <c r="E264" s="324"/>
      <c r="F264" s="324"/>
      <c r="G264" s="323"/>
      <c r="H264" s="112"/>
    </row>
    <row r="265" spans="2:8" ht="15.6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6">
      <c r="B266" s="133">
        <v>50</v>
      </c>
      <c r="C266" s="19"/>
      <c r="D266" s="137"/>
      <c r="E266" s="138"/>
      <c r="F266" s="138"/>
      <c r="G266" s="16"/>
      <c r="H266" s="112"/>
    </row>
    <row r="267" spans="2:8" ht="15.6">
      <c r="B267" s="134"/>
      <c r="C267" s="16"/>
      <c r="D267" s="137"/>
      <c r="E267" s="138"/>
      <c r="F267" s="138"/>
      <c r="G267" s="16"/>
      <c r="H267" s="112"/>
    </row>
    <row r="268" spans="2:8" ht="15.6">
      <c r="B268" s="134"/>
      <c r="C268" s="16"/>
      <c r="D268" s="137"/>
      <c r="E268" s="138"/>
      <c r="F268" s="138"/>
      <c r="G268" s="16"/>
      <c r="H268" s="112"/>
    </row>
    <row r="269" spans="2:8" ht="15.6">
      <c r="B269" s="134"/>
      <c r="C269" s="16"/>
      <c r="D269" s="137"/>
      <c r="E269" s="138"/>
      <c r="F269" s="138"/>
      <c r="G269" s="16"/>
      <c r="H269" s="112"/>
    </row>
    <row r="270" spans="2:8" ht="15.6">
      <c r="B270" s="134"/>
      <c r="C270" s="16"/>
      <c r="D270" s="137"/>
      <c r="E270" s="138"/>
      <c r="F270" s="138"/>
      <c r="G270" s="16"/>
      <c r="H270" s="112"/>
    </row>
    <row r="271" spans="2:8" ht="15.6">
      <c r="B271" s="134"/>
      <c r="C271" s="16"/>
      <c r="D271" s="137"/>
      <c r="E271" s="138"/>
      <c r="F271" s="138"/>
      <c r="G271" s="16"/>
      <c r="H271" s="112"/>
    </row>
    <row r="272" spans="2:8" ht="15.6">
      <c r="B272" s="134"/>
      <c r="C272" s="16"/>
      <c r="D272" s="137"/>
      <c r="E272" s="138"/>
      <c r="F272" s="138"/>
      <c r="G272" s="16"/>
      <c r="H272" s="112"/>
    </row>
    <row r="273" spans="2:8" ht="15.6">
      <c r="B273" s="134"/>
      <c r="C273" s="16"/>
      <c r="D273" s="137"/>
      <c r="E273" s="138"/>
      <c r="F273" s="138"/>
      <c r="G273" s="16"/>
      <c r="H273" s="112"/>
    </row>
    <row r="274" spans="2:8" ht="15.6">
      <c r="B274" s="134"/>
      <c r="C274" s="16"/>
      <c r="D274" s="137"/>
      <c r="E274" s="138"/>
      <c r="F274" s="138"/>
      <c r="G274" s="16"/>
      <c r="H274" s="112"/>
    </row>
    <row r="275" spans="2:8" ht="15.6">
      <c r="B275" s="134"/>
      <c r="C275" s="16"/>
      <c r="D275" s="137"/>
      <c r="E275" s="138"/>
      <c r="F275" s="138"/>
      <c r="G275" s="16"/>
      <c r="H275" s="112"/>
    </row>
    <row r="276" spans="2:8" ht="15.6">
      <c r="B276" s="134"/>
      <c r="C276" s="16"/>
      <c r="D276" s="137"/>
      <c r="E276" s="138"/>
      <c r="F276" s="138"/>
      <c r="G276" s="16"/>
      <c r="H276" s="112"/>
    </row>
    <row r="277" spans="2:8" ht="15.6">
      <c r="B277" s="134"/>
      <c r="C277" s="16"/>
      <c r="D277" s="137"/>
      <c r="E277" s="138"/>
      <c r="F277" s="138"/>
      <c r="G277" s="16"/>
      <c r="H277" s="112"/>
    </row>
    <row r="278" spans="2:8" ht="15.6">
      <c r="B278" s="134"/>
      <c r="C278" s="16"/>
      <c r="D278" s="137"/>
      <c r="E278" s="138"/>
      <c r="F278" s="138"/>
      <c r="G278" s="16"/>
      <c r="H278" s="112"/>
    </row>
    <row r="279" spans="2:8" ht="15.9" thickBot="1">
      <c r="B279" s="135"/>
      <c r="C279" s="17"/>
      <c r="D279" s="135"/>
      <c r="E279" s="139"/>
      <c r="F279" s="139"/>
      <c r="G279" s="17"/>
      <c r="H279" s="112"/>
    </row>
    <row r="280" spans="2:8" ht="15.9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5.9" thickBot="1">
      <c r="B281" s="5"/>
      <c r="C281" s="3"/>
      <c r="D281" s="5"/>
      <c r="E281" s="5"/>
      <c r="H281" s="112"/>
    </row>
    <row r="282" spans="2:8" ht="14.5" customHeight="1">
      <c r="B282" s="321" t="str">
        <f>AÑO!A34</f>
        <v>Regalos</v>
      </c>
      <c r="C282" s="310"/>
      <c r="D282" s="310"/>
      <c r="E282" s="310"/>
      <c r="F282" s="310"/>
      <c r="G282" s="311"/>
      <c r="H282" s="112"/>
    </row>
    <row r="283" spans="2:8" ht="15" customHeight="1" thickBot="1">
      <c r="B283" s="312"/>
      <c r="C283" s="313"/>
      <c r="D283" s="313"/>
      <c r="E283" s="313"/>
      <c r="F283" s="313"/>
      <c r="G283" s="314"/>
      <c r="H283" s="112"/>
    </row>
    <row r="284" spans="2:8" ht="15.6">
      <c r="B284" s="322" t="s">
        <v>8</v>
      </c>
      <c r="C284" s="323"/>
      <c r="D284" s="324" t="s">
        <v>9</v>
      </c>
      <c r="E284" s="324"/>
      <c r="F284" s="324"/>
      <c r="G284" s="323"/>
      <c r="H284" s="112"/>
    </row>
    <row r="285" spans="2:8" ht="15.6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6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6">
      <c r="B287" s="134"/>
      <c r="C287" s="16"/>
      <c r="D287" s="137">
        <v>11.43</v>
      </c>
      <c r="E287" s="138"/>
      <c r="F287" s="138"/>
      <c r="G287" s="16" t="s">
        <v>253</v>
      </c>
      <c r="H287" s="112"/>
    </row>
    <row r="288" spans="2:8" ht="15.6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6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6">
      <c r="B290" s="134"/>
      <c r="C290" s="16"/>
      <c r="D290" s="137"/>
      <c r="E290" s="138">
        <v>25</v>
      </c>
      <c r="F290" s="138"/>
      <c r="G290" s="16" t="s">
        <v>286</v>
      </c>
      <c r="H290" s="112"/>
    </row>
    <row r="291" spans="2:8" ht="15.6">
      <c r="B291" s="134"/>
      <c r="C291" s="16"/>
      <c r="D291" s="137"/>
      <c r="E291" s="138">
        <v>137</v>
      </c>
      <c r="F291" s="138"/>
      <c r="G291" s="16" t="s">
        <v>287</v>
      </c>
      <c r="H291" s="112" t="s">
        <v>285</v>
      </c>
    </row>
    <row r="292" spans="2:8" ht="15.6">
      <c r="B292" s="134"/>
      <c r="C292" s="16"/>
      <c r="D292" s="137">
        <v>21.99</v>
      </c>
      <c r="E292" s="138"/>
      <c r="F292" s="138"/>
      <c r="G292" s="16" t="s">
        <v>288</v>
      </c>
      <c r="H292" s="112"/>
    </row>
    <row r="293" spans="2:8" ht="15.6">
      <c r="B293" s="134"/>
      <c r="C293" s="16"/>
      <c r="D293" s="137"/>
      <c r="E293" s="138"/>
      <c r="F293" s="138"/>
      <c r="G293" s="16"/>
      <c r="H293" s="112"/>
    </row>
    <row r="294" spans="2:8" ht="15.6">
      <c r="B294" s="134"/>
      <c r="C294" s="16"/>
      <c r="D294" s="137"/>
      <c r="E294" s="138"/>
      <c r="F294" s="138"/>
      <c r="G294" s="16"/>
      <c r="H294" s="112"/>
    </row>
    <row r="295" spans="2:8" ht="15.6">
      <c r="B295" s="134"/>
      <c r="C295" s="16"/>
      <c r="D295" s="137"/>
      <c r="E295" s="138"/>
      <c r="F295" s="138"/>
      <c r="G295" s="16"/>
      <c r="H295" s="112"/>
    </row>
    <row r="296" spans="2:8" ht="15.6">
      <c r="B296" s="134"/>
      <c r="C296" s="16"/>
      <c r="D296" s="137"/>
      <c r="E296" s="138"/>
      <c r="F296" s="138"/>
      <c r="G296" s="16"/>
      <c r="H296" s="112"/>
    </row>
    <row r="297" spans="2:8" ht="15.6">
      <c r="B297" s="134"/>
      <c r="C297" s="16"/>
      <c r="D297" s="137"/>
      <c r="E297" s="138"/>
      <c r="F297" s="138"/>
      <c r="G297" s="16"/>
      <c r="H297" s="112"/>
    </row>
    <row r="298" spans="2:8" ht="15.6">
      <c r="B298" s="134"/>
      <c r="C298" s="16"/>
      <c r="D298" s="137"/>
      <c r="E298" s="138"/>
      <c r="F298" s="138"/>
      <c r="G298" s="16"/>
      <c r="H298" s="112"/>
    </row>
    <row r="299" spans="2:8" ht="15.9" thickBot="1">
      <c r="B299" s="135"/>
      <c r="C299" s="17"/>
      <c r="D299" s="135"/>
      <c r="E299" s="139"/>
      <c r="F299" s="139"/>
      <c r="G299" s="17"/>
      <c r="H299" s="112"/>
    </row>
    <row r="300" spans="2:8" ht="15.9" thickBot="1">
      <c r="B300" s="135">
        <f>SUM(B286:B299)</f>
        <v>90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0</v>
      </c>
      <c r="G300" s="17" t="s">
        <v>53</v>
      </c>
      <c r="H300" s="112"/>
    </row>
    <row r="301" spans="2:8" ht="15.9" thickBot="1">
      <c r="B301" s="5"/>
      <c r="C301" s="3"/>
      <c r="D301" s="5"/>
      <c r="E301" s="5"/>
      <c r="H301" s="112"/>
    </row>
    <row r="302" spans="2:8" ht="14.5" customHeight="1">
      <c r="B302" s="321" t="str">
        <f>AÑO!A35</f>
        <v>Salud</v>
      </c>
      <c r="C302" s="310"/>
      <c r="D302" s="310"/>
      <c r="E302" s="310"/>
      <c r="F302" s="310"/>
      <c r="G302" s="311"/>
      <c r="H302" s="112"/>
    </row>
    <row r="303" spans="2:8" ht="15" customHeight="1" thickBot="1">
      <c r="B303" s="312"/>
      <c r="C303" s="313"/>
      <c r="D303" s="313"/>
      <c r="E303" s="313"/>
      <c r="F303" s="313"/>
      <c r="G303" s="314"/>
      <c r="H303" s="112"/>
    </row>
    <row r="304" spans="2:8" ht="15.6">
      <c r="B304" s="322" t="s">
        <v>8</v>
      </c>
      <c r="C304" s="323"/>
      <c r="D304" s="324" t="s">
        <v>9</v>
      </c>
      <c r="E304" s="324"/>
      <c r="F304" s="324"/>
      <c r="G304" s="323"/>
      <c r="H304" s="112"/>
    </row>
    <row r="305" spans="2:8" ht="15.6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6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6">
      <c r="B307" s="134"/>
      <c r="C307" s="27"/>
      <c r="D307" s="137"/>
      <c r="E307" s="138"/>
      <c r="F307" s="138"/>
      <c r="G307" s="16"/>
      <c r="H307" s="112"/>
    </row>
    <row r="308" spans="2:8" ht="15.6">
      <c r="B308" s="134"/>
      <c r="C308" s="27"/>
      <c r="D308" s="137"/>
      <c r="E308" s="138"/>
      <c r="F308" s="138"/>
      <c r="G308" s="16"/>
      <c r="H308" s="112"/>
    </row>
    <row r="309" spans="2:8" ht="15.6">
      <c r="B309" s="134"/>
      <c r="C309" s="16"/>
      <c r="D309" s="137"/>
      <c r="E309" s="138"/>
      <c r="F309" s="138"/>
      <c r="G309" s="16"/>
      <c r="H309" s="112"/>
    </row>
    <row r="310" spans="2:8" ht="15.6">
      <c r="B310" s="134"/>
      <c r="C310" s="16"/>
      <c r="D310" s="137"/>
      <c r="E310" s="138"/>
      <c r="F310" s="138"/>
      <c r="G310" s="16"/>
      <c r="H310" s="112"/>
    </row>
    <row r="311" spans="2:8" ht="15.6">
      <c r="B311" s="134"/>
      <c r="C311" s="16"/>
      <c r="D311" s="137"/>
      <c r="E311" s="138"/>
      <c r="F311" s="138"/>
      <c r="G311" s="16"/>
      <c r="H311" s="112"/>
    </row>
    <row r="312" spans="2:8" ht="15.6">
      <c r="B312" s="134"/>
      <c r="C312" s="16"/>
      <c r="D312" s="137"/>
      <c r="E312" s="138"/>
      <c r="F312" s="138"/>
      <c r="G312" s="16"/>
      <c r="H312" s="112"/>
    </row>
    <row r="313" spans="2:8" ht="15.6">
      <c r="B313" s="134"/>
      <c r="C313" s="16"/>
      <c r="D313" s="137"/>
      <c r="E313" s="138"/>
      <c r="F313" s="138"/>
      <c r="G313" s="16"/>
      <c r="H313" s="112"/>
    </row>
    <row r="314" spans="2:8" ht="15.6">
      <c r="B314" s="134"/>
      <c r="C314" s="16"/>
      <c r="D314" s="137"/>
      <c r="E314" s="138"/>
      <c r="F314" s="138"/>
      <c r="G314" s="16"/>
      <c r="H314" s="112"/>
    </row>
    <row r="315" spans="2:8" ht="15.6">
      <c r="B315" s="134"/>
      <c r="C315" s="16"/>
      <c r="D315" s="137"/>
      <c r="E315" s="138"/>
      <c r="F315" s="138"/>
      <c r="G315" s="16"/>
      <c r="H315" s="112"/>
    </row>
    <row r="316" spans="2:8" ht="15.6">
      <c r="B316" s="134"/>
      <c r="C316" s="16"/>
      <c r="D316" s="137"/>
      <c r="E316" s="138"/>
      <c r="F316" s="138"/>
      <c r="G316" s="16"/>
      <c r="H316" s="112"/>
    </row>
    <row r="317" spans="2:8" ht="15.6">
      <c r="B317" s="134"/>
      <c r="C317" s="16"/>
      <c r="D317" s="137"/>
      <c r="E317" s="138"/>
      <c r="F317" s="138"/>
      <c r="G317" s="16"/>
      <c r="H317" s="112"/>
    </row>
    <row r="318" spans="2:8" ht="15.6">
      <c r="B318" s="134"/>
      <c r="C318" s="16"/>
      <c r="D318" s="137"/>
      <c r="E318" s="138"/>
      <c r="F318" s="138"/>
      <c r="G318" s="16"/>
      <c r="H318" s="112"/>
    </row>
    <row r="319" spans="2:8" ht="15.9" thickBot="1">
      <c r="B319" s="135"/>
      <c r="C319" s="17"/>
      <c r="D319" s="135"/>
      <c r="E319" s="139"/>
      <c r="F319" s="139"/>
      <c r="G319" s="17"/>
      <c r="H319" s="112"/>
    </row>
    <row r="320" spans="2:8" ht="15.9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5.9" thickBot="1">
      <c r="H321" s="112"/>
    </row>
    <row r="322" spans="2:8" ht="14.5" customHeight="1">
      <c r="B322" s="321" t="str">
        <f>AÑO!A36</f>
        <v>Martina</v>
      </c>
      <c r="C322" s="310"/>
      <c r="D322" s="310"/>
      <c r="E322" s="310"/>
      <c r="F322" s="310"/>
      <c r="G322" s="311"/>
      <c r="H322" s="112"/>
    </row>
    <row r="323" spans="2:8" ht="15" customHeight="1" thickBot="1">
      <c r="B323" s="312"/>
      <c r="C323" s="313"/>
      <c r="D323" s="313"/>
      <c r="E323" s="313"/>
      <c r="F323" s="313"/>
      <c r="G323" s="314"/>
      <c r="H323" s="112"/>
    </row>
    <row r="324" spans="2:8" ht="15.6">
      <c r="B324" s="322" t="s">
        <v>8</v>
      </c>
      <c r="C324" s="323"/>
      <c r="D324" s="324" t="s">
        <v>9</v>
      </c>
      <c r="E324" s="324"/>
      <c r="F324" s="324"/>
      <c r="G324" s="323"/>
      <c r="H324" s="112"/>
    </row>
    <row r="325" spans="2:8" ht="15.6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6">
      <c r="B326" s="133">
        <v>90</v>
      </c>
      <c r="C326" s="19"/>
      <c r="D326" s="137"/>
      <c r="E326" s="138"/>
      <c r="F326" s="138"/>
      <c r="G326" s="16"/>
      <c r="H326" s="112"/>
    </row>
    <row r="327" spans="2:8" ht="15.6">
      <c r="B327" s="134"/>
      <c r="C327" s="16"/>
      <c r="D327" s="137"/>
      <c r="E327" s="138"/>
      <c r="F327" s="138"/>
      <c r="G327" s="16"/>
      <c r="H327" s="112"/>
    </row>
    <row r="328" spans="2:8" ht="15.6">
      <c r="B328" s="134"/>
      <c r="C328" s="16"/>
      <c r="D328" s="137"/>
      <c r="E328" s="138"/>
      <c r="F328" s="138"/>
      <c r="G328" s="16"/>
      <c r="H328" s="112"/>
    </row>
    <row r="329" spans="2:8" ht="15.6">
      <c r="B329" s="134"/>
      <c r="C329" s="16"/>
      <c r="D329" s="137"/>
      <c r="E329" s="138"/>
      <c r="F329" s="138"/>
      <c r="G329" s="16"/>
      <c r="H329" s="112"/>
    </row>
    <row r="330" spans="2:8" ht="15.6">
      <c r="B330" s="134"/>
      <c r="C330" s="16"/>
      <c r="D330" s="137"/>
      <c r="E330" s="138"/>
      <c r="F330" s="138"/>
      <c r="G330" s="16"/>
      <c r="H330" s="112"/>
    </row>
    <row r="331" spans="2:8" ht="15.6">
      <c r="B331" s="134"/>
      <c r="C331" s="16"/>
      <c r="D331" s="137"/>
      <c r="E331" s="138"/>
      <c r="F331" s="138"/>
      <c r="G331" s="16"/>
      <c r="H331" s="112"/>
    </row>
    <row r="332" spans="2:8" ht="15.6">
      <c r="B332" s="134"/>
      <c r="C332" s="16"/>
      <c r="D332" s="137"/>
      <c r="E332" s="138"/>
      <c r="F332" s="138"/>
      <c r="G332" s="16"/>
      <c r="H332" s="112"/>
    </row>
    <row r="333" spans="2:8" ht="15.6">
      <c r="B333" s="134"/>
      <c r="C333" s="16"/>
      <c r="D333" s="137"/>
      <c r="E333" s="138"/>
      <c r="F333" s="138"/>
      <c r="G333" s="16"/>
      <c r="H333" s="112"/>
    </row>
    <row r="334" spans="2:8" ht="15.6">
      <c r="B334" s="134"/>
      <c r="C334" s="16"/>
      <c r="D334" s="137"/>
      <c r="E334" s="138"/>
      <c r="F334" s="138"/>
      <c r="G334" s="16"/>
      <c r="H334" s="112"/>
    </row>
    <row r="335" spans="2:8" ht="15.6">
      <c r="B335" s="134"/>
      <c r="C335" s="16"/>
      <c r="D335" s="137"/>
      <c r="E335" s="138"/>
      <c r="F335" s="138"/>
      <c r="G335" s="16"/>
      <c r="H335" s="112"/>
    </row>
    <row r="336" spans="2:8" ht="15.6">
      <c r="B336" s="134"/>
      <c r="C336" s="16"/>
      <c r="D336" s="137"/>
      <c r="E336" s="138"/>
      <c r="F336" s="138"/>
      <c r="G336" s="16"/>
      <c r="H336" s="112"/>
    </row>
    <row r="337" spans="2:8" ht="15.6">
      <c r="B337" s="134"/>
      <c r="C337" s="16"/>
      <c r="D337" s="137"/>
      <c r="E337" s="138"/>
      <c r="F337" s="138"/>
      <c r="G337" s="16"/>
      <c r="H337" s="112"/>
    </row>
    <row r="338" spans="2:8" ht="15.6">
      <c r="B338" s="134"/>
      <c r="C338" s="16"/>
      <c r="D338" s="137"/>
      <c r="E338" s="138"/>
      <c r="F338" s="138"/>
      <c r="G338" s="16"/>
      <c r="H338" s="112"/>
    </row>
    <row r="339" spans="2:8" ht="15.9" thickBot="1">
      <c r="B339" s="135"/>
      <c r="C339" s="17"/>
      <c r="D339" s="135"/>
      <c r="E339" s="139"/>
      <c r="F339" s="139"/>
      <c r="G339" s="17"/>
      <c r="H339" s="112"/>
    </row>
    <row r="340" spans="2:8" ht="15.9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5.9" thickBot="1">
      <c r="B341" s="5"/>
      <c r="C341" s="3"/>
      <c r="D341" s="5"/>
      <c r="E341" s="5"/>
      <c r="H341" s="112"/>
    </row>
    <row r="342" spans="2:8" ht="14.5" customHeight="1">
      <c r="B342" s="321" t="str">
        <f>AÑO!A37</f>
        <v>Impuestos</v>
      </c>
      <c r="C342" s="310"/>
      <c r="D342" s="310"/>
      <c r="E342" s="310"/>
      <c r="F342" s="310"/>
      <c r="G342" s="311"/>
      <c r="H342" s="112"/>
    </row>
    <row r="343" spans="2:8" ht="15" customHeight="1" thickBot="1">
      <c r="B343" s="312"/>
      <c r="C343" s="313"/>
      <c r="D343" s="313"/>
      <c r="E343" s="313"/>
      <c r="F343" s="313"/>
      <c r="G343" s="314"/>
      <c r="H343" s="112"/>
    </row>
    <row r="344" spans="2:8" ht="15.6">
      <c r="B344" s="322" t="s">
        <v>8</v>
      </c>
      <c r="C344" s="323"/>
      <c r="D344" s="324" t="s">
        <v>9</v>
      </c>
      <c r="E344" s="324"/>
      <c r="F344" s="324"/>
      <c r="G344" s="323"/>
      <c r="H344" s="112"/>
    </row>
    <row r="345" spans="2:8" ht="15.6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6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6">
      <c r="B347" s="134"/>
      <c r="C347" s="16"/>
      <c r="D347" s="137"/>
      <c r="E347" s="138"/>
      <c r="F347" s="138"/>
      <c r="G347" s="16"/>
      <c r="H347" s="112"/>
    </row>
    <row r="348" spans="2:8" ht="15.6">
      <c r="B348" s="134"/>
      <c r="C348" s="16"/>
      <c r="D348" s="137"/>
      <c r="E348" s="138"/>
      <c r="F348" s="138"/>
      <c r="G348" s="16"/>
      <c r="H348" s="112"/>
    </row>
    <row r="349" spans="2:8" ht="15.6">
      <c r="B349" s="134"/>
      <c r="C349" s="16"/>
      <c r="D349" s="137"/>
      <c r="E349" s="138"/>
      <c r="F349" s="138"/>
      <c r="G349" s="16"/>
      <c r="H349" s="112"/>
    </row>
    <row r="350" spans="2:8" ht="15.6">
      <c r="B350" s="134"/>
      <c r="C350" s="16"/>
      <c r="D350" s="137"/>
      <c r="E350" s="138"/>
      <c r="F350" s="138"/>
      <c r="G350" s="16"/>
      <c r="H350" s="112"/>
    </row>
    <row r="351" spans="2:8" ht="15.6">
      <c r="B351" s="134"/>
      <c r="C351" s="16"/>
      <c r="D351" s="137"/>
      <c r="E351" s="138"/>
      <c r="F351" s="138"/>
      <c r="G351" s="16"/>
      <c r="H351" s="112"/>
    </row>
    <row r="352" spans="2:8" ht="15.6">
      <c r="B352" s="134"/>
      <c r="C352" s="16"/>
      <c r="D352" s="137"/>
      <c r="E352" s="138"/>
      <c r="F352" s="138"/>
      <c r="G352" s="16"/>
      <c r="H352" s="112"/>
    </row>
    <row r="353" spans="2:8" ht="15.6">
      <c r="B353" s="134"/>
      <c r="C353" s="16"/>
      <c r="D353" s="137"/>
      <c r="E353" s="138"/>
      <c r="F353" s="138"/>
      <c r="G353" s="16"/>
      <c r="H353" s="112"/>
    </row>
    <row r="354" spans="2:8" ht="15.6">
      <c r="B354" s="134"/>
      <c r="C354" s="16"/>
      <c r="D354" s="137"/>
      <c r="E354" s="138"/>
      <c r="F354" s="138"/>
      <c r="G354" s="16"/>
      <c r="H354" s="112"/>
    </row>
    <row r="355" spans="2:8" ht="15.6">
      <c r="B355" s="134"/>
      <c r="C355" s="16"/>
      <c r="D355" s="137"/>
      <c r="E355" s="138"/>
      <c r="F355" s="138"/>
      <c r="G355" s="16"/>
      <c r="H355" s="112"/>
    </row>
    <row r="356" spans="2:8" ht="15.6">
      <c r="B356" s="134"/>
      <c r="C356" s="16"/>
      <c r="D356" s="137"/>
      <c r="E356" s="138"/>
      <c r="F356" s="138"/>
      <c r="G356" s="16"/>
      <c r="H356" s="112"/>
    </row>
    <row r="357" spans="2:8" ht="15.6">
      <c r="B357" s="134"/>
      <c r="C357" s="16"/>
      <c r="D357" s="137"/>
      <c r="E357" s="138"/>
      <c r="F357" s="138"/>
      <c r="G357" s="16"/>
      <c r="H357" s="112"/>
    </row>
    <row r="358" spans="2:8" ht="15.6">
      <c r="B358" s="134"/>
      <c r="C358" s="16"/>
      <c r="D358" s="137"/>
      <c r="E358" s="138"/>
      <c r="F358" s="138"/>
      <c r="G358" s="16"/>
      <c r="H358" s="112"/>
    </row>
    <row r="359" spans="2:8" ht="15.9" thickBot="1">
      <c r="B359" s="135"/>
      <c r="C359" s="17"/>
      <c r="D359" s="135"/>
      <c r="E359" s="139"/>
      <c r="F359" s="139"/>
      <c r="G359" s="17"/>
      <c r="H359" s="112"/>
    </row>
    <row r="360" spans="2:8" ht="15.9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5.9" thickBot="1">
      <c r="B361" s="5"/>
      <c r="C361" s="3"/>
      <c r="D361" s="5"/>
      <c r="E361" s="5"/>
      <c r="H361" s="112"/>
    </row>
    <row r="362" spans="2:8" ht="14.5" customHeight="1">
      <c r="B362" s="321" t="str">
        <f>AÑO!A38</f>
        <v>Gastos Curros</v>
      </c>
      <c r="C362" s="310"/>
      <c r="D362" s="310"/>
      <c r="E362" s="310"/>
      <c r="F362" s="310"/>
      <c r="G362" s="311"/>
      <c r="H362" s="112"/>
    </row>
    <row r="363" spans="2:8" ht="15" customHeight="1" thickBot="1">
      <c r="B363" s="312"/>
      <c r="C363" s="313"/>
      <c r="D363" s="313"/>
      <c r="E363" s="313"/>
      <c r="F363" s="313"/>
      <c r="G363" s="314"/>
      <c r="H363" s="112"/>
    </row>
    <row r="364" spans="2:8" ht="15.6">
      <c r="B364" s="322" t="s">
        <v>8</v>
      </c>
      <c r="C364" s="323"/>
      <c r="D364" s="324" t="s">
        <v>9</v>
      </c>
      <c r="E364" s="324"/>
      <c r="F364" s="324"/>
      <c r="G364" s="323"/>
      <c r="H364" s="112"/>
    </row>
    <row r="365" spans="2:8" ht="15.6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6">
      <c r="B366" s="133">
        <v>70</v>
      </c>
      <c r="C366" s="19" t="s">
        <v>33</v>
      </c>
      <c r="D366" s="137">
        <f>4.45</f>
        <v>4.45</v>
      </c>
      <c r="E366" s="138"/>
      <c r="F366" s="138">
        <f>4.45+3.4+4.5+3.4+5+4.5+4.45+3.4</f>
        <v>33.1</v>
      </c>
      <c r="G366" s="31" t="s">
        <v>67</v>
      </c>
      <c r="H366" s="112"/>
    </row>
    <row r="367" spans="2:8" ht="15.6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6">
      <c r="B368" s="134"/>
      <c r="C368" s="16"/>
      <c r="D368" s="137"/>
      <c r="E368" s="138"/>
      <c r="F368" s="138"/>
      <c r="G368" s="16"/>
      <c r="H368" s="112"/>
    </row>
    <row r="369" spans="2:8" ht="15.6">
      <c r="B369" s="134"/>
      <c r="C369" s="16"/>
      <c r="D369" s="137"/>
      <c r="E369" s="138"/>
      <c r="F369" s="138"/>
      <c r="G369" s="16"/>
      <c r="H369" s="112"/>
    </row>
    <row r="370" spans="2:8" ht="15.6">
      <c r="B370" s="134"/>
      <c r="C370" s="16"/>
      <c r="D370" s="137"/>
      <c r="E370" s="138"/>
      <c r="F370" s="138"/>
      <c r="G370" s="16"/>
      <c r="H370" s="112"/>
    </row>
    <row r="371" spans="2:8" ht="15.6">
      <c r="B371" s="134"/>
      <c r="C371" s="16"/>
      <c r="D371" s="137"/>
      <c r="E371" s="138"/>
      <c r="F371" s="138"/>
      <c r="G371" s="16"/>
      <c r="H371" s="112"/>
    </row>
    <row r="372" spans="2:8" ht="15.6">
      <c r="B372" s="134"/>
      <c r="C372" s="16"/>
      <c r="D372" s="137"/>
      <c r="E372" s="138"/>
      <c r="F372" s="138"/>
      <c r="G372" s="16"/>
      <c r="H372" s="112"/>
    </row>
    <row r="373" spans="2:8" ht="15.6">
      <c r="B373" s="134"/>
      <c r="C373" s="16"/>
      <c r="D373" s="137"/>
      <c r="E373" s="138"/>
      <c r="F373" s="138"/>
      <c r="G373" s="16"/>
      <c r="H373" s="112"/>
    </row>
    <row r="374" spans="2:8" ht="15.6">
      <c r="B374" s="134"/>
      <c r="C374" s="16"/>
      <c r="D374" s="137"/>
      <c r="E374" s="138"/>
      <c r="F374" s="138"/>
      <c r="G374" s="16"/>
      <c r="H374" s="112"/>
    </row>
    <row r="375" spans="2:8" ht="15.6">
      <c r="B375" s="134"/>
      <c r="C375" s="16"/>
      <c r="D375" s="137"/>
      <c r="E375" s="138"/>
      <c r="F375" s="138"/>
      <c r="G375" s="16"/>
      <c r="H375" s="112"/>
    </row>
    <row r="376" spans="2:8" ht="15.6">
      <c r="B376" s="134"/>
      <c r="C376" s="16"/>
      <c r="D376" s="137"/>
      <c r="E376" s="138"/>
      <c r="F376" s="138"/>
      <c r="G376" s="16"/>
      <c r="H376" s="112"/>
    </row>
    <row r="377" spans="2:8" ht="15.6">
      <c r="B377" s="134"/>
      <c r="C377" s="16"/>
      <c r="D377" s="137"/>
      <c r="E377" s="138"/>
      <c r="F377" s="138"/>
      <c r="G377" s="16"/>
      <c r="H377" s="112"/>
    </row>
    <row r="378" spans="2:8" ht="15.6">
      <c r="B378" s="134"/>
      <c r="C378" s="16"/>
      <c r="D378" s="137"/>
      <c r="E378" s="138"/>
      <c r="F378" s="138"/>
      <c r="G378" s="16"/>
      <c r="H378" s="112"/>
    </row>
    <row r="379" spans="2:8" ht="15.9" thickBot="1">
      <c r="B379" s="135"/>
      <c r="C379" s="17"/>
      <c r="D379" s="135"/>
      <c r="E379" s="139"/>
      <c r="F379" s="139"/>
      <c r="G379" s="17"/>
      <c r="H379" s="112"/>
    </row>
    <row r="380" spans="2:8" ht="15.9" thickBot="1">
      <c r="B380" s="135">
        <f>SUM(B366:B379)</f>
        <v>70</v>
      </c>
      <c r="C380" s="17" t="s">
        <v>53</v>
      </c>
      <c r="D380" s="135">
        <f>SUM(D366:D379)</f>
        <v>7.95</v>
      </c>
      <c r="E380" s="135">
        <f>SUM(E366:E379)</f>
        <v>0</v>
      </c>
      <c r="F380" s="135">
        <f>SUM(F366:F379)</f>
        <v>33.1</v>
      </c>
      <c r="G380" s="17" t="s">
        <v>53</v>
      </c>
      <c r="H380" s="112"/>
    </row>
    <row r="381" spans="2:8" ht="15.9" thickBot="1">
      <c r="B381" s="5"/>
      <c r="C381" s="3"/>
      <c r="D381" s="5"/>
      <c r="E381" s="5"/>
      <c r="H381" s="112"/>
    </row>
    <row r="382" spans="2:8" ht="14.5" customHeight="1">
      <c r="B382" s="321" t="str">
        <f>AÑO!A39</f>
        <v>Dreamed Holidays</v>
      </c>
      <c r="C382" s="310"/>
      <c r="D382" s="310"/>
      <c r="E382" s="310"/>
      <c r="F382" s="310"/>
      <c r="G382" s="311"/>
      <c r="H382" s="112"/>
    </row>
    <row r="383" spans="2:8" ht="15" customHeight="1" thickBot="1">
      <c r="B383" s="312"/>
      <c r="C383" s="313"/>
      <c r="D383" s="313"/>
      <c r="E383" s="313"/>
      <c r="F383" s="313"/>
      <c r="G383" s="314"/>
      <c r="H383" s="112"/>
    </row>
    <row r="384" spans="2:8" ht="15.6">
      <c r="B384" s="322" t="s">
        <v>8</v>
      </c>
      <c r="C384" s="323"/>
      <c r="D384" s="324" t="s">
        <v>9</v>
      </c>
      <c r="E384" s="324"/>
      <c r="F384" s="324"/>
      <c r="G384" s="323"/>
      <c r="H384" s="112"/>
    </row>
    <row r="385" spans="2:8" ht="15.6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6">
      <c r="B386" s="133">
        <v>20</v>
      </c>
      <c r="C386" s="19"/>
      <c r="D386" s="137"/>
      <c r="E386" s="138"/>
      <c r="F386" s="138"/>
      <c r="G386" s="16"/>
      <c r="H386" s="112"/>
    </row>
    <row r="387" spans="2:8" ht="15.6">
      <c r="B387" s="134"/>
      <c r="C387" s="16"/>
      <c r="D387" s="137"/>
      <c r="E387" s="138"/>
      <c r="F387" s="138"/>
      <c r="G387" s="16"/>
      <c r="H387" s="112"/>
    </row>
    <row r="388" spans="2:8" ht="15.6">
      <c r="B388" s="134"/>
      <c r="C388" s="16"/>
      <c r="D388" s="137"/>
      <c r="E388" s="138"/>
      <c r="F388" s="138"/>
      <c r="G388" s="16"/>
      <c r="H388" s="112"/>
    </row>
    <row r="389" spans="2:8" ht="15.6">
      <c r="B389" s="134"/>
      <c r="C389" s="16"/>
      <c r="D389" s="137"/>
      <c r="E389" s="138"/>
      <c r="F389" s="138"/>
      <c r="G389" s="16"/>
      <c r="H389" s="112"/>
    </row>
    <row r="390" spans="2:8" ht="15.6">
      <c r="B390" s="134"/>
      <c r="C390" s="16"/>
      <c r="D390" s="137"/>
      <c r="E390" s="138"/>
      <c r="F390" s="138"/>
      <c r="G390" s="16"/>
      <c r="H390" s="112"/>
    </row>
    <row r="391" spans="2:8" ht="15.6">
      <c r="B391" s="134"/>
      <c r="C391" s="16"/>
      <c r="D391" s="137"/>
      <c r="E391" s="138"/>
      <c r="F391" s="138"/>
      <c r="G391" s="16"/>
      <c r="H391" s="112"/>
    </row>
    <row r="392" spans="2:8" ht="15.6">
      <c r="B392" s="134"/>
      <c r="C392" s="16"/>
      <c r="D392" s="137"/>
      <c r="E392" s="138"/>
      <c r="F392" s="138"/>
      <c r="G392" s="16"/>
      <c r="H392" s="112"/>
    </row>
    <row r="393" spans="2:8" ht="15.6">
      <c r="B393" s="134"/>
      <c r="C393" s="16"/>
      <c r="D393" s="137"/>
      <c r="E393" s="138"/>
      <c r="F393" s="138"/>
      <c r="G393" s="16"/>
      <c r="H393" s="112"/>
    </row>
    <row r="394" spans="2:8" ht="15.6">
      <c r="B394" s="134"/>
      <c r="C394" s="16"/>
      <c r="D394" s="137"/>
      <c r="E394" s="138"/>
      <c r="F394" s="138"/>
      <c r="G394" s="16"/>
      <c r="H394" s="112"/>
    </row>
    <row r="395" spans="2:8" ht="15.6">
      <c r="B395" s="134"/>
      <c r="C395" s="16"/>
      <c r="D395" s="137"/>
      <c r="E395" s="138"/>
      <c r="F395" s="138"/>
      <c r="G395" s="16"/>
      <c r="H395" s="112"/>
    </row>
    <row r="396" spans="2:8" ht="15.6">
      <c r="B396" s="134"/>
      <c r="C396" s="16"/>
      <c r="D396" s="137"/>
      <c r="E396" s="138"/>
      <c r="F396" s="138"/>
      <c r="G396" s="16"/>
      <c r="H396" s="112"/>
    </row>
    <row r="397" spans="2:8" ht="15.6">
      <c r="B397" s="134"/>
      <c r="C397" s="16"/>
      <c r="D397" s="137"/>
      <c r="E397" s="138"/>
      <c r="F397" s="138"/>
      <c r="G397" s="16"/>
      <c r="H397" s="112"/>
    </row>
    <row r="398" spans="2:8" ht="15.6">
      <c r="B398" s="134"/>
      <c r="C398" s="16"/>
      <c r="D398" s="137"/>
      <c r="E398" s="138"/>
      <c r="F398" s="138"/>
      <c r="G398" s="16"/>
      <c r="H398" s="112"/>
    </row>
    <row r="399" spans="2:8" ht="15.9" thickBot="1">
      <c r="B399" s="135"/>
      <c r="C399" s="17"/>
      <c r="D399" s="135"/>
      <c r="E399" s="139"/>
      <c r="F399" s="139"/>
      <c r="G399" s="17"/>
      <c r="H399" s="112"/>
    </row>
    <row r="400" spans="2:8" ht="15.9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5.9" thickBot="1">
      <c r="B401" s="5"/>
      <c r="C401" s="3"/>
      <c r="D401" s="5"/>
      <c r="E401" s="5"/>
      <c r="H401" s="112"/>
    </row>
    <row r="402" spans="2:8" ht="14.5" customHeight="1">
      <c r="B402" s="321" t="str">
        <f>AÑO!A40</f>
        <v>Financieros</v>
      </c>
      <c r="C402" s="310"/>
      <c r="D402" s="310"/>
      <c r="E402" s="310"/>
      <c r="F402" s="310"/>
      <c r="G402" s="311"/>
      <c r="H402" s="112"/>
    </row>
    <row r="403" spans="2:8" ht="15" customHeight="1" thickBot="1">
      <c r="B403" s="312"/>
      <c r="C403" s="313"/>
      <c r="D403" s="313"/>
      <c r="E403" s="313"/>
      <c r="F403" s="313"/>
      <c r="G403" s="314"/>
      <c r="H403" s="112"/>
    </row>
    <row r="404" spans="2:8" ht="15.6">
      <c r="B404" s="322" t="s">
        <v>8</v>
      </c>
      <c r="C404" s="323"/>
      <c r="D404" s="324" t="s">
        <v>9</v>
      </c>
      <c r="E404" s="324"/>
      <c r="F404" s="324"/>
      <c r="G404" s="323"/>
      <c r="H404" s="112"/>
    </row>
    <row r="405" spans="2:8" ht="15.6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6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6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6">
      <c r="B408" s="134"/>
      <c r="C408" s="16"/>
      <c r="D408" s="137"/>
      <c r="E408" s="138"/>
      <c r="F408" s="138"/>
      <c r="G408" s="16"/>
      <c r="H408" s="112"/>
    </row>
    <row r="409" spans="2:8" ht="15.6">
      <c r="B409" s="134"/>
      <c r="C409" s="16"/>
      <c r="D409" s="137"/>
      <c r="E409" s="138"/>
      <c r="F409" s="138"/>
      <c r="G409" s="16"/>
      <c r="H409" s="112"/>
    </row>
    <row r="410" spans="2:8" ht="15.6">
      <c r="B410" s="134"/>
      <c r="C410" s="16"/>
      <c r="D410" s="137"/>
      <c r="E410" s="138"/>
      <c r="F410" s="138"/>
      <c r="G410" s="16"/>
      <c r="H410" s="112"/>
    </row>
    <row r="411" spans="2:8" ht="15.6">
      <c r="B411" s="134"/>
      <c r="C411" s="16"/>
      <c r="D411" s="137"/>
      <c r="E411" s="138"/>
      <c r="F411" s="138"/>
      <c r="G411" s="16"/>
      <c r="H411" s="112"/>
    </row>
    <row r="412" spans="2:8" ht="15.6">
      <c r="B412" s="134"/>
      <c r="C412" s="16"/>
      <c r="D412" s="137"/>
      <c r="E412" s="138"/>
      <c r="F412" s="138"/>
      <c r="G412" s="16"/>
      <c r="H412" s="112"/>
    </row>
    <row r="413" spans="2:8" ht="15.6">
      <c r="B413" s="134"/>
      <c r="C413" s="16"/>
      <c r="D413" s="137"/>
      <c r="E413" s="138"/>
      <c r="F413" s="138"/>
      <c r="G413" s="16"/>
      <c r="H413" s="112"/>
    </row>
    <row r="414" spans="2:8" ht="15.6">
      <c r="B414" s="134"/>
      <c r="C414" s="16"/>
      <c r="D414" s="137"/>
      <c r="E414" s="138"/>
      <c r="F414" s="138"/>
      <c r="G414" s="16"/>
      <c r="H414" s="112"/>
    </row>
    <row r="415" spans="2:8" ht="15.6">
      <c r="B415" s="134"/>
      <c r="C415" s="16"/>
      <c r="D415" s="137"/>
      <c r="E415" s="138"/>
      <c r="F415" s="138"/>
      <c r="G415" s="16"/>
      <c r="H415" s="112"/>
    </row>
    <row r="416" spans="2:8" ht="15.6">
      <c r="B416" s="134"/>
      <c r="C416" s="16"/>
      <c r="D416" s="137"/>
      <c r="E416" s="138"/>
      <c r="F416" s="138"/>
      <c r="G416" s="16"/>
      <c r="H416" s="112"/>
    </row>
    <row r="417" spans="1:8" ht="15.6">
      <c r="B417" s="134"/>
      <c r="C417" s="16"/>
      <c r="D417" s="137"/>
      <c r="E417" s="138"/>
      <c r="F417" s="138"/>
      <c r="G417" s="16"/>
      <c r="H417" s="112"/>
    </row>
    <row r="418" spans="1:8" ht="15.6">
      <c r="B418" s="134"/>
      <c r="C418" s="16"/>
      <c r="D418" s="137"/>
      <c r="E418" s="138"/>
      <c r="F418" s="138"/>
      <c r="G418" s="16"/>
      <c r="H418" s="112"/>
    </row>
    <row r="419" spans="1:8" ht="15.9" thickBot="1">
      <c r="B419" s="135"/>
      <c r="C419" s="17"/>
      <c r="D419" s="135"/>
      <c r="E419" s="139"/>
      <c r="F419" s="139"/>
      <c r="G419" s="17"/>
      <c r="H419" s="112"/>
    </row>
    <row r="420" spans="1:8" ht="15.9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5.9" thickBot="1">
      <c r="B421" s="5"/>
      <c r="C421" s="3"/>
      <c r="D421" s="5"/>
      <c r="E421" s="5"/>
      <c r="H421" s="112"/>
    </row>
    <row r="422" spans="1:8" ht="14.5" customHeight="1">
      <c r="B422" s="321" t="str">
        <f>AÑO!A41</f>
        <v>Ahorros Colchón</v>
      </c>
      <c r="C422" s="327"/>
      <c r="D422" s="327"/>
      <c r="E422" s="327"/>
      <c r="F422" s="327"/>
      <c r="G422" s="328"/>
      <c r="H422" s="112"/>
    </row>
    <row r="423" spans="1:8" ht="15" customHeight="1" thickBot="1">
      <c r="B423" s="329"/>
      <c r="C423" s="330"/>
      <c r="D423" s="330"/>
      <c r="E423" s="330"/>
      <c r="F423" s="330"/>
      <c r="G423" s="331"/>
      <c r="H423" s="112"/>
    </row>
    <row r="424" spans="1:8" ht="15.6">
      <c r="B424" s="322" t="s">
        <v>8</v>
      </c>
      <c r="C424" s="323"/>
      <c r="D424" s="324" t="s">
        <v>9</v>
      </c>
      <c r="E424" s="324"/>
      <c r="F424" s="324"/>
      <c r="G424" s="323"/>
      <c r="H424" s="112"/>
    </row>
    <row r="425" spans="1:8" ht="15.6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6">
      <c r="A426" s="112">
        <f>3900+115.77+3.85+0.02</f>
        <v>4019.64</v>
      </c>
      <c r="B426" s="134">
        <f>AÑO!C17 -A426</f>
        <v>-3264.38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6">
      <c r="A427" s="113"/>
      <c r="B427" s="134"/>
      <c r="C427" s="16"/>
      <c r="D427" s="137"/>
      <c r="E427" s="138"/>
      <c r="F427" s="138"/>
      <c r="G427" s="16"/>
      <c r="H427" s="112"/>
    </row>
    <row r="428" spans="1:8" ht="15.6">
      <c r="A428" s="113"/>
      <c r="B428" s="134"/>
      <c r="C428" s="16"/>
      <c r="D428" s="137"/>
      <c r="E428" s="138"/>
      <c r="F428" s="138"/>
      <c r="G428" s="16"/>
      <c r="H428" s="112"/>
    </row>
    <row r="429" spans="1:8" ht="15.6">
      <c r="A429" s="113"/>
      <c r="B429" s="134"/>
      <c r="C429" s="16"/>
      <c r="D429" s="137"/>
      <c r="E429" s="138"/>
      <c r="F429" s="138"/>
      <c r="G429" s="16"/>
      <c r="H429" s="112"/>
    </row>
    <row r="430" spans="1:8" ht="15.6">
      <c r="A430" s="113"/>
      <c r="B430" s="134"/>
      <c r="C430" s="16"/>
      <c r="D430" s="137"/>
      <c r="E430" s="138"/>
      <c r="F430" s="138"/>
      <c r="G430" s="16"/>
      <c r="H430" s="112"/>
    </row>
    <row r="431" spans="1:8" ht="15.6">
      <c r="B431" s="134"/>
      <c r="C431" s="16"/>
      <c r="D431" s="137"/>
      <c r="E431" s="138"/>
      <c r="F431" s="138"/>
      <c r="G431" s="16"/>
      <c r="H431" s="112"/>
    </row>
    <row r="432" spans="1:8" ht="15.6">
      <c r="B432" s="134"/>
      <c r="C432" s="16"/>
      <c r="D432" s="137"/>
      <c r="E432" s="138"/>
      <c r="F432" s="138"/>
      <c r="G432" s="16"/>
      <c r="H432" s="112"/>
    </row>
    <row r="433" spans="2:8" ht="15.6">
      <c r="B433" s="134"/>
      <c r="C433" s="16"/>
      <c r="D433" s="137"/>
      <c r="E433" s="138"/>
      <c r="F433" s="138"/>
      <c r="G433" s="16"/>
      <c r="H433" s="112"/>
    </row>
    <row r="434" spans="2:8" ht="15.6">
      <c r="B434" s="134"/>
      <c r="C434" s="16"/>
      <c r="D434" s="137"/>
      <c r="E434" s="138"/>
      <c r="F434" s="138"/>
      <c r="G434" s="16"/>
      <c r="H434" s="112"/>
    </row>
    <row r="435" spans="2:8" ht="15.6">
      <c r="B435" s="134"/>
      <c r="C435" s="16"/>
      <c r="D435" s="137"/>
      <c r="E435" s="138"/>
      <c r="F435" s="138"/>
      <c r="G435" s="16"/>
      <c r="H435" s="112"/>
    </row>
    <row r="436" spans="2:8" ht="15.6">
      <c r="B436" s="134"/>
      <c r="C436" s="16"/>
      <c r="D436" s="137"/>
      <c r="E436" s="138"/>
      <c r="F436" s="138"/>
      <c r="G436" s="16"/>
      <c r="H436" s="112"/>
    </row>
    <row r="437" spans="2:8" ht="15.6">
      <c r="B437" s="134"/>
      <c r="C437" s="16"/>
      <c r="D437" s="137"/>
      <c r="E437" s="138"/>
      <c r="F437" s="138"/>
      <c r="G437" s="16"/>
      <c r="H437" s="112"/>
    </row>
    <row r="438" spans="2:8" ht="15.6">
      <c r="B438" s="134"/>
      <c r="C438" s="16"/>
      <c r="D438" s="137"/>
      <c r="E438" s="138"/>
      <c r="F438" s="138"/>
      <c r="G438" s="16"/>
      <c r="H438" s="112"/>
    </row>
    <row r="439" spans="2:8" ht="15.9" thickBot="1">
      <c r="B439" s="135"/>
      <c r="C439" s="17"/>
      <c r="D439" s="135"/>
      <c r="E439" s="139"/>
      <c r="F439" s="139"/>
      <c r="G439" s="17"/>
      <c r="H439" s="112"/>
    </row>
    <row r="440" spans="2:8" ht="15.9" thickBot="1">
      <c r="B440" s="135">
        <f>SUM(B426:B439)</f>
        <v>-3264.38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5.9" thickBot="1">
      <c r="B441" s="5"/>
      <c r="C441" s="3"/>
      <c r="D441" s="5"/>
      <c r="E441" s="5"/>
      <c r="H441" s="112"/>
    </row>
    <row r="442" spans="2:8" ht="14.5" customHeight="1">
      <c r="B442" s="321" t="str">
        <f>AÑO!A42</f>
        <v>Dinero Bloqueado</v>
      </c>
      <c r="C442" s="327"/>
      <c r="D442" s="327"/>
      <c r="E442" s="327"/>
      <c r="F442" s="327"/>
      <c r="G442" s="328"/>
      <c r="H442" s="112"/>
    </row>
    <row r="443" spans="2:8" ht="15" customHeight="1" thickBot="1">
      <c r="B443" s="329"/>
      <c r="C443" s="330"/>
      <c r="D443" s="330"/>
      <c r="E443" s="330"/>
      <c r="F443" s="330"/>
      <c r="G443" s="331"/>
      <c r="H443" s="112"/>
    </row>
    <row r="444" spans="2:8" ht="15.6">
      <c r="B444" s="322" t="s">
        <v>8</v>
      </c>
      <c r="C444" s="323"/>
      <c r="D444" s="324" t="s">
        <v>9</v>
      </c>
      <c r="E444" s="324"/>
      <c r="F444" s="324"/>
      <c r="G444" s="323"/>
      <c r="H444" s="112"/>
    </row>
    <row r="445" spans="2:8" ht="15.6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6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6">
      <c r="B447" s="134"/>
      <c r="C447" s="16"/>
      <c r="D447" s="137"/>
      <c r="E447" s="138"/>
      <c r="F447" s="138"/>
      <c r="G447" s="16"/>
      <c r="H447" s="112"/>
    </row>
    <row r="448" spans="2:8" ht="15.6">
      <c r="B448" s="134"/>
      <c r="C448" s="16"/>
      <c r="D448" s="137"/>
      <c r="E448" s="138"/>
      <c r="F448" s="138"/>
      <c r="G448" s="16"/>
      <c r="H448" s="112"/>
    </row>
    <row r="449" spans="2:8" ht="15.6">
      <c r="B449" s="134"/>
      <c r="C449" s="16"/>
      <c r="D449" s="137"/>
      <c r="E449" s="138"/>
      <c r="F449" s="138"/>
      <c r="G449" s="16"/>
      <c r="H449" s="112"/>
    </row>
    <row r="450" spans="2:8" ht="15.6">
      <c r="B450" s="134"/>
      <c r="C450" s="16"/>
      <c r="D450" s="137"/>
      <c r="E450" s="138"/>
      <c r="F450" s="138"/>
      <c r="G450" s="16"/>
      <c r="H450" s="112"/>
    </row>
    <row r="451" spans="2:8" ht="15.6">
      <c r="B451" s="134"/>
      <c r="C451" s="16"/>
      <c r="D451" s="137"/>
      <c r="E451" s="138"/>
      <c r="F451" s="138"/>
      <c r="G451" s="16"/>
      <c r="H451" s="112"/>
    </row>
    <row r="452" spans="2:8" ht="15.6">
      <c r="B452" s="134"/>
      <c r="C452" s="16"/>
      <c r="D452" s="137"/>
      <c r="E452" s="138"/>
      <c r="F452" s="138"/>
      <c r="G452" s="16"/>
      <c r="H452" s="112"/>
    </row>
    <row r="453" spans="2:8" ht="15.6">
      <c r="B453" s="134"/>
      <c r="C453" s="16"/>
      <c r="D453" s="137"/>
      <c r="E453" s="138"/>
      <c r="F453" s="138"/>
      <c r="G453" s="16"/>
      <c r="H453" s="112"/>
    </row>
    <row r="454" spans="2:8" ht="15.6">
      <c r="B454" s="134"/>
      <c r="C454" s="16"/>
      <c r="D454" s="137"/>
      <c r="E454" s="138"/>
      <c r="F454" s="138"/>
      <c r="G454" s="16"/>
      <c r="H454" s="112"/>
    </row>
    <row r="455" spans="2:8" ht="15.6">
      <c r="B455" s="134"/>
      <c r="C455" s="16"/>
      <c r="D455" s="137"/>
      <c r="E455" s="138"/>
      <c r="F455" s="138"/>
      <c r="G455" s="16"/>
      <c r="H455" s="112"/>
    </row>
    <row r="456" spans="2:8" ht="15.6">
      <c r="B456" s="134"/>
      <c r="C456" s="16"/>
      <c r="D456" s="137"/>
      <c r="E456" s="138"/>
      <c r="F456" s="138"/>
      <c r="G456" s="16"/>
      <c r="H456" s="112"/>
    </row>
    <row r="457" spans="2:8" ht="15.6">
      <c r="B457" s="134"/>
      <c r="C457" s="16"/>
      <c r="D457" s="137"/>
      <c r="E457" s="138"/>
      <c r="F457" s="138"/>
      <c r="G457" s="16"/>
      <c r="H457" s="112"/>
    </row>
    <row r="458" spans="2:8" ht="15.6">
      <c r="B458" s="134"/>
      <c r="C458" s="16"/>
      <c r="D458" s="137"/>
      <c r="E458" s="138"/>
      <c r="F458" s="138"/>
      <c r="G458" s="16"/>
      <c r="H458" s="112"/>
    </row>
    <row r="459" spans="2:8" ht="15.9" thickBot="1">
      <c r="B459" s="135"/>
      <c r="C459" s="17"/>
      <c r="D459" s="135"/>
      <c r="E459" s="139"/>
      <c r="F459" s="139"/>
      <c r="G459" s="17"/>
      <c r="H459" s="112"/>
    </row>
    <row r="460" spans="2:8" ht="15.9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5.9" thickBot="1">
      <c r="B461" s="5"/>
      <c r="C461" s="3"/>
      <c r="D461" s="5"/>
      <c r="E461" s="5"/>
      <c r="H461" s="112"/>
    </row>
    <row r="462" spans="2:8" ht="14.5" customHeight="1">
      <c r="B462" s="321" t="str">
        <f>AÑO!A43</f>
        <v>Cartama Finanazas</v>
      </c>
      <c r="C462" s="327"/>
      <c r="D462" s="327"/>
      <c r="E462" s="327"/>
      <c r="F462" s="327"/>
      <c r="G462" s="328"/>
      <c r="H462" s="112"/>
    </row>
    <row r="463" spans="2:8" ht="15" customHeight="1" thickBot="1">
      <c r="B463" s="329"/>
      <c r="C463" s="330"/>
      <c r="D463" s="330"/>
      <c r="E463" s="330"/>
      <c r="F463" s="330"/>
      <c r="G463" s="331"/>
      <c r="H463" s="112"/>
    </row>
    <row r="464" spans="2:8" ht="15.6">
      <c r="B464" s="322" t="s">
        <v>8</v>
      </c>
      <c r="C464" s="323"/>
      <c r="D464" s="324" t="s">
        <v>9</v>
      </c>
      <c r="E464" s="324"/>
      <c r="F464" s="324"/>
      <c r="G464" s="323"/>
      <c r="H464" s="112"/>
    </row>
    <row r="465" spans="1:8" ht="15.6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6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6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6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6">
      <c r="B469" s="134"/>
      <c r="C469" s="16"/>
      <c r="D469" s="137"/>
      <c r="E469" s="138"/>
      <c r="F469" s="138"/>
      <c r="G469" s="16"/>
      <c r="H469" s="112"/>
    </row>
    <row r="470" spans="1:8" ht="15.6">
      <c r="B470" s="134"/>
      <c r="C470" s="16"/>
      <c r="D470" s="137"/>
      <c r="E470" s="138"/>
      <c r="F470" s="138"/>
      <c r="G470" s="16"/>
      <c r="H470" s="112"/>
    </row>
    <row r="471" spans="1:8" ht="15.6">
      <c r="B471" s="134"/>
      <c r="C471" s="16"/>
      <c r="D471" s="137"/>
      <c r="E471" s="138"/>
      <c r="F471" s="138"/>
      <c r="G471" s="16"/>
      <c r="H471" s="112"/>
    </row>
    <row r="472" spans="1:8" ht="15.6">
      <c r="B472" s="134"/>
      <c r="C472" s="16"/>
      <c r="D472" s="137"/>
      <c r="E472" s="138"/>
      <c r="F472" s="138"/>
      <c r="G472" s="16"/>
      <c r="H472" s="112"/>
    </row>
    <row r="473" spans="1:8" ht="15.6">
      <c r="B473" s="134"/>
      <c r="C473" s="16"/>
      <c r="D473" s="137"/>
      <c r="E473" s="138"/>
      <c r="F473" s="138"/>
      <c r="G473" s="16"/>
      <c r="H473" s="112"/>
    </row>
    <row r="474" spans="1:8" ht="15.6">
      <c r="B474" s="134"/>
      <c r="C474" s="16"/>
      <c r="D474" s="137"/>
      <c r="E474" s="138"/>
      <c r="F474" s="138"/>
      <c r="G474" s="16"/>
      <c r="H474" s="112"/>
    </row>
    <row r="475" spans="1:8" ht="15.6">
      <c r="B475" s="134"/>
      <c r="C475" s="16"/>
      <c r="D475" s="137"/>
      <c r="E475" s="138"/>
      <c r="F475" s="138"/>
      <c r="G475" s="16"/>
      <c r="H475" s="112"/>
    </row>
    <row r="476" spans="1:8" ht="15.6">
      <c r="B476" s="134"/>
      <c r="C476" s="16"/>
      <c r="D476" s="137"/>
      <c r="E476" s="138"/>
      <c r="F476" s="138"/>
      <c r="G476" s="16"/>
      <c r="H476" s="112"/>
    </row>
    <row r="477" spans="1:8" ht="15.6">
      <c r="B477" s="134"/>
      <c r="C477" s="16"/>
      <c r="D477" s="137"/>
      <c r="E477" s="138"/>
      <c r="F477" s="138"/>
      <c r="G477" s="16"/>
      <c r="H477" s="112"/>
    </row>
    <row r="478" spans="1:8" ht="15.6">
      <c r="B478" s="134"/>
      <c r="C478" s="16"/>
      <c r="D478" s="137"/>
      <c r="E478" s="138"/>
      <c r="F478" s="138"/>
      <c r="G478" s="16"/>
      <c r="H478" s="112"/>
    </row>
    <row r="479" spans="1:8" ht="15.9" thickBot="1">
      <c r="B479" s="135"/>
      <c r="C479" s="17"/>
      <c r="D479" s="135"/>
      <c r="E479" s="139"/>
      <c r="F479" s="139"/>
      <c r="G479" s="17"/>
      <c r="H479" s="112"/>
    </row>
    <row r="480" spans="1:8" ht="15.9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5.9" thickBot="1">
      <c r="H481" s="112"/>
    </row>
    <row r="482" spans="2:8" ht="14.5" customHeight="1">
      <c r="B482" s="321" t="str">
        <f>AÑO!A44</f>
        <v>NULO</v>
      </c>
      <c r="C482" s="327"/>
      <c r="D482" s="327"/>
      <c r="E482" s="327"/>
      <c r="F482" s="327"/>
      <c r="G482" s="328"/>
      <c r="H482" s="112"/>
    </row>
    <row r="483" spans="2:8" ht="15" customHeight="1" thickBot="1">
      <c r="B483" s="329"/>
      <c r="C483" s="330"/>
      <c r="D483" s="330"/>
      <c r="E483" s="330"/>
      <c r="F483" s="330"/>
      <c r="G483" s="331"/>
      <c r="H483" s="112"/>
    </row>
    <row r="484" spans="2:8" ht="15.6">
      <c r="B484" s="322" t="s">
        <v>8</v>
      </c>
      <c r="C484" s="323"/>
      <c r="D484" s="324" t="s">
        <v>9</v>
      </c>
      <c r="E484" s="324"/>
      <c r="F484" s="324"/>
      <c r="G484" s="323"/>
      <c r="H484" s="112"/>
    </row>
    <row r="485" spans="2:8" ht="15.6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6">
      <c r="B486" s="133"/>
      <c r="C486" s="19"/>
      <c r="D486" s="137"/>
      <c r="E486" s="138"/>
      <c r="F486" s="138"/>
      <c r="G486" s="16"/>
      <c r="H486" s="112"/>
    </row>
    <row r="487" spans="2:8" ht="15.6">
      <c r="B487" s="134"/>
      <c r="C487" s="16"/>
      <c r="D487" s="137"/>
      <c r="E487" s="138"/>
      <c r="F487" s="138"/>
      <c r="G487" s="16"/>
      <c r="H487" s="112"/>
    </row>
    <row r="488" spans="2:8" ht="15.6">
      <c r="B488" s="134"/>
      <c r="C488" s="16"/>
      <c r="D488" s="137"/>
      <c r="E488" s="138"/>
      <c r="F488" s="138"/>
      <c r="G488" s="16"/>
      <c r="H488" s="112"/>
    </row>
    <row r="489" spans="2:8" ht="15.6">
      <c r="B489" s="134"/>
      <c r="C489" s="16"/>
      <c r="D489" s="137"/>
      <c r="E489" s="138"/>
      <c r="F489" s="138"/>
      <c r="G489" s="16"/>
      <c r="H489" s="112"/>
    </row>
    <row r="490" spans="2:8" ht="15.6">
      <c r="B490" s="134"/>
      <c r="C490" s="16"/>
      <c r="D490" s="137"/>
      <c r="E490" s="138"/>
      <c r="F490" s="138"/>
      <c r="G490" s="16"/>
      <c r="H490" s="112"/>
    </row>
    <row r="491" spans="2:8" ht="15.6">
      <c r="B491" s="134"/>
      <c r="C491" s="16"/>
      <c r="D491" s="137"/>
      <c r="E491" s="138"/>
      <c r="F491" s="138"/>
      <c r="G491" s="16"/>
      <c r="H491" s="112"/>
    </row>
    <row r="492" spans="2:8" ht="15.6">
      <c r="B492" s="134"/>
      <c r="C492" s="16"/>
      <c r="D492" s="137"/>
      <c r="E492" s="138"/>
      <c r="F492" s="138"/>
      <c r="G492" s="16"/>
      <c r="H492" s="112"/>
    </row>
    <row r="493" spans="2:8" ht="15.6">
      <c r="B493" s="134"/>
      <c r="C493" s="16"/>
      <c r="D493" s="137"/>
      <c r="E493" s="138"/>
      <c r="F493" s="138"/>
      <c r="G493" s="16"/>
      <c r="H493" s="112"/>
    </row>
    <row r="494" spans="2:8" ht="15.6">
      <c r="B494" s="134"/>
      <c r="C494" s="16"/>
      <c r="D494" s="137"/>
      <c r="E494" s="138"/>
      <c r="F494" s="138"/>
      <c r="G494" s="16"/>
      <c r="H494" s="112"/>
    </row>
    <row r="495" spans="2:8" ht="15.6">
      <c r="B495" s="134"/>
      <c r="C495" s="16"/>
      <c r="D495" s="137"/>
      <c r="E495" s="138"/>
      <c r="F495" s="138"/>
      <c r="G495" s="16"/>
      <c r="H495" s="112"/>
    </row>
    <row r="496" spans="2:8" ht="15.6">
      <c r="B496" s="134"/>
      <c r="C496" s="16"/>
      <c r="D496" s="137"/>
      <c r="E496" s="138"/>
      <c r="F496" s="138"/>
      <c r="G496" s="16"/>
      <c r="H496" s="112"/>
    </row>
    <row r="497" spans="2:8" ht="15.6">
      <c r="B497" s="134"/>
      <c r="C497" s="16"/>
      <c r="D497" s="137"/>
      <c r="E497" s="138"/>
      <c r="F497" s="138"/>
      <c r="G497" s="16"/>
      <c r="H497" s="112"/>
    </row>
    <row r="498" spans="2:8" ht="15.6">
      <c r="B498" s="134"/>
      <c r="C498" s="16"/>
      <c r="D498" s="137"/>
      <c r="E498" s="138"/>
      <c r="F498" s="138"/>
      <c r="G498" s="16"/>
      <c r="H498" s="112"/>
    </row>
    <row r="499" spans="2:8" ht="15.9" thickBot="1">
      <c r="B499" s="135"/>
      <c r="C499" s="17"/>
      <c r="D499" s="135"/>
      <c r="E499" s="139"/>
      <c r="F499" s="139"/>
      <c r="G499" s="17"/>
      <c r="H499" s="112"/>
    </row>
    <row r="500" spans="2:8" ht="15.9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5.9" thickBot="1">
      <c r="B501" s="5"/>
      <c r="C501" s="3"/>
      <c r="D501" s="5"/>
      <c r="E501" s="5"/>
      <c r="H501" s="112"/>
    </row>
    <row r="502" spans="2:8" ht="14.5" customHeight="1">
      <c r="B502" s="321" t="str">
        <f>AÑO!A45</f>
        <v>OTROS</v>
      </c>
      <c r="C502" s="327"/>
      <c r="D502" s="327"/>
      <c r="E502" s="327"/>
      <c r="F502" s="327"/>
      <c r="G502" s="328"/>
      <c r="H502" s="112"/>
    </row>
    <row r="503" spans="2:8" ht="15" customHeight="1" thickBot="1">
      <c r="B503" s="329"/>
      <c r="C503" s="330"/>
      <c r="D503" s="330"/>
      <c r="E503" s="330"/>
      <c r="F503" s="330"/>
      <c r="G503" s="331"/>
      <c r="H503" s="112"/>
    </row>
    <row r="504" spans="2:8" ht="15.6">
      <c r="B504" s="322" t="s">
        <v>8</v>
      </c>
      <c r="C504" s="323"/>
      <c r="D504" s="324" t="s">
        <v>9</v>
      </c>
      <c r="E504" s="324"/>
      <c r="F504" s="324"/>
      <c r="G504" s="323"/>
      <c r="H504" s="112"/>
    </row>
    <row r="505" spans="2:8" ht="15.6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6">
      <c r="B506" s="133"/>
      <c r="C506" s="19"/>
      <c r="D506" s="137">
        <v>25.25</v>
      </c>
      <c r="E506" s="138"/>
      <c r="F506" s="138"/>
      <c r="G506" s="16" t="s">
        <v>290</v>
      </c>
      <c r="H506" s="112"/>
    </row>
    <row r="507" spans="2:8" ht="15.6">
      <c r="B507" s="134"/>
      <c r="C507" s="16"/>
      <c r="D507" s="137"/>
      <c r="E507" s="138"/>
      <c r="F507" s="138"/>
      <c r="G507" s="16"/>
      <c r="H507" s="112"/>
    </row>
    <row r="508" spans="2:8" ht="15.6">
      <c r="B508" s="134"/>
      <c r="C508" s="16"/>
      <c r="D508" s="137"/>
      <c r="E508" s="138"/>
      <c r="F508" s="138"/>
      <c r="G508" s="16"/>
      <c r="H508" s="112"/>
    </row>
    <row r="509" spans="2:8" ht="15.6">
      <c r="B509" s="134"/>
      <c r="C509" s="16"/>
      <c r="D509" s="137"/>
      <c r="E509" s="138"/>
      <c r="F509" s="138"/>
      <c r="G509" s="16"/>
      <c r="H509" s="112"/>
    </row>
    <row r="510" spans="2:8" ht="15.6">
      <c r="B510" s="134"/>
      <c r="C510" s="16"/>
      <c r="D510" s="137"/>
      <c r="E510" s="138"/>
      <c r="F510" s="138"/>
      <c r="G510" s="16"/>
      <c r="H510" s="112"/>
    </row>
    <row r="511" spans="2:8" ht="15.6">
      <c r="B511" s="134"/>
      <c r="C511" s="16"/>
      <c r="D511" s="137"/>
      <c r="E511" s="138"/>
      <c r="F511" s="138"/>
      <c r="G511" s="16"/>
      <c r="H511" s="112"/>
    </row>
    <row r="512" spans="2:8" ht="15.6">
      <c r="B512" s="134"/>
      <c r="C512" s="16"/>
      <c r="D512" s="137"/>
      <c r="E512" s="138"/>
      <c r="F512" s="138"/>
      <c r="G512" s="16"/>
      <c r="H512" s="112"/>
    </row>
    <row r="513" spans="2:8" ht="15.6">
      <c r="B513" s="134"/>
      <c r="C513" s="16"/>
      <c r="D513" s="137"/>
      <c r="E513" s="138"/>
      <c r="F513" s="138"/>
      <c r="G513" s="16"/>
      <c r="H513" s="112"/>
    </row>
    <row r="514" spans="2:8" ht="15.6">
      <c r="B514" s="134"/>
      <c r="C514" s="16"/>
      <c r="D514" s="137"/>
      <c r="E514" s="138"/>
      <c r="F514" s="138"/>
      <c r="G514" s="16"/>
      <c r="H514" s="112"/>
    </row>
    <row r="515" spans="2:8" ht="15.6">
      <c r="B515" s="134"/>
      <c r="C515" s="16"/>
      <c r="D515" s="137"/>
      <c r="E515" s="138"/>
      <c r="F515" s="138"/>
      <c r="G515" s="16"/>
      <c r="H515" s="112"/>
    </row>
    <row r="516" spans="2:8" ht="15.6">
      <c r="B516" s="134"/>
      <c r="C516" s="16"/>
      <c r="D516" s="137"/>
      <c r="E516" s="138"/>
      <c r="F516" s="138"/>
      <c r="G516" s="16"/>
      <c r="H516" s="112"/>
    </row>
    <row r="517" spans="2:8" ht="15.6">
      <c r="B517" s="134"/>
      <c r="C517" s="16"/>
      <c r="D517" s="137"/>
      <c r="E517" s="138"/>
      <c r="F517" s="138"/>
      <c r="G517" s="16"/>
      <c r="H517" s="112"/>
    </row>
    <row r="518" spans="2:8" ht="15.6">
      <c r="B518" s="134"/>
      <c r="C518" s="16"/>
      <c r="D518" s="137"/>
      <c r="E518" s="138"/>
      <c r="F518" s="138"/>
      <c r="G518" s="16"/>
      <c r="H518" s="112"/>
    </row>
    <row r="519" spans="2:8" ht="15.9" thickBot="1">
      <c r="B519" s="135"/>
      <c r="C519" s="17"/>
      <c r="D519" s="135"/>
      <c r="E519" s="139"/>
      <c r="F519" s="139"/>
      <c r="G519" s="17"/>
      <c r="H519" s="112"/>
    </row>
    <row r="520" spans="2:8" ht="15.9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56" workbookViewId="0">
      <selection activeCell="B262" sqref="B262:G263"/>
    </sheetView>
  </sheetViews>
  <sheetFormatPr defaultColWidth="11.41796875" defaultRowHeight="14.4"/>
  <cols>
    <col min="1" max="1" width="11.41796875" style="89"/>
    <col min="2" max="2" width="10" style="113" customWidth="1"/>
    <col min="3" max="3" width="33.26171875" style="89" customWidth="1"/>
    <col min="4" max="6" width="10" style="113" customWidth="1"/>
    <col min="7" max="7" width="33.26171875" style="89" customWidth="1"/>
    <col min="8" max="9" width="11.41796875" style="89"/>
    <col min="10" max="10" width="31.26171875" style="89" customWidth="1"/>
    <col min="11" max="16384" width="11.41796875" style="89"/>
  </cols>
  <sheetData>
    <row r="1" spans="1:22" ht="15.9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5.9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6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6">
      <c r="A6" s="112">
        <f>'01'!A6+(B6-SUM(D6:F6))</f>
        <v>805.18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620.08000000000004</v>
      </c>
      <c r="L6" s="320"/>
      <c r="M6" s="1" t="s">
        <v>166</v>
      </c>
      <c r="N6" s="1"/>
      <c r="R6" s="3"/>
    </row>
    <row r="7" spans="1:22" ht="15.6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6">
      <c r="A8" s="112">
        <f>'01'!A8+(B8-SUM(D8:F8))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6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669.52</v>
      </c>
      <c r="L9" s="320"/>
      <c r="M9" s="1"/>
      <c r="N9" s="1"/>
      <c r="R9" s="3"/>
    </row>
    <row r="10" spans="1:22" ht="15.6">
      <c r="A10" s="112">
        <f>'01'!A10+(B10-SUM(D10:F10))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6">
      <c r="A11" s="112">
        <f>'01'!A11+(B11-SUM(D11:F11))</f>
        <v>60.45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6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6">
      <c r="A13" s="112">
        <f>'01'!A13+(B13-SUM(D13:F13))</f>
        <v>77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15181.72</v>
      </c>
      <c r="L19" s="326"/>
      <c r="M19" s="1"/>
      <c r="N19" s="1"/>
      <c r="R19" s="3"/>
    </row>
    <row r="20" spans="1:18" ht="15.9" thickBot="1">
      <c r="A20" s="112">
        <f>SUM(A6:A15)</f>
        <v>1622.3099999999997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8289.6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6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6">
      <c r="A26" s="112">
        <f>'01'!A26+(B26-SUM(D26:F26))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6">
      <c r="A27" s="112">
        <f>'01'!A27+(B27-SUM(D27:F27))</f>
        <v>185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6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6">
      <c r="A29" s="112">
        <f>'01'!A29+(B29-SUM(D29:F29))</f>
        <v>19.23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5.9" thickBot="1">
      <c r="A40" s="112">
        <f>SUM(A26:A35)</f>
        <v>1823.9099999999999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6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6">
      <c r="A46" s="1"/>
      <c r="B46" s="133">
        <v>442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470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6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6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6">
      <c r="A66" s="112">
        <f>'01'!A66+(B66-SUM(D66:F66))</f>
        <v>312.66999999999996</v>
      </c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6">
      <c r="A67" s="112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6">
      <c r="A68" s="112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5.9" thickBot="1">
      <c r="A69" s="112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6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5.9" thickBot="1">
      <c r="A80" s="112">
        <f>SUM(A66:A79)</f>
        <v>352.66999999999996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6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6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'01'!A106+(B106-SUM(D106:F106))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'01'!A107+(B107-SUM(D107:F107))</f>
        <v>72.480000000000018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'01'!A109+(B109-SUM(D109:F109))</f>
        <v>3017.1200000000008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628.04999999999995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6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6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4.7" thickBot="1">
      <c r="B201" s="5"/>
      <c r="C201" s="3"/>
      <c r="D201" s="5"/>
      <c r="E201" s="5"/>
    </row>
    <row r="202" spans="2:12" ht="14.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4.7" thickBot="1">
      <c r="B221" s="5"/>
      <c r="C221" s="3"/>
      <c r="D221" s="5"/>
      <c r="E221" s="5"/>
    </row>
    <row r="222" spans="2:7" ht="14.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4.7" thickBot="1">
      <c r="B241" s="5"/>
      <c r="C241" s="3"/>
      <c r="D241" s="5"/>
      <c r="E241" s="5"/>
    </row>
    <row r="242" spans="2:7" ht="14.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4.7" thickBot="1">
      <c r="B259" s="135"/>
      <c r="C259" s="17"/>
      <c r="D259" s="135"/>
      <c r="E259" s="139"/>
      <c r="F259" s="139"/>
      <c r="G259" s="17"/>
    </row>
    <row r="260" spans="2:7" ht="14.7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4.7" thickBot="1">
      <c r="B261" s="5"/>
      <c r="C261" s="3"/>
      <c r="D261" s="5"/>
      <c r="E261" s="5"/>
    </row>
    <row r="262" spans="2:7" ht="14.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4.7" thickBot="1">
      <c r="B279" s="135"/>
      <c r="C279" s="17"/>
      <c r="D279" s="135"/>
      <c r="E279" s="139"/>
      <c r="F279" s="139"/>
      <c r="G279" s="17"/>
    </row>
    <row r="280" spans="2:8" ht="14.7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4.7" thickBot="1">
      <c r="B281" s="5"/>
      <c r="C281" s="3"/>
      <c r="D281" s="5"/>
      <c r="E281" s="5"/>
    </row>
    <row r="282" spans="2:8" ht="14.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4.7" thickBot="1">
      <c r="B299" s="135"/>
      <c r="C299" s="17"/>
      <c r="D299" s="135"/>
      <c r="E299" s="139"/>
      <c r="F299" s="139"/>
      <c r="G299" s="17"/>
    </row>
    <row r="300" spans="2:8" ht="14.7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4.7" thickBot="1">
      <c r="B301" s="5"/>
      <c r="C301" s="3"/>
      <c r="D301" s="5"/>
      <c r="E301" s="5"/>
    </row>
    <row r="302" spans="2:8" ht="14.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4.7" thickBot="1"/>
    <row r="322" spans="2:7" ht="14.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4.7" thickBot="1">
      <c r="B339" s="135"/>
      <c r="C339" s="17"/>
      <c r="D339" s="135"/>
      <c r="E339" s="139"/>
      <c r="F339" s="139"/>
      <c r="G339" s="17"/>
    </row>
    <row r="340" spans="2:7" ht="14.7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4.7" thickBot="1">
      <c r="B341" s="5"/>
      <c r="C341" s="3"/>
      <c r="D341" s="5"/>
      <c r="E341" s="5"/>
    </row>
    <row r="342" spans="2:7" ht="14.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4.7" thickBot="1">
      <c r="B359" s="135"/>
      <c r="C359" s="17"/>
      <c r="D359" s="135"/>
      <c r="E359" s="139"/>
      <c r="F359" s="139"/>
      <c r="G359" s="17"/>
    </row>
    <row r="360" spans="2:7" ht="14.7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4.7" thickBot="1">
      <c r="B361" s="5"/>
      <c r="C361" s="3"/>
      <c r="D361" s="5"/>
      <c r="E361" s="5"/>
    </row>
    <row r="362" spans="2:7" ht="14.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4.7" thickBot="1">
      <c r="B381" s="5"/>
      <c r="C381" s="3"/>
      <c r="D381" s="5"/>
      <c r="E381" s="5"/>
    </row>
    <row r="382" spans="2:7" ht="14.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4.7" thickBot="1">
      <c r="B401" s="5"/>
      <c r="C401" s="3"/>
      <c r="D401" s="5"/>
      <c r="E401" s="5"/>
    </row>
    <row r="402" spans="2:7" ht="14.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4.7" thickBot="1">
      <c r="B421" s="5"/>
      <c r="C421" s="3"/>
      <c r="D421" s="5"/>
      <c r="E421" s="5"/>
    </row>
    <row r="422" spans="1:7" ht="14.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AÑO!G17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4.7" thickBot="1">
      <c r="B441" s="5"/>
      <c r="C441" s="3"/>
      <c r="D441" s="5"/>
      <c r="E441" s="5"/>
    </row>
    <row r="442" spans="2:7" ht="14.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4.7" thickBot="1">
      <c r="B461" s="5"/>
      <c r="C461" s="3"/>
      <c r="D461" s="5"/>
      <c r="E461" s="5"/>
    </row>
    <row r="462" spans="2:7" ht="14.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'01'!A466+(B466-SUM(D466:F466))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'01'!A467+(B467-SUM(D467:F467))</f>
        <v>453.02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'01'!A468+(B468-SUM(D468:F468))</f>
        <v>35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1063.02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4.7" thickBot="1"/>
    <row r="482" spans="2:7" ht="14.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4.7" thickBot="1">
      <c r="B501" s="5"/>
      <c r="C501" s="3"/>
      <c r="D501" s="5"/>
      <c r="E501" s="5"/>
    </row>
    <row r="502" spans="2:7" ht="14.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58" workbookViewId="0">
      <selection activeCell="C14" sqref="C14"/>
    </sheetView>
  </sheetViews>
  <sheetFormatPr defaultColWidth="11.41796875" defaultRowHeight="14.4"/>
  <cols>
    <col min="1" max="1" width="11.41796875" style="89"/>
    <col min="2" max="2" width="10" style="113" customWidth="1"/>
    <col min="3" max="3" width="33.26171875" style="89" customWidth="1"/>
    <col min="4" max="6" width="10" style="113" customWidth="1"/>
    <col min="7" max="7" width="33.26171875" style="89" customWidth="1"/>
    <col min="8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5.9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6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6">
      <c r="A6" s="112">
        <f>'02'!A6+(B6-SUM(D6:F6))</f>
        <v>1204.77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6">
      <c r="A7" s="112">
        <f>'02'!A7+(B7-SUM(D7:F7))</f>
        <v>649.81999999999994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6">
      <c r="A8" s="112">
        <f>'02'!A8+(B8-SUM(D8:F8))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6">
      <c r="A9" s="112">
        <f>'02'!A9+(B9-SUM(D9:F9))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6">
      <c r="A10" s="112">
        <f>'02'!A10+(B10-SUM(D10:F10))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6">
      <c r="A11" s="112">
        <f>'02'!A11+(B11-SUM(D11:F11))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6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6">
      <c r="A13" s="112">
        <f>'02'!A13+(B13-SUM(D13:F13))</f>
        <v>84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5.9" thickBot="1">
      <c r="A20" s="112">
        <f>SUM(A6:A15)</f>
        <v>2166.31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6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6">
      <c r="A26" s="112">
        <f>'02'!A26+(B26-SUM(D26:F26))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6">
      <c r="A27" s="112">
        <f>'02'!A27+(B27-SUM(D27:F27))</f>
        <v>355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6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6">
      <c r="A29" s="112">
        <f>'02'!A29+(B29-SUM(D29:F29))</f>
        <v>37.230000000000004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'02'!A30+(B30-SUM(D30:F30))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5.9" thickBot="1">
      <c r="A40" s="112">
        <f>SUM(A26:A35)</f>
        <v>2951.91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6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6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5.9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5.9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6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6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'02'!A106+(B106-SUM(D106:F106))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'02'!A107+(B107-SUM(D107:F107))</f>
        <v>143.48000000000002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'02'!A109+(B109-SUM(D109:F109))</f>
        <v>3042.650000000001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1007.52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6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6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4.7" thickBot="1">
      <c r="B201" s="5"/>
      <c r="C201" s="3"/>
      <c r="D201" s="5"/>
      <c r="E201" s="5"/>
    </row>
    <row r="202" spans="2:12" ht="14.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4.7" thickBot="1">
      <c r="B221" s="5"/>
      <c r="C221" s="3"/>
      <c r="D221" s="5"/>
      <c r="E221" s="5"/>
    </row>
    <row r="222" spans="2:7" ht="14.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4.7" thickBot="1">
      <c r="B241" s="5"/>
      <c r="C241" s="3"/>
      <c r="D241" s="5"/>
      <c r="E241" s="5"/>
    </row>
    <row r="242" spans="2:7" ht="14.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4.7" thickBot="1">
      <c r="B259" s="135"/>
      <c r="C259" s="17"/>
      <c r="D259" s="135"/>
      <c r="E259" s="139"/>
      <c r="F259" s="139"/>
      <c r="G259" s="17"/>
    </row>
    <row r="260" spans="2:7" ht="14.7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4.7" thickBot="1">
      <c r="B261" s="5"/>
      <c r="C261" s="3"/>
      <c r="D261" s="5"/>
      <c r="E261" s="5"/>
    </row>
    <row r="262" spans="2:7" ht="14.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4.7" thickBot="1">
      <c r="B279" s="135"/>
      <c r="C279" s="17"/>
      <c r="D279" s="135"/>
      <c r="E279" s="139"/>
      <c r="F279" s="139"/>
      <c r="G279" s="17"/>
    </row>
    <row r="280" spans="2:8" ht="14.7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4.7" thickBot="1">
      <c r="B281" s="5"/>
      <c r="C281" s="3"/>
      <c r="D281" s="5"/>
      <c r="E281" s="5"/>
    </row>
    <row r="282" spans="2:8" ht="14.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4.7" thickBot="1">
      <c r="B299" s="135"/>
      <c r="C299" s="17"/>
      <c r="D299" s="135"/>
      <c r="E299" s="139"/>
      <c r="F299" s="139"/>
      <c r="G299" s="17"/>
    </row>
    <row r="300" spans="2:8" ht="14.7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4.7" thickBot="1">
      <c r="B301" s="5"/>
      <c r="C301" s="3"/>
      <c r="D301" s="5"/>
      <c r="E301" s="5"/>
    </row>
    <row r="302" spans="2:8" ht="14.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4.7" thickBot="1"/>
    <row r="322" spans="2:7" ht="14.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4.7" thickBot="1">
      <c r="B339" s="135"/>
      <c r="C339" s="17"/>
      <c r="D339" s="135"/>
      <c r="E339" s="139"/>
      <c r="F339" s="139"/>
      <c r="G339" s="17"/>
    </row>
    <row r="340" spans="2:7" ht="14.7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4.7" thickBot="1">
      <c r="B341" s="5"/>
      <c r="C341" s="3"/>
      <c r="D341" s="5"/>
      <c r="E341" s="5"/>
    </row>
    <row r="342" spans="2:7" ht="14.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4.7" thickBot="1">
      <c r="B359" s="135"/>
      <c r="C359" s="17"/>
      <c r="D359" s="135"/>
      <c r="E359" s="139"/>
      <c r="F359" s="139"/>
      <c r="G359" s="17"/>
    </row>
    <row r="360" spans="2:7" ht="14.7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4.7" thickBot="1">
      <c r="B361" s="5"/>
      <c r="C361" s="3"/>
      <c r="D361" s="5"/>
      <c r="E361" s="5"/>
    </row>
    <row r="362" spans="2:7" ht="14.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4.7" thickBot="1">
      <c r="B381" s="5"/>
      <c r="C381" s="3"/>
      <c r="D381" s="5"/>
      <c r="E381" s="5"/>
    </row>
    <row r="382" spans="2:7" ht="14.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4.7" thickBot="1">
      <c r="B401" s="5"/>
      <c r="C401" s="3"/>
      <c r="D401" s="5"/>
      <c r="E401" s="5"/>
    </row>
    <row r="402" spans="2:7" ht="14.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4.7" thickBot="1">
      <c r="B421" s="5"/>
      <c r="C421" s="3"/>
      <c r="D421" s="5"/>
      <c r="E421" s="5"/>
    </row>
    <row r="422" spans="1:7" ht="14.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AÑO!K17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4.7" thickBot="1">
      <c r="B441" s="5"/>
      <c r="C441" s="3"/>
      <c r="D441" s="5"/>
      <c r="E441" s="5"/>
    </row>
    <row r="442" spans="2:7" ht="14.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4.7" thickBot="1">
      <c r="B461" s="5"/>
      <c r="C461" s="3"/>
      <c r="D461" s="5"/>
      <c r="E461" s="5"/>
    </row>
    <row r="462" spans="2:7" ht="14.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'02'!A466+(B466-SUM(D466:F466))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'02'!A467+(B467-SUM(D467:F467))</f>
        <v>473.02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'02'!A468+(B468-SUM(D468:F468))</f>
        <v>40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1113.02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4.7" thickBot="1"/>
    <row r="482" spans="2:7" ht="14.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4.7" thickBot="1">
      <c r="B501" s="5"/>
      <c r="C501" s="3"/>
      <c r="D501" s="5"/>
      <c r="E501" s="5"/>
    </row>
    <row r="502" spans="2:7" ht="14.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A306026B-BDE6-4BD0-A6BC-B11D2FBAED61}"/>
    <hyperlink ref="B2:G3" location="AÑO!K20:N20" display="AÑO!K20:N20" xr:uid="{2191FB90-DE83-4D70-B89D-6EBBCCB11DD2}"/>
    <hyperlink ref="B22" location="Trimestre!C25:F26" display="HIPOTECA" xr:uid="{4A8F4709-924D-4A34-A141-CF73AF5D22FB}"/>
    <hyperlink ref="B22:G23" location="AÑO!K21:N21" display="AÑO!K21:N21" xr:uid="{7E154CCE-D9E5-4EEE-ACBB-B99CCACC81A6}"/>
    <hyperlink ref="B42" location="Trimestre!C25:F26" display="HIPOTECA" xr:uid="{C54C6013-7CDA-42F2-A142-A5A24FC52FCD}"/>
    <hyperlink ref="B42:G43" location="AÑO!K22:N22" display="AÑO!K22:N22" xr:uid="{8EA8E6CF-B8CC-4615-838C-D2889274B2FC}"/>
    <hyperlink ref="B62" location="Trimestre!C25:F26" display="HIPOTECA" xr:uid="{0D09E23D-2375-45A0-9A4A-89D539BE3E27}"/>
    <hyperlink ref="B62:G63" location="AÑO!K23:N23" display="AÑO!K23:N23" xr:uid="{C4157A3B-9FBB-4C8C-AF13-81FE6448E0BB}"/>
    <hyperlink ref="B82" location="Trimestre!C25:F26" display="HIPOTECA" xr:uid="{989342A1-3C77-4418-8CAA-BA752A40F32A}"/>
    <hyperlink ref="B82:G83" location="AÑO!K24:N24" display="AÑO!K24:N24" xr:uid="{20299CCB-830C-4F7C-9B00-4E2A68FCC707}"/>
    <hyperlink ref="B102" location="Trimestre!C25:F26" display="HIPOTECA" xr:uid="{178F82F4-28A5-452C-9816-A3A3E19C6F8E}"/>
    <hyperlink ref="B102:G103" location="AÑO!K25:N25" display="AÑO!K25:N25" xr:uid="{BDDCBE00-0D6E-4553-9930-A7F1E1CCF1C3}"/>
    <hyperlink ref="B122" location="Trimestre!C25:F26" display="HIPOTECA" xr:uid="{D748190A-39BA-4A3D-BBA3-880C8D94E67D}"/>
    <hyperlink ref="B122:G123" location="AÑO!K26:N26" display="AÑO!K26:N26" xr:uid="{75343A39-E7D0-4E7F-8D71-AAD9CF10693C}"/>
    <hyperlink ref="B142" location="Trimestre!C25:F26" display="HIPOTECA" xr:uid="{6A3563D4-52D5-433F-9187-7B76925D72B2}"/>
    <hyperlink ref="B142:G143" location="AÑO!K27:N27" display="AÑO!K27:N27" xr:uid="{D4B7F401-AE83-4372-8359-72A812E4621B}"/>
    <hyperlink ref="B162" location="Trimestre!C25:F26" display="HIPOTECA" xr:uid="{9DEC627E-EC5E-4FD1-86FA-53C02F9C4AF3}"/>
    <hyperlink ref="B162:G163" location="AÑO!K28:N28" display="AÑO!K28:N28" xr:uid="{60BF88E8-1BFC-411E-96AC-FFD16A3BF5F3}"/>
    <hyperlink ref="B182" location="Trimestre!C25:F26" display="HIPOTECA" xr:uid="{C4B8FC66-19B0-4B50-896B-FFCCE76CA0D5}"/>
    <hyperlink ref="B182:G183" location="AÑO!K29:N29" display="AÑO!K29:N29" xr:uid="{1CE6C77E-299D-4FD5-B614-343527B8368A}"/>
    <hyperlink ref="B202" location="Trimestre!C25:F26" display="HIPOTECA" xr:uid="{C716F81C-B064-4B12-AEE4-EC28CA72C869}"/>
    <hyperlink ref="B202:G203" location="AÑO!K30:N30" display="AÑO!K30:N30" xr:uid="{F7C08DB5-B26F-4E32-9C29-3DC8137C5AEC}"/>
    <hyperlink ref="B222" location="Trimestre!C25:F26" display="HIPOTECA" xr:uid="{AA3A8439-2424-42DA-B63D-F92AFD121183}"/>
    <hyperlink ref="B222:G223" location="AÑO!K31:N31" display="AÑO!K31:N31" xr:uid="{17B3C97F-2721-4523-8582-D29E95B0DFEC}"/>
    <hyperlink ref="B242" location="Trimestre!C25:F26" display="HIPOTECA" xr:uid="{60DC33AD-0E4D-4E86-9815-E637210C2016}"/>
    <hyperlink ref="B242:G243" location="AÑO!K32:N32" display="AÑO!K32:N32" xr:uid="{77775A36-028B-4A01-A5E0-0219916D0345}"/>
    <hyperlink ref="B262" location="Trimestre!C25:F26" display="HIPOTECA" xr:uid="{0D652822-28BA-43F5-B722-ADB72BA3245F}"/>
    <hyperlink ref="B262:G263" location="AÑO!K33:N33" display="AÑO!K33:N33" xr:uid="{4D5B8590-0965-44D8-A0BF-846F79C5BC79}"/>
    <hyperlink ref="B282" location="Trimestre!C25:F26" display="HIPOTECA" xr:uid="{F62D905F-5CBE-4549-A6C0-F828BCF682C7}"/>
    <hyperlink ref="B282:G283" location="AÑO!K34:N34" display="AÑO!K34:N34" xr:uid="{79128DC3-E62C-42F6-8A91-93EB15A67AC4}"/>
    <hyperlink ref="B302" location="Trimestre!C25:F26" display="HIPOTECA" xr:uid="{74368565-138C-48B0-8650-1D2BB1EF44DF}"/>
    <hyperlink ref="B302:G303" location="AÑO!K35:N35" display="AÑO!K35:N35" xr:uid="{AB9D3F06-5374-423A-81D1-D586C49FBB61}"/>
    <hyperlink ref="B322" location="Trimestre!C25:F26" display="HIPOTECA" xr:uid="{EBA935A6-4585-4F36-ADF0-23097ECCF777}"/>
    <hyperlink ref="B322:G323" location="AÑO!K36:N36" display="AÑO!K36:N36" xr:uid="{4B5D442C-B55A-460F-8303-52D1AF0BBE52}"/>
    <hyperlink ref="B342" location="Trimestre!C25:F26" display="HIPOTECA" xr:uid="{DE9C76C2-885C-4769-ACA0-38A97B1042D9}"/>
    <hyperlink ref="B342:G343" location="AÑO!K37:N37" display="AÑO!K37:N37" xr:uid="{8E5F8C99-F785-4524-AE63-93CC0B19CB28}"/>
    <hyperlink ref="B362" location="Trimestre!C25:F26" display="HIPOTECA" xr:uid="{9354EA19-A938-4AF9-96E3-0819D2396A4F}"/>
    <hyperlink ref="B362:G363" location="AÑO!K38:N38" display="AÑO!K38:N38" xr:uid="{35C18899-2988-47CA-AF45-63B39717847E}"/>
    <hyperlink ref="B382" location="Trimestre!C25:F26" display="HIPOTECA" xr:uid="{8FBC7CD3-8B1F-4CC4-A2E2-1F25A83A8955}"/>
    <hyperlink ref="B382:G383" location="AÑO!K39:N39" display="AÑO!K39:N39" xr:uid="{3A9F18C8-29E1-4869-B67C-ECF8CDB710E5}"/>
    <hyperlink ref="B402" location="Trimestre!C25:F26" display="HIPOTECA" xr:uid="{0454DA44-C84E-4A70-93DA-25C397FAB8BF}"/>
    <hyperlink ref="B402:G403" location="AÑO!K40:N40" display="AÑO!K40:N40" xr:uid="{2F5B7FB2-EC34-49ED-A6CF-78E8356F02C5}"/>
    <hyperlink ref="B422" location="Trimestre!C25:F26" display="HIPOTECA" xr:uid="{8AF2EC8F-46F8-4B1F-87E7-4D01265AB75A}"/>
    <hyperlink ref="B422:G423" location="AÑO!K41:N41" display="AÑO!K41:N41" xr:uid="{3C7E8D25-7994-4B1D-9EA2-6C9FDDE95FA7}"/>
    <hyperlink ref="B442" location="Trimestre!C25:F26" display="HIPOTECA" xr:uid="{C02E62F5-6190-4EFA-9095-0886C19DCAFD}"/>
    <hyperlink ref="B442:G443" location="AÑO!K42:N42" display="AÑO!K42:N42" xr:uid="{319FFFC9-5376-4C47-BAC7-650A1B417084}"/>
    <hyperlink ref="B462" location="Trimestre!C25:F26" display="HIPOTECA" xr:uid="{F1A1699B-893D-45DD-9B0E-21F32EC5FFD7}"/>
    <hyperlink ref="B462:G463" location="AÑO!K43:N43" display="AÑO!K43:N43" xr:uid="{F34195C6-3A43-46E3-BC7E-8454FDBB9BCB}"/>
    <hyperlink ref="B482" location="Trimestre!C25:F26" display="HIPOTECA" xr:uid="{C6440A07-EAD6-4EE2-A55D-002F55C6AA7E}"/>
    <hyperlink ref="B482:G483" location="AÑO!K44:N44" display="AÑO!K44:N44" xr:uid="{04B5E324-AC9E-4BA8-AF44-6F440BAB68BB}"/>
    <hyperlink ref="B502" location="Trimestre!C25:F26" display="HIPOTECA" xr:uid="{097C1FC2-7D32-4BFC-AC52-1758A33D602A}"/>
    <hyperlink ref="B502:G503" location="AÑO!K45:N45" display="AÑO!K45:N45" xr:uid="{B8FCF781-CB17-45CE-A32F-3BC879B988E6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96" workbookViewId="0">
      <selection activeCell="B402" sqref="B402:G403"/>
    </sheetView>
  </sheetViews>
  <sheetFormatPr defaultColWidth="11.41796875" defaultRowHeight="14.4"/>
  <cols>
    <col min="1" max="1" width="11.41796875" style="89"/>
    <col min="2" max="2" width="10" style="113" customWidth="1"/>
    <col min="3" max="3" width="33.26171875" style="89" customWidth="1"/>
    <col min="4" max="6" width="10" style="113" customWidth="1"/>
    <col min="7" max="7" width="33.26171875" style="89" customWidth="1"/>
    <col min="8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5.9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6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6">
      <c r="A6" s="112">
        <f>'03'!A6+(B6-SUM(D6:F6))</f>
        <v>1604.36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6">
      <c r="A7" s="112">
        <f>'03'!A7+(B7-SUM(D7:F7))</f>
        <v>720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6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6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6">
      <c r="A10" s="112">
        <f>'03'!A10+(B10-SUM(D10:F10))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6">
      <c r="A11" s="112">
        <f>'03'!A11+(B11-SUM(D11:F11))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6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6">
      <c r="A13" s="112">
        <f>'03'!A13+(B13-SUM(D13:F13))</f>
        <v>91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5.9" thickBot="1">
      <c r="A20" s="112">
        <f>SUM(A6:A15)</f>
        <v>2710.3099999999995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6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6">
      <c r="A26" s="112">
        <f>'03'!A26+(B26-SUM(D26:F26))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6">
      <c r="A27" s="112">
        <f>'03'!A27+(B27-SUM(D27:F27))</f>
        <v>525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6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6">
      <c r="A29" s="112">
        <f>'03'!A29+(B29-SUM(D29:F29))</f>
        <v>55.230000000000004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'03'!A30+(B30-SUM(D30:F30))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5.9" thickBot="1">
      <c r="A40" s="112">
        <f>SUM(A26:A35)</f>
        <v>4079.91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6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6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5.9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5.9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6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6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'03'!A106+(B106-SUM(D106:F106))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'03'!A107+(B107-SUM(D107:F107))</f>
        <v>214.48000000000002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'03'!A109+(B109-SUM(D109:F109))</f>
        <v>3068.1800000000012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1386.99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6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6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4.7" thickBot="1">
      <c r="B201" s="5"/>
      <c r="C201" s="3"/>
      <c r="D201" s="5"/>
      <c r="E201" s="5"/>
    </row>
    <row r="202" spans="2:12" ht="14.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4.7" thickBot="1">
      <c r="B221" s="5"/>
      <c r="C221" s="3"/>
      <c r="D221" s="5"/>
      <c r="E221" s="5"/>
    </row>
    <row r="222" spans="2:7" ht="14.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4.7" thickBot="1">
      <c r="B241" s="5"/>
      <c r="C241" s="3"/>
      <c r="D241" s="5"/>
      <c r="E241" s="5"/>
    </row>
    <row r="242" spans="2:7" ht="14.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4.7" thickBot="1">
      <c r="B259" s="135"/>
      <c r="C259" s="17"/>
      <c r="D259" s="135"/>
      <c r="E259" s="139"/>
      <c r="F259" s="139"/>
      <c r="G259" s="17"/>
    </row>
    <row r="260" spans="2:7" ht="14.7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4.7" thickBot="1">
      <c r="B261" s="5"/>
      <c r="C261" s="3"/>
      <c r="D261" s="5"/>
      <c r="E261" s="5"/>
    </row>
    <row r="262" spans="2:7" ht="14.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4.7" thickBot="1">
      <c r="B279" s="135"/>
      <c r="C279" s="17"/>
      <c r="D279" s="135"/>
      <c r="E279" s="139"/>
      <c r="F279" s="139"/>
      <c r="G279" s="17"/>
    </row>
    <row r="280" spans="2:8" ht="14.7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4.7" thickBot="1">
      <c r="B281" s="5"/>
      <c r="C281" s="3"/>
      <c r="D281" s="5"/>
      <c r="E281" s="5"/>
    </row>
    <row r="282" spans="2:8" ht="14.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4.7" thickBot="1">
      <c r="B299" s="135"/>
      <c r="C299" s="17"/>
      <c r="D299" s="135"/>
      <c r="E299" s="139"/>
      <c r="F299" s="139"/>
      <c r="G299" s="17"/>
    </row>
    <row r="300" spans="2:8" ht="14.7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4.7" thickBot="1">
      <c r="B301" s="5"/>
      <c r="C301" s="3"/>
      <c r="D301" s="5"/>
      <c r="E301" s="5"/>
    </row>
    <row r="302" spans="2:8" ht="14.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4.7" thickBot="1"/>
    <row r="322" spans="2:7" ht="14.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4.7" thickBot="1">
      <c r="B339" s="135"/>
      <c r="C339" s="17"/>
      <c r="D339" s="135"/>
      <c r="E339" s="139"/>
      <c r="F339" s="139"/>
      <c r="G339" s="17"/>
    </row>
    <row r="340" spans="2:7" ht="14.7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4.7" thickBot="1">
      <c r="B341" s="5"/>
      <c r="C341" s="3"/>
      <c r="D341" s="5"/>
      <c r="E341" s="5"/>
    </row>
    <row r="342" spans="2:7" ht="14.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4.7" thickBot="1">
      <c r="B359" s="135"/>
      <c r="C359" s="17"/>
      <c r="D359" s="135"/>
      <c r="E359" s="139"/>
      <c r="F359" s="139"/>
      <c r="G359" s="17"/>
    </row>
    <row r="360" spans="2:7" ht="14.7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4.7" thickBot="1">
      <c r="B361" s="5"/>
      <c r="C361" s="3"/>
      <c r="D361" s="5"/>
      <c r="E361" s="5"/>
    </row>
    <row r="362" spans="2:7" ht="14.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4.7" thickBot="1">
      <c r="B381" s="5"/>
      <c r="C381" s="3"/>
      <c r="D381" s="5"/>
      <c r="E381" s="5"/>
    </row>
    <row r="382" spans="2:7" ht="14.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4.7" thickBot="1">
      <c r="B401" s="5"/>
      <c r="C401" s="3"/>
      <c r="D401" s="5"/>
      <c r="E401" s="5"/>
    </row>
    <row r="402" spans="2:7" ht="14.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4.7" thickBot="1">
      <c r="B421" s="5"/>
      <c r="C421" s="3"/>
      <c r="D421" s="5"/>
      <c r="E421" s="5"/>
    </row>
    <row r="422" spans="1:7" ht="14.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AÑO!O17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4.7" thickBot="1">
      <c r="B441" s="5"/>
      <c r="C441" s="3"/>
      <c r="D441" s="5"/>
      <c r="E441" s="5"/>
    </row>
    <row r="442" spans="2:7" ht="14.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4.7" thickBot="1">
      <c r="B461" s="5"/>
      <c r="C461" s="3"/>
      <c r="D461" s="5"/>
      <c r="E461" s="5"/>
    </row>
    <row r="462" spans="2:7" ht="14.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'03'!A466+(B466-SUM(D466:F466))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'03'!A467+(B467-SUM(D467:F467))</f>
        <v>493.02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'03'!A468+(B468-SUM(D468:F468))</f>
        <v>45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1163.02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4.7" thickBot="1"/>
    <row r="482" spans="2:7" ht="14.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4.7" thickBot="1">
      <c r="B501" s="5"/>
      <c r="C501" s="3"/>
      <c r="D501" s="5"/>
      <c r="E501" s="5"/>
    </row>
    <row r="502" spans="2:7" ht="14.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284C302-2F04-4EF9-A105-8793DDC0F20D}"/>
    <hyperlink ref="I22:L23" location="AÑO!G7:J17" display="INGRESOS" xr:uid="{AB72CB7A-FD44-4BBF-8805-CDF06790D90F}"/>
    <hyperlink ref="I2" location="Trimestre!C39:F40" display="TELÉFONO" xr:uid="{7E774096-7051-4973-B402-20F73DA42EB5}"/>
    <hyperlink ref="I2:L3" location="AÑO!G4:J5" display="SALDO REAL" xr:uid="{D05D382C-BDC9-40D8-BE32-55AA53A43AE1}"/>
    <hyperlink ref="B2" location="Trimestre!C25:F26" display="HIPOTECA" xr:uid="{C64B3EDE-5459-4D12-8455-CB5F4887D82C}"/>
    <hyperlink ref="B2:G3" location="AÑO!G20:J20" display="AÑO!G20:J20" xr:uid="{CDD1BEE1-EEF1-40E5-AFBB-A3552C5C257D}"/>
    <hyperlink ref="B22" location="Trimestre!C25:F26" display="HIPOTECA" xr:uid="{FC6E62D7-1E15-449E-9819-504B849CA0D9}"/>
    <hyperlink ref="B22:G23" location="AÑO!G21:J21" display="AÑO!G21:J21" xr:uid="{9AA75B68-AF65-438E-AE8C-F999FB38AD7A}"/>
    <hyperlink ref="B42" location="Trimestre!C25:F26" display="HIPOTECA" xr:uid="{B8BCF716-3B82-451A-939D-23DE6ACE46E2}"/>
    <hyperlink ref="B42:G43" location="AÑO!G22:J22" display="AÑO!G22:J22" xr:uid="{499B76DC-5DAB-4FDB-9911-55F735AF8B00}"/>
    <hyperlink ref="B62" location="Trimestre!C25:F26" display="HIPOTECA" xr:uid="{BC831A43-7766-45A5-985A-9DB27ABE42EC}"/>
    <hyperlink ref="B62:G63" location="AÑO!G23:J23" display="AÑO!G23:J23" xr:uid="{E1CC2ACD-305C-4A13-842B-C13E549ADFDE}"/>
    <hyperlink ref="B82" location="Trimestre!C25:F26" display="HIPOTECA" xr:uid="{8B2ABBC4-2C14-449A-A753-A4A3C4992B8A}"/>
    <hyperlink ref="B82:G83" location="AÑO!G24:J24" display="AÑO!G24:J24" xr:uid="{602B2251-A590-49C3-8234-E48DB9914725}"/>
    <hyperlink ref="B102" location="Trimestre!C25:F26" display="HIPOTECA" xr:uid="{1F3206CE-4AD4-4EA1-A0AD-37DC2E34AC35}"/>
    <hyperlink ref="B102:G103" location="AÑO!G25:J25" display="AÑO!G25:J25" xr:uid="{48C5FABA-AC93-4AD5-B346-705B0C1D2C8E}"/>
    <hyperlink ref="B122" location="Trimestre!C25:F26" display="HIPOTECA" xr:uid="{1BBD95D0-FE3A-423B-908A-EE269C6E2887}"/>
    <hyperlink ref="B122:G123" location="AÑO!G26:J26" display="AÑO!G26:J26" xr:uid="{07CFA47E-4921-406C-9AB5-0ADE5B8A0ACC}"/>
    <hyperlink ref="B142" location="Trimestre!C25:F26" display="HIPOTECA" xr:uid="{4A2ABFA9-576B-4297-A256-914C7A250507}"/>
    <hyperlink ref="B142:G143" location="AÑO!G27:J27" display="AÑO!G27:J27" xr:uid="{6E02405E-7039-4044-B6F3-C1C9000F2AA7}"/>
    <hyperlink ref="B162" location="Trimestre!C25:F26" display="HIPOTECA" xr:uid="{C2D7BCCD-2AAF-4C05-A624-9A23AFD1DC3F}"/>
    <hyperlink ref="B162:G163" location="AÑO!G28:J28" display="AÑO!G28:J28" xr:uid="{174AE121-46BD-4ABE-9D8A-6C52DBD3573B}"/>
    <hyperlink ref="B182" location="Trimestre!C25:F26" display="HIPOTECA" xr:uid="{15AC1390-0419-4919-8E1A-FC349F2FAFA5}"/>
    <hyperlink ref="B182:G183" location="AÑO!G29:J29" display="AÑO!G29:J29" xr:uid="{B21BA4F1-DEE2-4324-9433-A379AA75B064}"/>
    <hyperlink ref="B202" location="Trimestre!C25:F26" display="HIPOTECA" xr:uid="{A9D17CF5-7F4E-408C-BAEB-AD923A29DD51}"/>
    <hyperlink ref="B202:G203" location="AÑO!G30:J30" display="AÑO!G30:J30" xr:uid="{F39154BB-D0F9-4FE1-82EF-98D7B668564B}"/>
    <hyperlink ref="B222" location="Trimestre!C25:F26" display="HIPOTECA" xr:uid="{A9A05634-9737-45E4-A5CB-C24B9B93DF8E}"/>
    <hyperlink ref="B222:G223" location="AÑO!G31:J31" display="AÑO!G31:J31" xr:uid="{E367A397-1BC9-4A5D-9D56-671B2E909CE4}"/>
    <hyperlink ref="B242" location="Trimestre!C25:F26" display="HIPOTECA" xr:uid="{95624E7D-EFB5-45F2-8AF3-620643B9423B}"/>
    <hyperlink ref="B242:G243" location="AÑO!G32:J32" display="AÑO!G32:J32" xr:uid="{56627EF1-83C5-4AEE-A39B-8A875AE41079}"/>
    <hyperlink ref="B262" location="Trimestre!C25:F26" display="HIPOTECA" xr:uid="{E1B24F8B-36A2-4CB7-B5DF-B21BB1988398}"/>
    <hyperlink ref="B262:G263" location="AÑO!G33:J33" display="AÑO!G33:J33" xr:uid="{CD8AD7E5-8962-4209-8BD6-9A29F22236E0}"/>
    <hyperlink ref="B282" location="Trimestre!C25:F26" display="HIPOTECA" xr:uid="{5B87D9F3-64F8-47F3-8039-252958ED12F0}"/>
    <hyperlink ref="B282:G283" location="AÑO!G34:J34" display="AÑO!G34:J34" xr:uid="{CB9E540A-86FF-4C04-8424-8A3D789058E8}"/>
    <hyperlink ref="B302" location="Trimestre!C25:F26" display="HIPOTECA" xr:uid="{5D7C6137-F62F-48F1-99D1-87B62006FD25}"/>
    <hyperlink ref="B302:G303" location="AÑO!G35:J35" display="AÑO!G35:J35" xr:uid="{54F5054E-3632-4F1D-9BC0-651FDDB0745A}"/>
    <hyperlink ref="B322" location="Trimestre!C25:F26" display="HIPOTECA" xr:uid="{898B1858-E002-4FEE-BD82-D50DE09C186E}"/>
    <hyperlink ref="B322:G323" location="AÑO!G36:J36" display="AÑO!G36:J36" xr:uid="{A9A4278B-4E92-47D6-9078-7687322D545D}"/>
    <hyperlink ref="B342" location="Trimestre!C25:F26" display="HIPOTECA" xr:uid="{C4068FDB-3767-49C3-96DC-DCD2DC90876F}"/>
    <hyperlink ref="B342:G343" location="AÑO!G37:J37" display="AÑO!G37:J37" xr:uid="{EF31C1EB-1428-4A11-BCF1-AE35C32FA135}"/>
    <hyperlink ref="B362" location="Trimestre!C25:F26" display="HIPOTECA" xr:uid="{1272E538-290D-4C37-ABD9-67576951C3D5}"/>
    <hyperlink ref="B362:G363" location="AÑO!G38:J38" display="AÑO!G38:J38" xr:uid="{ADFBDEEE-A6F5-4CAF-9A45-662C5119321A}"/>
    <hyperlink ref="B382" location="Trimestre!C25:F26" display="HIPOTECA" xr:uid="{A29C803B-6273-4BEE-AA3B-8FB81A1267CD}"/>
    <hyperlink ref="B382:G383" location="AÑO!G39:J39" display="AÑO!G39:J39" xr:uid="{9B7A2DA5-921F-4047-B8E6-66224D3A326C}"/>
    <hyperlink ref="B402" location="Trimestre!C25:F26" display="HIPOTECA" xr:uid="{DFA81920-2C11-432B-BBDC-45E4C8081413}"/>
    <hyperlink ref="B402:G403" location="AÑO!G40:J40" display="AÑO!G40:J40" xr:uid="{CBBA71FB-BACD-4C9D-BB96-23889C33792A}"/>
    <hyperlink ref="B422" location="Trimestre!C25:F26" display="HIPOTECA" xr:uid="{35467531-41DF-42A1-9784-378AA4AA321B}"/>
    <hyperlink ref="B422:G423" location="AÑO!G41:J41" display="AÑO!G41:J41" xr:uid="{80CA8B61-8862-4679-82CB-35656AD913E4}"/>
    <hyperlink ref="B442" location="Trimestre!C25:F26" display="HIPOTECA" xr:uid="{C140AE08-74B6-422E-A10B-EE5C6CDA7183}"/>
    <hyperlink ref="B442:G443" location="AÑO!G42:J42" display="AÑO!G42:J42" xr:uid="{DC8D58AA-426B-46C6-B9CD-00A76744EA2D}"/>
    <hyperlink ref="B462" location="Trimestre!C25:F26" display="HIPOTECA" xr:uid="{41489A83-E67F-4EBC-B338-1984C5E55411}"/>
    <hyperlink ref="B462:G463" location="AÑO!G43:J43" display="AÑO!G43:J43" xr:uid="{34177480-3807-4B5E-B32A-28F9FE03712D}"/>
    <hyperlink ref="B482" location="Trimestre!C25:F26" display="HIPOTECA" xr:uid="{5E98C95E-D23F-4BDF-8E89-54F335B15797}"/>
    <hyperlink ref="B482:G483" location="AÑO!G44:J44" display="AÑO!G44:J44" xr:uid="{D9A143F9-1959-4E3B-8175-513BE2216B03}"/>
    <hyperlink ref="B502" location="Trimestre!C25:F26" display="HIPOTECA" xr:uid="{71B96830-7226-4B99-8CD6-590D9C67D79F}"/>
    <hyperlink ref="B502:G503" location="AÑO!G45:J45" display="AÑO!G45:J45" xr:uid="{D4D75C86-757D-4264-A1C2-A758D1A10E47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workbookViewId="0">
      <selection activeCell="B1" sqref="B1:L1048576"/>
    </sheetView>
  </sheetViews>
  <sheetFormatPr defaultColWidth="11.41796875" defaultRowHeight="14.4"/>
  <cols>
    <col min="1" max="1" width="11.41796875" style="89"/>
    <col min="2" max="2" width="10" style="113" customWidth="1"/>
    <col min="3" max="3" width="33.26171875" style="89" customWidth="1"/>
    <col min="4" max="6" width="10" style="113" customWidth="1"/>
    <col min="7" max="7" width="33.26171875" style="89" customWidth="1"/>
    <col min="8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5.9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6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6">
      <c r="A6" s="112">
        <f>'04'!A6+(B6-SUM(D6:F6))</f>
        <v>2003.9499999999998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6">
      <c r="A7" s="112">
        <f>'04'!A7+(B7-SUM(D7:F7))</f>
        <v>790.18000000000006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6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6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6">
      <c r="A10" s="112">
        <f>'04'!A10+(B10-SUM(D10:F10))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6">
      <c r="A11" s="112">
        <f>'04'!A11+(B11-SUM(D11:F11))</f>
        <v>151.14000000000001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6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6">
      <c r="A13" s="112">
        <f>'04'!A13+(B13-SUM(D13:F13))</f>
        <v>98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5.9" thickBot="1">
      <c r="A20" s="112">
        <f>SUM(A6:A15)</f>
        <v>3254.31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6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6">
      <c r="A26" s="112">
        <f>'04'!A26+(B26-SUM(D26:F26))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6">
      <c r="A27" s="112">
        <f>'04'!A27+(B27-SUM(D27:F27))</f>
        <v>695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6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6">
      <c r="A29" s="112">
        <f>'04'!A29+(B29-SUM(D29:F29))</f>
        <v>73.23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'04'!A30+(B30-SUM(D30:F30))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5.9" thickBot="1">
      <c r="A40" s="112">
        <f>SUM(A26:A35)</f>
        <v>5207.91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6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6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5.9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5.9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6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6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'04'!A106+(B106-SUM(D106:F106))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'04'!A107+(B107-SUM(D107:F107))</f>
        <v>285.48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'04'!A109+(B109-SUM(D109:F109))</f>
        <v>3093.7100000000014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1766.46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6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6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4.7" thickBot="1">
      <c r="B201" s="5"/>
      <c r="C201" s="3"/>
      <c r="D201" s="5"/>
      <c r="E201" s="5"/>
    </row>
    <row r="202" spans="2:12" ht="14.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4.7" thickBot="1">
      <c r="B221" s="5"/>
      <c r="C221" s="3"/>
      <c r="D221" s="5"/>
      <c r="E221" s="5"/>
    </row>
    <row r="222" spans="2:7" ht="14.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4.7" thickBot="1">
      <c r="B241" s="5"/>
      <c r="C241" s="3"/>
      <c r="D241" s="5"/>
      <c r="E241" s="5"/>
    </row>
    <row r="242" spans="2:7" ht="14.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4.7" thickBot="1">
      <c r="B259" s="135"/>
      <c r="C259" s="17"/>
      <c r="D259" s="135"/>
      <c r="E259" s="139"/>
      <c r="F259" s="139"/>
      <c r="G259" s="17"/>
    </row>
    <row r="260" spans="2:7" ht="14.7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4.7" thickBot="1">
      <c r="B261" s="5"/>
      <c r="C261" s="3"/>
      <c r="D261" s="5"/>
      <c r="E261" s="5"/>
    </row>
    <row r="262" spans="2:7" ht="14.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4.7" thickBot="1">
      <c r="B279" s="135"/>
      <c r="C279" s="17"/>
      <c r="D279" s="135"/>
      <c r="E279" s="139"/>
      <c r="F279" s="139"/>
      <c r="G279" s="17"/>
    </row>
    <row r="280" spans="2:8" ht="14.7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4.7" thickBot="1">
      <c r="B281" s="5"/>
      <c r="C281" s="3"/>
      <c r="D281" s="5"/>
      <c r="E281" s="5"/>
    </row>
    <row r="282" spans="2:8" ht="14.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4.7" thickBot="1">
      <c r="B299" s="135"/>
      <c r="C299" s="17"/>
      <c r="D299" s="135"/>
      <c r="E299" s="139"/>
      <c r="F299" s="139"/>
      <c r="G299" s="17"/>
    </row>
    <row r="300" spans="2:8" ht="14.7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4.7" thickBot="1">
      <c r="B301" s="5"/>
      <c r="C301" s="3"/>
      <c r="D301" s="5"/>
      <c r="E301" s="5"/>
    </row>
    <row r="302" spans="2:8" ht="14.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4.7" thickBot="1"/>
    <row r="322" spans="2:7" ht="14.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4.7" thickBot="1">
      <c r="B339" s="135"/>
      <c r="C339" s="17"/>
      <c r="D339" s="135"/>
      <c r="E339" s="139"/>
      <c r="F339" s="139"/>
      <c r="G339" s="17"/>
    </row>
    <row r="340" spans="2:7" ht="14.7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4.7" thickBot="1">
      <c r="B341" s="5"/>
      <c r="C341" s="3"/>
      <c r="D341" s="5"/>
      <c r="E341" s="5"/>
    </row>
    <row r="342" spans="2:7" ht="14.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4.7" thickBot="1">
      <c r="B359" s="135"/>
      <c r="C359" s="17"/>
      <c r="D359" s="135"/>
      <c r="E359" s="139"/>
      <c r="F359" s="139"/>
      <c r="G359" s="17"/>
    </row>
    <row r="360" spans="2:7" ht="14.7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4.7" thickBot="1">
      <c r="B361" s="5"/>
      <c r="C361" s="3"/>
      <c r="D361" s="5"/>
      <c r="E361" s="5"/>
    </row>
    <row r="362" spans="2:7" ht="14.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4.7" thickBot="1">
      <c r="B381" s="5"/>
      <c r="C381" s="3"/>
      <c r="D381" s="5"/>
      <c r="E381" s="5"/>
    </row>
    <row r="382" spans="2:7" ht="14.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4.7" thickBot="1">
      <c r="B401" s="5"/>
      <c r="C401" s="3"/>
      <c r="D401" s="5"/>
      <c r="E401" s="5"/>
    </row>
    <row r="402" spans="2:7" ht="14.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4.7" thickBot="1">
      <c r="B421" s="5"/>
      <c r="C421" s="3"/>
      <c r="D421" s="5"/>
      <c r="E421" s="5"/>
    </row>
    <row r="422" spans="1:7" ht="14.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4.7" thickBot="1">
      <c r="B441" s="5"/>
      <c r="C441" s="3"/>
      <c r="D441" s="5"/>
      <c r="E441" s="5"/>
    </row>
    <row r="442" spans="2:7" ht="14.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4.7" thickBot="1">
      <c r="B461" s="5"/>
      <c r="C461" s="3"/>
      <c r="D461" s="5"/>
      <c r="E461" s="5"/>
    </row>
    <row r="462" spans="2:7" ht="14.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'04'!A466+(B466-SUM(D466:F466))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'04'!A467+(B467-SUM(D467:F467))</f>
        <v>513.02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'04'!A468+(B468-SUM(D468:F468))</f>
        <v>50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1213.02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4.7" thickBot="1"/>
    <row r="482" spans="2:7" ht="14.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4.7" thickBot="1">
      <c r="B501" s="5"/>
      <c r="C501" s="3"/>
      <c r="D501" s="5"/>
      <c r="E501" s="5"/>
    </row>
    <row r="502" spans="2:7" ht="14.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8D598D7-0F8B-4272-B8DF-394081809EEF}"/>
    <hyperlink ref="I22:L23" location="AÑO!G7:J17" display="INGRESOS" xr:uid="{4FCEC184-C5EB-4088-9EFA-AEE7755EF722}"/>
    <hyperlink ref="I2" location="Trimestre!C39:F40" display="TELÉFONO" xr:uid="{B09E1C9F-F9BA-45FE-A6B3-FCE4C0637D08}"/>
    <hyperlink ref="I2:L3" location="AÑO!G4:J5" display="SALDO REAL" xr:uid="{A72922C9-FD62-41E5-873E-0F3E3B8AE2CB}"/>
    <hyperlink ref="B2" location="Trimestre!C25:F26" display="HIPOTECA" xr:uid="{C3CFE1AB-FB72-4FB2-BBB9-C82991A65662}"/>
    <hyperlink ref="B2:G3" location="AÑO!G20:J20" display="AÑO!G20:J20" xr:uid="{ECC6ECB5-D6C2-48B5-BAF1-5496F09750B4}"/>
    <hyperlink ref="B22" location="Trimestre!C25:F26" display="HIPOTECA" xr:uid="{BCE9C200-87FF-4D3F-8DEB-E0B1F1082D1B}"/>
    <hyperlink ref="B22:G23" location="AÑO!G21:J21" display="AÑO!G21:J21" xr:uid="{E5DAC134-A662-4BA1-A645-D1B39F1D4916}"/>
    <hyperlink ref="B42" location="Trimestre!C25:F26" display="HIPOTECA" xr:uid="{65FCFAC3-ECE0-4E26-BA39-4051C984459B}"/>
    <hyperlink ref="B42:G43" location="AÑO!G22:J22" display="AÑO!G22:J22" xr:uid="{EA67336C-7002-4A15-AC87-43C75104129F}"/>
    <hyperlink ref="B62" location="Trimestre!C25:F26" display="HIPOTECA" xr:uid="{AB1CE080-AB9A-42FF-99CC-7C54A13FE52E}"/>
    <hyperlink ref="B62:G63" location="AÑO!G23:J23" display="AÑO!G23:J23" xr:uid="{E48648C5-0259-4A7B-976A-4468DC21C7D8}"/>
    <hyperlink ref="B82" location="Trimestre!C25:F26" display="HIPOTECA" xr:uid="{9BC86DD5-FB50-4BD3-B6FF-20F9909EBD0F}"/>
    <hyperlink ref="B82:G83" location="AÑO!G24:J24" display="AÑO!G24:J24" xr:uid="{BD4B93BA-8D48-4267-A7F3-0A74F5080382}"/>
    <hyperlink ref="B102" location="Trimestre!C25:F26" display="HIPOTECA" xr:uid="{4B56C388-79BA-495D-B9E4-2CD3A1A461F4}"/>
    <hyperlink ref="B102:G103" location="AÑO!G25:J25" display="AÑO!G25:J25" xr:uid="{090EEC7A-F169-4D45-A728-8A796648A26D}"/>
    <hyperlink ref="B122" location="Trimestre!C25:F26" display="HIPOTECA" xr:uid="{E1EFBA83-BBB6-485C-BD5E-771DCCDAFD42}"/>
    <hyperlink ref="B122:G123" location="AÑO!G26:J26" display="AÑO!G26:J26" xr:uid="{0673E99C-1B93-42C4-ADD1-05DBAC320A2E}"/>
    <hyperlink ref="B142" location="Trimestre!C25:F26" display="HIPOTECA" xr:uid="{E6C75660-AC29-4C82-9399-795F94877267}"/>
    <hyperlink ref="B142:G143" location="AÑO!G27:J27" display="AÑO!G27:J27" xr:uid="{3D37B702-E228-40C1-8774-B968D5A5153E}"/>
    <hyperlink ref="B162" location="Trimestre!C25:F26" display="HIPOTECA" xr:uid="{E8A03C8B-16A5-434B-B947-84BF7D8E0EF4}"/>
    <hyperlink ref="B162:G163" location="AÑO!G28:J28" display="AÑO!G28:J28" xr:uid="{C594B3F9-90FE-4665-993E-7FC11E4BD23D}"/>
    <hyperlink ref="B182" location="Trimestre!C25:F26" display="HIPOTECA" xr:uid="{BC7B2A39-B8BD-4795-BCA0-D64E34945CD3}"/>
    <hyperlink ref="B182:G183" location="AÑO!G29:J29" display="AÑO!G29:J29" xr:uid="{D2274F82-59BD-492C-B39D-0F9AA1578279}"/>
    <hyperlink ref="B202" location="Trimestre!C25:F26" display="HIPOTECA" xr:uid="{5688AB6C-6A0D-4AFF-ADE8-A59E0F3E08DC}"/>
    <hyperlink ref="B202:G203" location="AÑO!G30:J30" display="AÑO!G30:J30" xr:uid="{CB4CBBBD-30A0-480B-BD12-B1679A621651}"/>
    <hyperlink ref="B222" location="Trimestre!C25:F26" display="HIPOTECA" xr:uid="{1F1CB57C-EE15-4E96-9AE1-23932D4FC3A3}"/>
    <hyperlink ref="B222:G223" location="AÑO!G31:J31" display="AÑO!G31:J31" xr:uid="{239797AA-BCA8-44D8-BAEB-75EFC0863028}"/>
    <hyperlink ref="B242" location="Trimestre!C25:F26" display="HIPOTECA" xr:uid="{2880ADFC-D3D3-43E4-ADAA-D841A0A9521E}"/>
    <hyperlink ref="B242:G243" location="AÑO!G32:J32" display="AÑO!G32:J32" xr:uid="{FE28C75D-7F9B-4653-87AA-B2657734A519}"/>
    <hyperlink ref="B262" location="Trimestre!C25:F26" display="HIPOTECA" xr:uid="{2671C8EB-D2B1-4A6C-8340-7121D5CBB841}"/>
    <hyperlink ref="B262:G263" location="AÑO!G33:J33" display="AÑO!G33:J33" xr:uid="{FDC6EB1E-2D31-4CA3-B6B8-1A779A1BEEC0}"/>
    <hyperlink ref="B282" location="Trimestre!C25:F26" display="HIPOTECA" xr:uid="{3F5439A5-C701-4D75-9862-A5C3B24CD984}"/>
    <hyperlink ref="B282:G283" location="AÑO!G34:J34" display="AÑO!G34:J34" xr:uid="{96F56B2F-2CC4-4C63-B229-8B971D1319C4}"/>
    <hyperlink ref="B302" location="Trimestre!C25:F26" display="HIPOTECA" xr:uid="{4F811042-0959-4495-B69D-B77445E98935}"/>
    <hyperlink ref="B302:G303" location="AÑO!G35:J35" display="AÑO!G35:J35" xr:uid="{69CC7E9A-0FCF-4FB2-AF69-AD233166BB44}"/>
    <hyperlink ref="B322" location="Trimestre!C25:F26" display="HIPOTECA" xr:uid="{62841A54-26FC-4BFD-BA94-1B81FE05920B}"/>
    <hyperlink ref="B322:G323" location="AÑO!G36:J36" display="AÑO!G36:J36" xr:uid="{80DF340F-1468-4886-946D-C265BF654F3C}"/>
    <hyperlink ref="B342" location="Trimestre!C25:F26" display="HIPOTECA" xr:uid="{F5A4B8FD-B2FF-499E-A0E7-74D41E01880A}"/>
    <hyperlink ref="B342:G343" location="AÑO!G37:J37" display="AÑO!G37:J37" xr:uid="{D4D43513-2CED-4B6A-AC37-5442548557DF}"/>
    <hyperlink ref="B362" location="Trimestre!C25:F26" display="HIPOTECA" xr:uid="{A68DEECB-27C1-4BC9-91F4-FF05504999DA}"/>
    <hyperlink ref="B362:G363" location="AÑO!G38:J38" display="AÑO!G38:J38" xr:uid="{9D369F78-1040-4C67-BD3D-8296044E7B02}"/>
    <hyperlink ref="B382" location="Trimestre!C25:F26" display="HIPOTECA" xr:uid="{8643464F-DF94-4A0C-853E-52CD61DB514F}"/>
    <hyperlink ref="B382:G383" location="AÑO!G39:J39" display="AÑO!G39:J39" xr:uid="{DF525F2B-2F96-409E-96BA-47AD96879300}"/>
    <hyperlink ref="B402" location="Trimestre!C25:F26" display="HIPOTECA" xr:uid="{FCBD4704-FEBE-40BF-8FB2-3AC5E2BBC13F}"/>
    <hyperlink ref="B402:G403" location="AÑO!G40:J40" display="AÑO!G40:J40" xr:uid="{48661024-B13B-461F-8495-DA7A4F06A06A}"/>
    <hyperlink ref="B422" location="Trimestre!C25:F26" display="HIPOTECA" xr:uid="{801ED9D4-77D3-4C95-823B-BC093ABD6AAE}"/>
    <hyperlink ref="B422:G423" location="AÑO!G41:J41" display="AÑO!G41:J41" xr:uid="{49BC4910-D88E-4008-9C77-730C6CECF115}"/>
    <hyperlink ref="B442" location="Trimestre!C25:F26" display="HIPOTECA" xr:uid="{4F49E9A6-FD02-4253-A70F-149908D57EC0}"/>
    <hyperlink ref="B442:G443" location="AÑO!G42:J42" display="AÑO!G42:J42" xr:uid="{C26ED8D2-77CC-4E23-817A-6CC6457DF2AD}"/>
    <hyperlink ref="B462" location="Trimestre!C25:F26" display="HIPOTECA" xr:uid="{60EFBEC7-D887-4633-8BC0-BD2AC87FA5B1}"/>
    <hyperlink ref="B462:G463" location="AÑO!G43:J43" display="AÑO!G43:J43" xr:uid="{D5D227CB-43A7-4361-8D50-E465B8BC722F}"/>
    <hyperlink ref="B482" location="Trimestre!C25:F26" display="HIPOTECA" xr:uid="{5853D647-AB46-4003-8E4E-D97A6B062CB7}"/>
    <hyperlink ref="B482:G483" location="AÑO!G44:J44" display="AÑO!G44:J44" xr:uid="{1C995D0F-13C4-4569-89E2-C4A59E68D4D8}"/>
    <hyperlink ref="B502" location="Trimestre!C25:F26" display="HIPOTECA" xr:uid="{1D957D33-DE28-4352-9355-946C46D933EA}"/>
    <hyperlink ref="B502:G503" location="AÑO!G45:J45" display="AÑO!G45:J45" xr:uid="{193225BA-ADBD-48B1-B37E-27BFB42191A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1796875" defaultRowHeight="14.4"/>
  <cols>
    <col min="1" max="1" width="11.41796875" style="89"/>
    <col min="2" max="2" width="10" style="113" customWidth="1"/>
    <col min="3" max="3" width="33.26171875" style="89" customWidth="1"/>
    <col min="4" max="6" width="10" style="113" customWidth="1"/>
    <col min="7" max="7" width="33.26171875" style="89" customWidth="1"/>
    <col min="8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5.9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6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6">
      <c r="A6" s="112">
        <f>'05'!A6+(B6-SUM(D6:F6))</f>
        <v>2403.54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6">
      <c r="A7" s="112">
        <f>'05'!A7+(B7-SUM(D7:F7))</f>
        <v>860.36000000000013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6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6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6">
      <c r="A10" s="112">
        <f>'05'!A10+(B10-SUM(D10:F10))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6">
      <c r="A11" s="112">
        <f>'05'!A11+(B11-SUM(D11:F11))</f>
        <v>181.37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6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6">
      <c r="A13" s="112">
        <f>'05'!A13+(B13-SUM(D13:F13))</f>
        <v>105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5.9" thickBot="1">
      <c r="A20" s="112">
        <f>SUM(A6:A15)</f>
        <v>3798.31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6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6">
      <c r="A26" s="112">
        <f>'05'!A26+(B26-SUM(D26:F26))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6">
      <c r="A27" s="112">
        <f>'05'!A27+(B27-SUM(D27:F27))</f>
        <v>865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6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6">
      <c r="A29" s="112">
        <f>'05'!A29+(B29-SUM(D29:F29))</f>
        <v>91.23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'05'!A30+(B30-SUM(D30:F30))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5.9" thickBot="1">
      <c r="A40" s="112">
        <f>SUM(A26:A35)</f>
        <v>6335.91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6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6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5.9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5.9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6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6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'05'!A106+(B106-SUM(D106:F106))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'05'!A107+(B107-SUM(D107:F107))</f>
        <v>356.48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'05'!A109+(B109-SUM(D109:F109))</f>
        <v>3119.2400000000016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2145.9300000000003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6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6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4.7" thickBot="1">
      <c r="B201" s="5"/>
      <c r="C201" s="3"/>
      <c r="D201" s="5"/>
      <c r="E201" s="5"/>
    </row>
    <row r="202" spans="2:12" ht="14.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4.7" thickBot="1">
      <c r="B221" s="5"/>
      <c r="C221" s="3"/>
      <c r="D221" s="5"/>
      <c r="E221" s="5"/>
    </row>
    <row r="222" spans="2:7" ht="14.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4.7" thickBot="1">
      <c r="B241" s="5"/>
      <c r="C241" s="3"/>
      <c r="D241" s="5"/>
      <c r="E241" s="5"/>
    </row>
    <row r="242" spans="2:7" ht="14.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4.7" thickBot="1">
      <c r="B259" s="135"/>
      <c r="C259" s="17"/>
      <c r="D259" s="135"/>
      <c r="E259" s="139"/>
      <c r="F259" s="139"/>
      <c r="G259" s="17"/>
    </row>
    <row r="260" spans="2:7" ht="14.7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4.7" thickBot="1">
      <c r="B261" s="5"/>
      <c r="C261" s="3"/>
      <c r="D261" s="5"/>
      <c r="E261" s="5"/>
    </row>
    <row r="262" spans="2:7" ht="14.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4.7" thickBot="1">
      <c r="B279" s="135"/>
      <c r="C279" s="17"/>
      <c r="D279" s="135"/>
      <c r="E279" s="139"/>
      <c r="F279" s="139"/>
      <c r="G279" s="17"/>
    </row>
    <row r="280" spans="2:8" ht="14.7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4.7" thickBot="1">
      <c r="B281" s="5"/>
      <c r="C281" s="3"/>
      <c r="D281" s="5"/>
      <c r="E281" s="5"/>
    </row>
    <row r="282" spans="2:8" ht="14.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4.7" thickBot="1">
      <c r="B299" s="135"/>
      <c r="C299" s="17"/>
      <c r="D299" s="135"/>
      <c r="E299" s="139"/>
      <c r="F299" s="139"/>
      <c r="G299" s="17"/>
    </row>
    <row r="300" spans="2:8" ht="14.7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4.7" thickBot="1">
      <c r="B301" s="5"/>
      <c r="C301" s="3"/>
      <c r="D301" s="5"/>
      <c r="E301" s="5"/>
    </row>
    <row r="302" spans="2:8" ht="14.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4.7" thickBot="1"/>
    <row r="322" spans="2:7" ht="14.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4.7" thickBot="1">
      <c r="B339" s="135"/>
      <c r="C339" s="17"/>
      <c r="D339" s="135"/>
      <c r="E339" s="139"/>
      <c r="F339" s="139"/>
      <c r="G339" s="17"/>
    </row>
    <row r="340" spans="2:7" ht="14.7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4.7" thickBot="1">
      <c r="B341" s="5"/>
      <c r="C341" s="3"/>
      <c r="D341" s="5"/>
      <c r="E341" s="5"/>
    </row>
    <row r="342" spans="2:7" ht="14.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4.7" thickBot="1">
      <c r="B359" s="135"/>
      <c r="C359" s="17"/>
      <c r="D359" s="135"/>
      <c r="E359" s="139"/>
      <c r="F359" s="139"/>
      <c r="G359" s="17"/>
    </row>
    <row r="360" spans="2:7" ht="14.7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4.7" thickBot="1">
      <c r="B361" s="5"/>
      <c r="C361" s="3"/>
      <c r="D361" s="5"/>
      <c r="E361" s="5"/>
    </row>
    <row r="362" spans="2:7" ht="14.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4.7" thickBot="1">
      <c r="B381" s="5"/>
      <c r="C381" s="3"/>
      <c r="D381" s="5"/>
      <c r="E381" s="5"/>
    </row>
    <row r="382" spans="2:7" ht="14.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4.7" thickBot="1">
      <c r="B401" s="5"/>
      <c r="C401" s="3"/>
      <c r="D401" s="5"/>
      <c r="E401" s="5"/>
    </row>
    <row r="402" spans="2:7" ht="14.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4.7" thickBot="1">
      <c r="B421" s="5"/>
      <c r="C421" s="3"/>
      <c r="D421" s="5"/>
      <c r="E421" s="5"/>
    </row>
    <row r="422" spans="1:7" ht="14.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4.7" thickBot="1">
      <c r="B441" s="5"/>
      <c r="C441" s="3"/>
      <c r="D441" s="5"/>
      <c r="E441" s="5"/>
    </row>
    <row r="442" spans="2:7" ht="14.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4.7" thickBot="1">
      <c r="B461" s="5"/>
      <c r="C461" s="3"/>
      <c r="D461" s="5"/>
      <c r="E461" s="5"/>
    </row>
    <row r="462" spans="2:7" ht="14.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'05'!A466+(B466-SUM(D466:F466))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'05'!A467+(B467-SUM(D467:F467))</f>
        <v>533.02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'05'!A468+(B468-SUM(D468:F468))</f>
        <v>55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1263.02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4.7" thickBot="1"/>
    <row r="482" spans="2:7" ht="14.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4.7" thickBot="1">
      <c r="B501" s="5"/>
      <c r="C501" s="3"/>
      <c r="D501" s="5"/>
      <c r="E501" s="5"/>
    </row>
    <row r="502" spans="2:7" ht="14.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1796875" defaultRowHeight="14.4"/>
  <cols>
    <col min="1" max="1" width="11.41796875" style="89"/>
    <col min="2" max="2" width="10" style="113" customWidth="1"/>
    <col min="3" max="3" width="33.26171875" style="89" customWidth="1"/>
    <col min="4" max="6" width="10" style="113" customWidth="1"/>
    <col min="7" max="7" width="33.26171875" style="89" customWidth="1"/>
    <col min="8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5.9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6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6">
      <c r="A6" s="112">
        <f>'06'!A6+(B6-SUM(D6:F6))</f>
        <v>2803.13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6">
      <c r="A7" s="112">
        <f>'06'!A7+(B7-SUM(D7:F7))</f>
        <v>930.54000000000019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6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6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6">
      <c r="A10" s="112">
        <f>'06'!A10+(B10-SUM(D10:F10))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6">
      <c r="A11" s="112">
        <f>'06'!A11+(B11-SUM(D11:F11))</f>
        <v>211.6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6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6">
      <c r="A13" s="112">
        <f>'06'!A13+(B13-SUM(D13:F13))</f>
        <v>112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5.9" thickBot="1">
      <c r="A20" s="112">
        <f>SUM(A6:A15)</f>
        <v>4342.3100000000004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6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6">
      <c r="A26" s="112">
        <f>'06'!A26+(B26-SUM(D26:F26))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6">
      <c r="A27" s="112">
        <f>'06'!A27+(B27-SUM(D27:F27))</f>
        <v>1035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6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6">
      <c r="A29" s="112">
        <f>'06'!A29+(B29-SUM(D29:F29))</f>
        <v>109.23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'06'!A30+(B30-SUM(D30:F30))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5.9" thickBot="1">
      <c r="A40" s="112">
        <f>SUM(A26:A35)</f>
        <v>7463.91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6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6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5.9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5.9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6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6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'06'!A106+(B106-SUM(D106:F106))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'06'!A107+(B107-SUM(D107:F107))</f>
        <v>427.48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'06'!A109+(B109-SUM(D109:F109))</f>
        <v>3144.7700000000018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2525.4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6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6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4.7" thickBot="1">
      <c r="B201" s="5"/>
      <c r="C201" s="3"/>
      <c r="D201" s="5"/>
      <c r="E201" s="5"/>
    </row>
    <row r="202" spans="2:12" ht="14.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4.7" thickBot="1">
      <c r="B221" s="5"/>
      <c r="C221" s="3"/>
      <c r="D221" s="5"/>
      <c r="E221" s="5"/>
    </row>
    <row r="222" spans="2:7" ht="14.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4.7" thickBot="1">
      <c r="B241" s="5"/>
      <c r="C241" s="3"/>
      <c r="D241" s="5"/>
      <c r="E241" s="5"/>
    </row>
    <row r="242" spans="2:7" ht="14.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4.7" thickBot="1">
      <c r="B259" s="135"/>
      <c r="C259" s="17"/>
      <c r="D259" s="135"/>
      <c r="E259" s="139"/>
      <c r="F259" s="139"/>
      <c r="G259" s="17"/>
    </row>
    <row r="260" spans="2:7" ht="14.7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4.7" thickBot="1">
      <c r="B261" s="5"/>
      <c r="C261" s="3"/>
      <c r="D261" s="5"/>
      <c r="E261" s="5"/>
    </row>
    <row r="262" spans="2:7" ht="14.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4.7" thickBot="1">
      <c r="B279" s="135"/>
      <c r="C279" s="17"/>
      <c r="D279" s="135"/>
      <c r="E279" s="139"/>
      <c r="F279" s="139"/>
      <c r="G279" s="17"/>
    </row>
    <row r="280" spans="2:8" ht="14.7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4.7" thickBot="1">
      <c r="B281" s="5"/>
      <c r="C281" s="3"/>
      <c r="D281" s="5"/>
      <c r="E281" s="5"/>
    </row>
    <row r="282" spans="2:8" ht="14.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4.7" thickBot="1">
      <c r="B299" s="135"/>
      <c r="C299" s="17"/>
      <c r="D299" s="135"/>
      <c r="E299" s="139"/>
      <c r="F299" s="139"/>
      <c r="G299" s="17"/>
    </row>
    <row r="300" spans="2:8" ht="14.7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4.7" thickBot="1">
      <c r="B301" s="5"/>
      <c r="C301" s="3"/>
      <c r="D301" s="5"/>
      <c r="E301" s="5"/>
    </row>
    <row r="302" spans="2:8" ht="14.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4.7" thickBot="1"/>
    <row r="322" spans="2:7" ht="14.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4.7" thickBot="1">
      <c r="B339" s="135"/>
      <c r="C339" s="17"/>
      <c r="D339" s="135"/>
      <c r="E339" s="139"/>
      <c r="F339" s="139"/>
      <c r="G339" s="17"/>
    </row>
    <row r="340" spans="2:7" ht="14.7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4.7" thickBot="1">
      <c r="B341" s="5"/>
      <c r="C341" s="3"/>
      <c r="D341" s="5"/>
      <c r="E341" s="5"/>
    </row>
    <row r="342" spans="2:7" ht="14.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4.7" thickBot="1">
      <c r="B359" s="135"/>
      <c r="C359" s="17"/>
      <c r="D359" s="135"/>
      <c r="E359" s="139"/>
      <c r="F359" s="139"/>
      <c r="G359" s="17"/>
    </row>
    <row r="360" spans="2:7" ht="14.7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4.7" thickBot="1">
      <c r="B361" s="5"/>
      <c r="C361" s="3"/>
      <c r="D361" s="5"/>
      <c r="E361" s="5"/>
    </row>
    <row r="362" spans="2:7" ht="14.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4.7" thickBot="1">
      <c r="B381" s="5"/>
      <c r="C381" s="3"/>
      <c r="D381" s="5"/>
      <c r="E381" s="5"/>
    </row>
    <row r="382" spans="2:7" ht="14.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4.7" thickBot="1">
      <c r="B401" s="5"/>
      <c r="C401" s="3"/>
      <c r="D401" s="5"/>
      <c r="E401" s="5"/>
    </row>
    <row r="402" spans="2:7" ht="14.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4.7" thickBot="1">
      <c r="B421" s="5"/>
      <c r="C421" s="3"/>
      <c r="D421" s="5"/>
      <c r="E421" s="5"/>
    </row>
    <row r="422" spans="1:7" ht="14.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4.7" thickBot="1">
      <c r="B441" s="5"/>
      <c r="C441" s="3"/>
      <c r="D441" s="5"/>
      <c r="E441" s="5"/>
    </row>
    <row r="442" spans="2:7" ht="14.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4.7" thickBot="1">
      <c r="B461" s="5"/>
      <c r="C461" s="3"/>
      <c r="D461" s="5"/>
      <c r="E461" s="5"/>
    </row>
    <row r="462" spans="2:7" ht="14.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'06'!A466+(B466-SUM(D466:F466))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'06'!A467+(B467-SUM(D467:F467))</f>
        <v>553.02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'06'!A468+(B468-SUM(D468:F468))</f>
        <v>60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1313.02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4.7" thickBot="1"/>
    <row r="482" spans="2:7" ht="14.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4.7" thickBot="1">
      <c r="B501" s="5"/>
      <c r="C501" s="3"/>
      <c r="D501" s="5"/>
      <c r="E501" s="5"/>
    </row>
    <row r="502" spans="2:7" ht="14.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1796875" defaultRowHeight="14.4"/>
  <cols>
    <col min="1" max="1" width="11.41796875" style="89"/>
    <col min="2" max="2" width="10" style="113" customWidth="1"/>
    <col min="3" max="3" width="33.26171875" style="89" customWidth="1"/>
    <col min="4" max="6" width="10" style="113" customWidth="1"/>
    <col min="7" max="7" width="33.26171875" style="89" customWidth="1"/>
    <col min="8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5.9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6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6">
      <c r="A6" s="112">
        <f>'07'!A6+(B6-SUM(D6:F6))</f>
        <v>3202.7200000000003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6">
      <c r="A7" s="112">
        <f>'07'!A7+(B7-SUM(D7:F7))</f>
        <v>1000.7200000000003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6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6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6">
      <c r="A10" s="112">
        <f>'07'!A10+(B10-SUM(D10:F10))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6">
      <c r="A11" s="112">
        <f>'07'!A11+(B11-SUM(D11:F11))</f>
        <v>241.82999999999998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6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6">
      <c r="A13" s="112">
        <f>'07'!A13+(B13-SUM(D13:F13))</f>
        <v>119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5.9" thickBot="1">
      <c r="A20" s="112">
        <f>SUM(A6:A15)</f>
        <v>4886.3100000000004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6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6">
      <c r="A26" s="112">
        <f>'07'!A26+(B26-SUM(D26:F26))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6">
      <c r="A27" s="112">
        <f>'07'!A27+(B27-SUM(D27:F27))</f>
        <v>1205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6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6">
      <c r="A29" s="112">
        <f>'07'!A29+(B29-SUM(D29:F29))</f>
        <v>127.23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'07'!A30+(B30-SUM(D30:F30))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5.9" thickBot="1">
      <c r="A40" s="112">
        <f>SUM(A26:A35)</f>
        <v>8591.91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6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6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5.9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5.9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6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6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'07'!A106+(B106-SUM(D106:F106))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'07'!A107+(B107-SUM(D107:F107))</f>
        <v>498.48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'07'!A109+(B109-SUM(D109:F109))</f>
        <v>3170.300000000002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2904.8700000000003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6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6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4.7" thickBot="1">
      <c r="B201" s="5"/>
      <c r="C201" s="3"/>
      <c r="D201" s="5"/>
      <c r="E201" s="5"/>
    </row>
    <row r="202" spans="2:12" ht="14.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4.7" thickBot="1">
      <c r="B221" s="5"/>
      <c r="C221" s="3"/>
      <c r="D221" s="5"/>
      <c r="E221" s="5"/>
    </row>
    <row r="222" spans="2:7" ht="14.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4.7" thickBot="1">
      <c r="B241" s="5"/>
      <c r="C241" s="3"/>
      <c r="D241" s="5"/>
      <c r="E241" s="5"/>
    </row>
    <row r="242" spans="2:7" ht="14.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4.7" thickBot="1">
      <c r="B259" s="135"/>
      <c r="C259" s="17"/>
      <c r="D259" s="135"/>
      <c r="E259" s="139"/>
      <c r="F259" s="139"/>
      <c r="G259" s="17"/>
    </row>
    <row r="260" spans="2:7" ht="14.7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4.7" thickBot="1">
      <c r="B261" s="5"/>
      <c r="C261" s="3"/>
      <c r="D261" s="5"/>
      <c r="E261" s="5"/>
    </row>
    <row r="262" spans="2:7" ht="14.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4.7" thickBot="1">
      <c r="B279" s="135"/>
      <c r="C279" s="17"/>
      <c r="D279" s="135"/>
      <c r="E279" s="139"/>
      <c r="F279" s="139"/>
      <c r="G279" s="17"/>
    </row>
    <row r="280" spans="2:8" ht="14.7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4.7" thickBot="1">
      <c r="B281" s="5"/>
      <c r="C281" s="3"/>
      <c r="D281" s="5"/>
      <c r="E281" s="5"/>
    </row>
    <row r="282" spans="2:8" ht="14.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4.7" thickBot="1">
      <c r="B299" s="135"/>
      <c r="C299" s="17"/>
      <c r="D299" s="135"/>
      <c r="E299" s="139"/>
      <c r="F299" s="139"/>
      <c r="G299" s="17"/>
    </row>
    <row r="300" spans="2:8" ht="14.7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4.7" thickBot="1">
      <c r="B301" s="5"/>
      <c r="C301" s="3"/>
      <c r="D301" s="5"/>
      <c r="E301" s="5"/>
    </row>
    <row r="302" spans="2:8" ht="14.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4.7" thickBot="1"/>
    <row r="322" spans="2:7" ht="14.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4.7" thickBot="1">
      <c r="B339" s="135"/>
      <c r="C339" s="17"/>
      <c r="D339" s="135"/>
      <c r="E339" s="139"/>
      <c r="F339" s="139"/>
      <c r="G339" s="17"/>
    </row>
    <row r="340" spans="2:7" ht="14.7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4.7" thickBot="1">
      <c r="B341" s="5"/>
      <c r="C341" s="3"/>
      <c r="D341" s="5"/>
      <c r="E341" s="5"/>
    </row>
    <row r="342" spans="2:7" ht="14.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4.7" thickBot="1">
      <c r="B359" s="135"/>
      <c r="C359" s="17"/>
      <c r="D359" s="135"/>
      <c r="E359" s="139"/>
      <c r="F359" s="139"/>
      <c r="G359" s="17"/>
    </row>
    <row r="360" spans="2:7" ht="14.7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4.7" thickBot="1">
      <c r="B361" s="5"/>
      <c r="C361" s="3"/>
      <c r="D361" s="5"/>
      <c r="E361" s="5"/>
    </row>
    <row r="362" spans="2:7" ht="14.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4.7" thickBot="1">
      <c r="B381" s="5"/>
      <c r="C381" s="3"/>
      <c r="D381" s="5"/>
      <c r="E381" s="5"/>
    </row>
    <row r="382" spans="2:7" ht="14.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4.7" thickBot="1">
      <c r="B401" s="5"/>
      <c r="C401" s="3"/>
      <c r="D401" s="5"/>
      <c r="E401" s="5"/>
    </row>
    <row r="402" spans="2:7" ht="14.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4.7" thickBot="1">
      <c r="B421" s="5"/>
      <c r="C421" s="3"/>
      <c r="D421" s="5"/>
      <c r="E421" s="5"/>
    </row>
    <row r="422" spans="1:7" ht="14.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4.7" thickBot="1">
      <c r="B441" s="5"/>
      <c r="C441" s="3"/>
      <c r="D441" s="5"/>
      <c r="E441" s="5"/>
    </row>
    <row r="442" spans="2:7" ht="14.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4.7" thickBot="1">
      <c r="B461" s="5"/>
      <c r="C461" s="3"/>
      <c r="D461" s="5"/>
      <c r="E461" s="5"/>
    </row>
    <row r="462" spans="2:7" ht="14.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'07'!A466+(B466-SUM(D466:F466))</f>
        <v>725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'07'!A467+(B467-SUM(D467:F467))</f>
        <v>573.02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'07'!A468+(B468-SUM(D468:F468))</f>
        <v>65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1363.02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4.7" thickBot="1"/>
    <row r="482" spans="2:7" ht="14.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4.7" thickBot="1">
      <c r="B501" s="5"/>
      <c r="C501" s="3"/>
      <c r="D501" s="5"/>
      <c r="E501" s="5"/>
    </row>
    <row r="502" spans="2:7" ht="14.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2019-01-21T16:17:01Z</dcterms:modified>
</cp:coreProperties>
</file>