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30239ED-BE97-41C9-816F-9207B91B8E0D}" xr6:coauthVersionLast="36" xr6:coauthVersionMax="36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R29" i="3"/>
  <c r="B4" i="6" l="1"/>
  <c r="P20" i="3" l="1"/>
  <c r="Q20" i="3"/>
  <c r="F20" i="3"/>
  <c r="R20" i="3" l="1"/>
  <c r="B5" i="2" l="1"/>
  <c r="A27" i="3"/>
  <c r="G37" i="3"/>
  <c r="G34" i="3" l="1"/>
  <c r="G35" i="3"/>
  <c r="G36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4" i="3"/>
  <c r="B15" i="4" l="1"/>
  <c r="R18" i="3" l="1"/>
  <c r="O24" i="3" l="1"/>
  <c r="N24" i="3"/>
  <c r="M24" i="3"/>
  <c r="L24" i="3"/>
  <c r="R3" i="3"/>
  <c r="S3" i="3"/>
  <c r="S24" i="3" s="1"/>
  <c r="R12" i="3"/>
  <c r="Q13" i="3"/>
  <c r="R24" i="3" l="1"/>
  <c r="K24" i="3"/>
  <c r="J24" i="3"/>
  <c r="I24" i="3"/>
  <c r="H24" i="3" l="1"/>
  <c r="B13" i="3" l="1"/>
  <c r="B18" i="1" l="1"/>
  <c r="B16" i="1"/>
  <c r="B5" i="1" l="1"/>
  <c r="B17" i="1" s="1"/>
  <c r="B15" i="1" s="1"/>
  <c r="B19" i="2"/>
  <c r="A28" i="3" l="1"/>
  <c r="F28" i="3"/>
  <c r="E28" i="3"/>
  <c r="B28" i="3"/>
  <c r="E16" i="4"/>
  <c r="B7" i="4"/>
  <c r="E13" i="4" s="1"/>
  <c r="E17" i="4" s="1"/>
  <c r="B5" i="4"/>
  <c r="I4" i="4"/>
  <c r="I5" i="4" s="1"/>
  <c r="D28" i="3" l="1"/>
  <c r="D13" i="3"/>
  <c r="G28" i="3"/>
  <c r="E6" i="4"/>
  <c r="E5" i="4"/>
  <c r="E3" i="4"/>
  <c r="E4" i="4"/>
  <c r="H28" i="3" l="1"/>
  <c r="L28" i="3"/>
  <c r="M28" i="3" s="1"/>
  <c r="E11" i="4"/>
  <c r="E18" i="4" s="1"/>
  <c r="J28" i="3" l="1"/>
  <c r="I28" i="3"/>
  <c r="N28" i="3"/>
  <c r="K28" i="3" l="1"/>
  <c r="P35" i="3" s="1"/>
  <c r="O28" i="3"/>
  <c r="P28" i="3"/>
  <c r="Q28" i="3"/>
  <c r="F27" i="3"/>
  <c r="E27" i="3"/>
  <c r="B27" i="3"/>
  <c r="A26" i="3"/>
  <c r="E16" i="2"/>
  <c r="B12" i="2"/>
  <c r="B7" i="2"/>
  <c r="D27" i="3"/>
  <c r="I4" i="2"/>
  <c r="I5" i="2" s="1"/>
  <c r="R28" i="3" l="1"/>
  <c r="P36" i="3"/>
  <c r="P37" i="3" s="1"/>
  <c r="L27" i="3"/>
  <c r="M27" i="3" s="1"/>
  <c r="S28" i="3"/>
  <c r="E5" i="2"/>
  <c r="G27" i="3"/>
  <c r="H27" i="3"/>
  <c r="I27" i="3" s="1"/>
  <c r="E6" i="2"/>
  <c r="E3" i="2"/>
  <c r="E4" i="2"/>
  <c r="E13" i="2"/>
  <c r="E17" i="2" s="1"/>
  <c r="N27" i="3" l="1"/>
  <c r="J27" i="3"/>
  <c r="E11" i="2"/>
  <c r="E18" i="2" s="1"/>
  <c r="B12" i="1"/>
  <c r="B26" i="3"/>
  <c r="F26" i="3"/>
  <c r="E26" i="3"/>
  <c r="P27" i="3" l="1"/>
  <c r="O27" i="3"/>
  <c r="K27" i="3"/>
  <c r="D26" i="3"/>
  <c r="H26" i="3" s="1"/>
  <c r="F3" i="3"/>
  <c r="G3" i="3" s="1"/>
  <c r="R27" i="3" l="1"/>
  <c r="S27" i="3" s="1"/>
  <c r="Q27" i="3"/>
  <c r="L26" i="3"/>
  <c r="I26" i="3"/>
  <c r="J26" i="3" s="1"/>
  <c r="K26" i="3" s="1"/>
  <c r="E16" i="1"/>
  <c r="M26" i="3" l="1"/>
  <c r="P26" i="3" s="1"/>
  <c r="I4" i="1"/>
  <c r="N26" i="3" l="1"/>
  <c r="Q26" i="3" s="1"/>
  <c r="B7" i="1"/>
  <c r="G26" i="3" s="1"/>
  <c r="O26" i="3" l="1"/>
  <c r="E6" i="1"/>
  <c r="E13" i="1"/>
  <c r="E17" i="1" s="1"/>
  <c r="E3" i="1"/>
  <c r="E4" i="1"/>
  <c r="E5" i="1"/>
  <c r="R26" i="3" l="1"/>
  <c r="S26" i="3" s="1"/>
  <c r="E11" i="1"/>
  <c r="E18" i="1" s="1"/>
  <c r="I5" i="1"/>
</calcChain>
</file>

<file path=xl/sharedStrings.xml><?xml version="1.0" encoding="utf-8"?>
<sst xmlns="http://schemas.openxmlformats.org/spreadsheetml/2006/main" count="220" uniqueCount="118">
  <si>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</si>
  <si>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</si>
  <si>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</si>
  <si>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</si>
  <si>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</si>
  <si>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</si>
  <si>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</si>
  <si>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</si>
  <si>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</si>
  <si>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</si>
  <si>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</si>
  <si>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</si>
  <si>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</si>
  <si>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</si>
  <si>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</si>
  <si>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</si>
  <si>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</si>
  <si>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</si>
  <si>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</si>
  <si>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</si>
  <si>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</si>
  <si>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</si>
  <si>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</si>
  <si>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</si>
  <si>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</si>
  <si>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</si>
  <si>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</si>
  <si>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</si>
  <si>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</si>
  <si>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</si>
  <si>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</si>
  <si>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</si>
  <si>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</si>
  <si>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</si>
  <si>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</si>
  <si>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</si>
  <si>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</si>
  <si>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</si>
  <si>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</si>
  <si>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</si>
  <si>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</si>
  <si>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</si>
  <si>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</si>
  <si>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</si>
  <si>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</si>
  <si>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</si>
  <si>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</si>
  <si>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</si>
  <si>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</si>
  <si>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</si>
  <si>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</si>
  <si>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</si>
  <si>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</si>
  <si>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</si>
  <si>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</si>
  <si>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</si>
  <si>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</si>
  <si>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</si>
  <si>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</si>
  <si>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</si>
  <si>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</si>
  <si>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</si>
  <si>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</si>
  <si>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</si>
  <si>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</si>
  <si>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</si>
  <si>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</si>
  <si>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</si>
  <si>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</si>
  <si>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</si>
  <si>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</si>
  <si>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</si>
  <si>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</si>
  <si>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</si>
  <si>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</si>
  <si>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</si>
  <si>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</si>
  <si>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</si>
  <si>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</si>
  <si>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</si>
  <si>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</si>
  <si>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</si>
  <si>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</si>
  <si>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</si>
  <si>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</si>
  <si>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</si>
  <si>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</si>
  <si>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</si>
  <si>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</si>
  <si>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</si>
  <si>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</si>
  <si>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</si>
  <si>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</si>
  <si>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</si>
  <si>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</si>
  <si>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</si>
  <si>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</si>
  <si>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</si>
  <si>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</si>
  <si>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</si>
  <si>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</si>
  <si>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</si>
  <si>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</si>
  <si>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</si>
  <si>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</si>
  <si>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</si>
  <si>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</si>
  <si>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</si>
  <si>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</si>
  <si>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</si>
  <si>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</si>
  <si>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</si>
  <si>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</si>
  <si>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</si>
  <si>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</si>
  <si>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</si>
  <si>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</si>
  <si>
    <t>Custodia de acciones  ITX.MC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</si>
</sst>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A10"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31.82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0.22478829869130101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tabSelected="1" topLeftCell="H19" zoomScaleNormal="100" workbookViewId="0">
      <selection activeCell="U33" sqref="U3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4" spans="1:21" x14ac:dyDescent="0.25">
      <c r="H24" s="15">
        <f t="shared" ref="H24:O24" si="0">SUM(H3:H23)</f>
        <v>17571.839999999997</v>
      </c>
      <c r="I24" s="15">
        <f t="shared" si="0"/>
        <v>42.26</v>
      </c>
      <c r="J24" s="15">
        <f t="shared" si="0"/>
        <v>13.75</v>
      </c>
      <c r="K24" s="15">
        <f t="shared" si="0"/>
        <v>0</v>
      </c>
      <c r="L24" s="15">
        <f t="shared" si="0"/>
        <v>0</v>
      </c>
      <c r="M24" s="15">
        <f t="shared" si="0"/>
        <v>0</v>
      </c>
      <c r="N24" s="15">
        <f t="shared" si="0"/>
        <v>0</v>
      </c>
      <c r="O24" s="15">
        <f t="shared" si="0"/>
        <v>0</v>
      </c>
      <c r="R24" s="15">
        <f>SUM(R3:R23)</f>
        <v>3227.3456679999995</v>
      </c>
      <c r="S24" s="16">
        <f>SUM(S3:S23)</f>
        <v>3.7548916419551364</v>
      </c>
    </row>
    <row r="25" spans="1:21" x14ac:dyDescent="0.25">
      <c r="H25" s="52"/>
      <c r="I25" s="52"/>
      <c r="J25" s="52"/>
      <c r="K25" s="52"/>
      <c r="L25" s="52"/>
      <c r="M25" s="52"/>
      <c r="N25" s="52"/>
      <c r="O25" s="52"/>
      <c r="R25" s="52"/>
      <c r="S25" s="51"/>
      <c r="T25" s="51"/>
    </row>
    <row r="26" spans="1:21" x14ac:dyDescent="0.25">
      <c r="A26" s="39" t="str">
        <f>'Operacion 1'!B$3</f>
        <v>ABI.BR</v>
      </c>
      <c r="B26" s="8">
        <f>'Operacion 1'!B$2</f>
        <v>42234</v>
      </c>
      <c r="C26" s="8"/>
      <c r="D26" s="14">
        <f>'Operacion 1'!B$5</f>
        <v>62</v>
      </c>
      <c r="E26" s="9">
        <f>'Operacion 1'!B$4</f>
        <v>89</v>
      </c>
      <c r="F26" s="9">
        <f>'Operacion 1'!B$6</f>
        <v>120</v>
      </c>
      <c r="G26" s="10">
        <f>'Operacion 1'!B$7</f>
        <v>0.348314606741573</v>
      </c>
      <c r="H26" s="9">
        <f>(E26*D26)</f>
        <v>5518</v>
      </c>
      <c r="I26" s="9">
        <f>IF((H26*0.005)&lt;20,20,(H26*0.005))</f>
        <v>27.59</v>
      </c>
      <c r="J26" s="9">
        <f>SUM(H26:I26)*0.0027</f>
        <v>14.973093</v>
      </c>
      <c r="K26" s="9">
        <f>SUM(H26:J26)</f>
        <v>5560.5630929999998</v>
      </c>
      <c r="L26" s="9">
        <f>D26*F26</f>
        <v>7440</v>
      </c>
      <c r="M26" s="9">
        <f>IF((L26*0.005)&lt;20,-20,-(L26*0.005))</f>
        <v>-37.200000000000003</v>
      </c>
      <c r="N26" s="9">
        <f>-(SUM(L26:M26)*0.0027)</f>
        <v>-19.987560000000002</v>
      </c>
      <c r="O26" s="9">
        <f>SUM(L26:N26)</f>
        <v>7382.8124400000006</v>
      </c>
      <c r="P26" s="9">
        <f>I26-M26</f>
        <v>64.790000000000006</v>
      </c>
      <c r="Q26" s="9">
        <f>J26-N26</f>
        <v>34.960653000000001</v>
      </c>
      <c r="R26" s="9">
        <f t="shared" ref="R26:R27" si="1">O26-K26</f>
        <v>1822.2493470000009</v>
      </c>
      <c r="S26" s="10">
        <f>R26/K26</f>
        <v>0.32770949929404947</v>
      </c>
      <c r="T26" t="s">
        <v>111</v>
      </c>
      <c r="U26" t="s">
        <v>114</v>
      </c>
    </row>
    <row r="27" spans="1:21" x14ac:dyDescent="0.25">
      <c r="A27" s="39" t="str">
        <f>'Operacion 2'!B$3</f>
        <v>DAI.DE</v>
      </c>
      <c r="B27" s="8">
        <f>'Operacion 2'!B$2</f>
        <v>42471</v>
      </c>
      <c r="C27" s="8"/>
      <c r="D27" s="14">
        <f>'Operacion 2'!B$5</f>
        <v>40</v>
      </c>
      <c r="E27" s="9">
        <f>'Operacion 2'!B$4</f>
        <v>49.94</v>
      </c>
      <c r="F27" s="9">
        <f>'Operacion 2'!B$6</f>
        <v>57</v>
      </c>
      <c r="G27" s="10">
        <f>'Operacion 2'!B$7</f>
        <v>0.14136964357228687</v>
      </c>
      <c r="H27" s="9">
        <f t="shared" ref="H27:H28" si="2">E27*D27</f>
        <v>1997.6</v>
      </c>
      <c r="I27" s="9">
        <f>IF((H27*0.0075)&lt;30,30,(H27*0.0075))</f>
        <v>30</v>
      </c>
      <c r="J27" s="9">
        <f>H27*0.0027</f>
        <v>5.3935199999999996</v>
      </c>
      <c r="K27" s="9">
        <f t="shared" ref="K27:K28" si="3">SUM(H27:J27)</f>
        <v>2032.99352</v>
      </c>
      <c r="L27" s="9">
        <f t="shared" ref="L27:L28" si="4">D27*F27</f>
        <v>2280</v>
      </c>
      <c r="M27" s="9">
        <f>IF((L27*0.0075)&lt;30,-30,-(L27*0.0075))</f>
        <v>-30</v>
      </c>
      <c r="N27" s="9">
        <f>-(L27*0.0027)</f>
        <v>-6.1560000000000006</v>
      </c>
      <c r="O27" s="9">
        <f t="shared" ref="O27:O28" si="5">SUM(L27:N27)</f>
        <v>2243.8440000000001</v>
      </c>
      <c r="P27" s="9">
        <f t="shared" ref="P27:P28" si="6">I27-M27</f>
        <v>60</v>
      </c>
      <c r="Q27" s="9">
        <f t="shared" ref="Q27:Q28" si="7">J27-N27</f>
        <v>11.549520000000001</v>
      </c>
      <c r="R27" s="9">
        <f t="shared" si="1"/>
        <v>210.85048000000006</v>
      </c>
      <c r="S27" s="10">
        <f t="shared" ref="S27" si="8">R27/K27</f>
        <v>0.10371429024525373</v>
      </c>
      <c r="T27" t="s">
        <v>110</v>
      </c>
      <c r="U27" t="s">
        <v>114</v>
      </c>
    </row>
    <row r="28" spans="1:21" x14ac:dyDescent="0.25">
      <c r="A28" s="39" t="str">
        <f>'Operacion 3'!B3</f>
        <v>ITX.MC</v>
      </c>
      <c r="B28" s="8">
        <f>'Operacion 3'!B$2</f>
        <v>43154</v>
      </c>
      <c r="C28" s="8"/>
      <c r="D28" s="14">
        <f>'Operacion 3'!B$5</f>
        <v>196</v>
      </c>
      <c r="E28" s="9">
        <f>'Operacion 3'!B$4</f>
        <v>25.98</v>
      </c>
      <c r="F28" s="9">
        <f>'Operacion 3'!B$6</f>
        <v>31.82</v>
      </c>
      <c r="G28" s="10">
        <f>'Operacion 3'!B$7</f>
        <v>0.22478829869130101</v>
      </c>
      <c r="H28" s="9">
        <f t="shared" si="2"/>
        <v>5092.08</v>
      </c>
      <c r="I28" s="9">
        <f>IF((H28*(0.0075+0.0008))&lt;30,30,(H28*(0.0075+0.0008)))</f>
        <v>42.264263999999997</v>
      </c>
      <c r="J28" s="9">
        <f>H28*0.0027</f>
        <v>13.748616</v>
      </c>
      <c r="K28" s="9">
        <f t="shared" si="3"/>
        <v>5148.0928800000002</v>
      </c>
      <c r="L28" s="9">
        <f t="shared" si="4"/>
        <v>6236.72</v>
      </c>
      <c r="M28" s="9">
        <f>IF((L28*(0.0075+0.0008))&lt;30,-30,-(L28*(0.0075+0.0008)))</f>
        <v>-51.764776000000005</v>
      </c>
      <c r="N28" s="9">
        <f>-(L28*0.0027)</f>
        <v>-16.839144000000001</v>
      </c>
      <c r="O28" s="9">
        <f t="shared" si="5"/>
        <v>6168.1160800000007</v>
      </c>
      <c r="P28" s="9">
        <f t="shared" si="6"/>
        <v>94.029040000000009</v>
      </c>
      <c r="Q28" s="9">
        <f t="shared" si="7"/>
        <v>30.587760000000003</v>
      </c>
      <c r="R28" s="9">
        <f>O28-K28</f>
        <v>1020.0232000000005</v>
      </c>
      <c r="S28" s="10">
        <f>R28/K28</f>
        <v>0.19813612997596122</v>
      </c>
      <c r="T28" t="s">
        <v>58</v>
      </c>
      <c r="U28" t="s">
        <v>114</v>
      </c>
    </row>
    <row r="29" spans="1:21" x14ac:dyDescent="0.25">
      <c r="R29" s="56">
        <f>R28+SUM(R19:R21)</f>
        <v>1068.4132000000004</v>
      </c>
    </row>
    <row r="30" spans="1:21" x14ac:dyDescent="0.25">
      <c r="D30" s="48"/>
      <c r="H30" s="48" t="s">
        <v>59</v>
      </c>
      <c r="I30" s="48"/>
      <c r="J30" s="48" t="s">
        <v>62</v>
      </c>
      <c r="K30" s="48"/>
      <c r="L30" s="48"/>
      <c r="M30" s="48"/>
      <c r="N30" s="48"/>
      <c r="O30" s="48"/>
      <c r="R30" s="48"/>
    </row>
    <row r="31" spans="1:21" x14ac:dyDescent="0.25">
      <c r="F31" s="5"/>
      <c r="G31" s="48"/>
    </row>
    <row r="32" spans="1:21" x14ac:dyDescent="0.25">
      <c r="T32" t="s">
        <v>70</v>
      </c>
      <c r="U32">
        <v>23.5</v>
      </c>
    </row>
    <row r="33" spans="3:22" x14ac:dyDescent="0.25"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68</v>
      </c>
      <c r="U33">
        <v>31.82</v>
      </c>
      <c r="V33" t="s">
        <v>116</v>
      </c>
    </row>
    <row r="34" spans="3:22" x14ac:dyDescent="0.25">
      <c r="D34" t="s">
        <v>64</v>
      </c>
      <c r="E34">
        <v>74.89</v>
      </c>
      <c r="F34">
        <v>52</v>
      </c>
      <c r="G34" s="10">
        <f>1-(F34/E34)</f>
        <v>0.30564828415008682</v>
      </c>
      <c r="N34">
        <v>6769.84</v>
      </c>
      <c r="O34">
        <v>74.459999999999994</v>
      </c>
      <c r="P34" s="5">
        <v>6695.38</v>
      </c>
      <c r="S34" s="10"/>
      <c r="T34" t="s">
        <v>69</v>
      </c>
      <c r="U34" s="3">
        <f>(U33/U32)-1</f>
        <v>0.35404255319148947</v>
      </c>
      <c r="V34" t="s">
        <v>83</v>
      </c>
    </row>
    <row r="35" spans="3:22" x14ac:dyDescent="0.25">
      <c r="D35" t="s">
        <v>63</v>
      </c>
      <c r="E35">
        <v>182.08</v>
      </c>
      <c r="F35">
        <v>126</v>
      </c>
      <c r="G35" s="10">
        <f>1-(F35/E35)</f>
        <v>0.30799648506151145</v>
      </c>
      <c r="H35" s="5"/>
      <c r="I35" s="5"/>
      <c r="J35" s="5"/>
      <c r="K35" s="5"/>
      <c r="L35" s="5"/>
      <c r="M35" s="5"/>
      <c r="N35" s="5"/>
      <c r="O35" s="5"/>
      <c r="P35" s="5">
        <f>P34-K28</f>
        <v>1547.28712</v>
      </c>
      <c r="R35" s="5"/>
    </row>
    <row r="36" spans="3:22" x14ac:dyDescent="0.25">
      <c r="D36" t="s">
        <v>65</v>
      </c>
      <c r="E36">
        <v>93.54</v>
      </c>
      <c r="F36">
        <v>65</v>
      </c>
      <c r="G36" s="10">
        <f>1-(F36/E36)</f>
        <v>0.30511011332050464</v>
      </c>
      <c r="H36" s="9"/>
      <c r="I36" s="9"/>
      <c r="J36" s="9"/>
      <c r="K36" s="5"/>
      <c r="P36" s="56">
        <f>P35*0.1</f>
        <v>154.728712</v>
      </c>
    </row>
    <row r="37" spans="3:22" x14ac:dyDescent="0.25">
      <c r="C37" t="s">
        <v>109</v>
      </c>
      <c r="E37">
        <v>20</v>
      </c>
      <c r="F37">
        <v>14</v>
      </c>
      <c r="G37" s="10">
        <f>1-(F37/E37)</f>
        <v>0.30000000000000004</v>
      </c>
      <c r="P37" s="56">
        <f>P35-P36</f>
        <v>1392.5584079999999</v>
      </c>
      <c r="R37" s="43"/>
    </row>
    <row r="38" spans="3:22" x14ac:dyDescent="0.25">
      <c r="F38" s="5"/>
      <c r="R38" s="9"/>
    </row>
    <row r="39" spans="3:22" x14ac:dyDescent="0.25">
      <c r="R39" s="45"/>
    </row>
    <row r="40" spans="3:22" x14ac:dyDescent="0.25">
      <c r="R40" s="50"/>
      <c r="S40" s="48"/>
      <c r="T40" s="5"/>
    </row>
    <row r="41" spans="3:22" ht="15.75" x14ac:dyDescent="0.25">
      <c r="F41" s="5"/>
      <c r="R41" s="57"/>
      <c r="S41" s="49"/>
      <c r="T41" s="5"/>
    </row>
    <row r="42" spans="3:22" x14ac:dyDescent="0.25">
      <c r="E42" s="5"/>
      <c r="F42" s="5"/>
      <c r="R42" s="45"/>
    </row>
    <row r="43" spans="3:22" x14ac:dyDescent="0.25">
      <c r="E43" s="5"/>
      <c r="F43" s="5"/>
      <c r="G43" s="5"/>
      <c r="R43" s="5"/>
      <c r="T43" s="5"/>
    </row>
    <row r="44" spans="3:22" x14ac:dyDescent="0.25">
      <c r="R44" s="43"/>
    </row>
    <row r="45" spans="3:22" x14ac:dyDescent="0.25">
      <c r="R45" s="44"/>
    </row>
    <row r="46" spans="3:22" x14ac:dyDescent="0.25">
      <c r="R46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N16" sqref="N16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790.51+B11</f>
        <v>5882.59</v>
      </c>
      <c r="C3" s="3">
        <f>B3/B$6</f>
        <v>0.79952674720934436</v>
      </c>
      <c r="D3" s="56">
        <f>D$6*C3</f>
        <v>0</v>
      </c>
    </row>
    <row r="4" spans="1:5" x14ac:dyDescent="0.25">
      <c r="A4" t="s">
        <v>79</v>
      </c>
      <c r="B4" s="56">
        <f>1200</f>
        <v>1200</v>
      </c>
      <c r="C4" s="3">
        <f t="shared" ref="C4:C5" si="0">B4/B$6</f>
        <v>0.1630968836262961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3.7376369164359526E-2</v>
      </c>
      <c r="D5" s="56">
        <f t="shared" si="1"/>
        <v>0</v>
      </c>
    </row>
    <row r="6" spans="1:5" x14ac:dyDescent="0.25">
      <c r="A6" t="s">
        <v>54</v>
      </c>
      <c r="B6" s="56">
        <f>SUM(B3:B5)</f>
        <v>7357.59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2265.5100000000002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7" sqref="A7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2019-01-18T08:57:42Z</dcterms:modified>
</cp:coreProperties>
</file>