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EDB386A-3747-44AF-9427-5DB8AAF91ECA}" xr6:coauthVersionLast="41" xr6:coauthVersionMax="41" xr10:uidLastSave="{00000000-0000-0000-0000-000000000000}"/>
  <bookViews>
    <workbookView xWindow="12" yWindow="12972" windowWidth="21984" windowHeight="12936" firstSheet="2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9" l="1"/>
  <c r="F366" i="9"/>
  <c r="P32" i="18"/>
  <c r="H27" i="15"/>
  <c r="D366" i="8"/>
  <c r="A359" i="10"/>
  <c r="A358" i="10"/>
  <c r="A346" i="10"/>
  <c r="H257" i="10"/>
  <c r="A257" i="10"/>
  <c r="A256" i="10"/>
  <c r="A246" i="10"/>
  <c r="A129" i="10"/>
  <c r="A127" i="10"/>
  <c r="A126" i="10"/>
  <c r="A79" i="10"/>
  <c r="A66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6" i="19"/>
  <c r="B4" i="19"/>
  <c r="A359" i="9"/>
  <c r="A358" i="9"/>
  <c r="A346" i="9"/>
  <c r="B359" i="8"/>
  <c r="K11" i="9"/>
  <c r="B3" i="19"/>
  <c r="B258" i="8"/>
  <c r="H83" i="15" l="1"/>
  <c r="B5" i="14" s="1"/>
  <c r="A360" i="10"/>
  <c r="A260" i="10"/>
  <c r="A140" i="10"/>
  <c r="A8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H257" i="9"/>
  <c r="H257" i="8"/>
  <c r="A256" i="9"/>
  <c r="A129" i="9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<sst xmlns="http://schemas.openxmlformats.org/spreadsheetml/2006/main" count="5545" uniqueCount="745">
  <si>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</si>
  <si>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</si>
  <si>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</si>
  <si>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</si>
  <si>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</si>
  <si>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</si>
  <si>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</si>
  <si>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</si>
  <si>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</si>
  <si>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</si>
  <si>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</si>
  <si>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</si>
  <si>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</si>
  <si>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</si>
  <si>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</si>
  <si>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</si>
  <si>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</si>
  <si>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</si>
  <si>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</si>
  <si>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</si>
  <si>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</si>
  <si>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</si>
  <si>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</si>
  <si>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</si>
  <si>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</si>
  <si>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</si>
  <si>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</si>
  <si>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</si>
  <si>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</si>
  <si>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</si>
  <si>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</si>
  <si>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</si>
  <si>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</si>
  <si>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</si>
  <si>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</si>
  <si>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</si>
  <si>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</si>
  <si>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</si>
  <si>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</si>
  <si>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</si>
  <si>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</si>
  <si>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</si>
  <si>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</si>
  <si>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</si>
  <si>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</si>
  <si>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</si>
  <si>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</si>
  <si>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</si>
  <si>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</si>
  <si>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</si>
  <si>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</si>
  <si>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</si>
  <si>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</si>
  <si>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</si>
  <si>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</si>
  <si>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</si>
  <si>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</si>
  <si>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</si>
  <si>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</si>
  <si>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</si>
  <si>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</si>
  <si>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</si>
  <si>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</si>
  <si>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</si>
  <si>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</si>
  <si>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</si>
  <si>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</si>
  <si>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</si>
  <si>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</si>
  <si>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</si>
  <si>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</si>
  <si>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</si>
  <si>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</si>
  <si>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</si>
  <si>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</si>
  <si>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</si>
  <si>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</si>
  <si>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</si>
  <si>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</si>
  <si>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</si>
  <si>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</si>
  <si>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</si>
  <si>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</si>
  <si>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</si>
  <si>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</si>
  <si>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</si>
  <si>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</si>
  <si>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</si>
  <si>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</si>
  <si>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</si>
  <si>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</si>
  <si>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</si>
  <si>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</si>
  <si>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</si>
  <si>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</si>
  <si>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</si>
  <si>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</si>
  <si>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</si>
  <si>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</si>
  <si>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</si>
  <si>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</si>
  <si>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</si>
  <si>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</si>
  <si>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</si>
  <si>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</si>
  <si>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</si>
  <si>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</si>
  <si>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</si>
  <si>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</si>
  <si>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</si>
  <si>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</si>
  <si>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</si>
  <si>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</si>
  <si>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</si>
  <si>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</si>
  <si>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</si>
  <si>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</si>
  <si>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</si>
  <si>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</si>
  <si>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</si>
  <si>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</si>
  <si>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</si>
  <si>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</si>
  <si>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</si>
  <si>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</si>
  <si>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</si>
  <si>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</si>
  <si>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</si>
  <si>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</si>
  <si>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</si>
  <si>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</si>
  <si>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</si>
  <si>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</si>
  <si>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</si>
  <si>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</si>
  <si>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</si>
  <si>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</si>
  <si>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</si>
  <si>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</si>
  <si>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</si>
  <si>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</si>
  <si>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</si>
  <si>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</si>
  <si>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</si>
  <si>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</si>
  <si>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</si>
  <si>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</si>
  <si>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</si>
  <si>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</si>
  <si>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</si>
  <si>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</si>
  <si>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</si>
  <si>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</si>
  <si>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</si>
  <si>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</si>
  <si>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</si>
  <si>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</si>
  <si>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</si>
  <si>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</si>
  <si>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</si>
  <si>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</si>
  <si>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</si>
  <si>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</si>
  <si>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</si>
  <si>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</si>
  <si>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</si>
  <si>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</si>
  <si>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</si>
  <si>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</si>
  <si>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</si>
  <si>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</si>
  <si>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</si>
  <si>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</si>
  <si>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</si>
  <si>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</si>
  <si>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</si>
  <si>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</si>
  <si>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</si>
  <si>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</si>
  <si>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</si>
  <si>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</si>
  <si>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</si>
  <si>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</si>
  <si>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</si>
  <si>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</si>
  <si>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</si>
  <si>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</si>
  <si>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</si>
  <si>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</si>
  <si>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</si>
  <si>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</si>
  <si>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</si>
  <si>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</si>
  <si>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</si>
  <si>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</si>
  <si>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</si>
  <si>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</si>
  <si>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</si>
  <si>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</si>
  <si>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</si>
  <si>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</si>
  <si>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</si>
  <si>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</si>
  <si>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</si>
  <si>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</si>
  <si>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</si>
  <si>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</si>
  <si>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</si>
  <si>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</si>
  <si>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</si>
  <si>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</si>
  <si>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</si>
  <si>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</si>
  <si>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</si>
  <si>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</si>
  <si>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</si>
  <si>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</si>
  <si>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</si>
  <si>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</si>
  <si>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</si>
  <si>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</si>
  <si>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</si>
  <si>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</si>
  <si>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</si>
  <si>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</si>
  <si>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</si>
  <si>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</si>
  <si>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</si>
  <si>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</si>
  <si>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</si>
  <si>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</si>
  <si>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</si>
  <si>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</si>
  <si>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</si>
  <si>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</si>
  <si>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</si>
  <si>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</si>
  <si>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</si>
  <si>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</si>
  <si>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</si>
  <si>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</si>
  <si>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</si>
  <si>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</si>
  <si>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</si>
  <si>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</si>
  <si>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</si>
  <si>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</si>
  <si>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</si>
  <si>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</si>
  <si>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</si>
  <si>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</si>
  <si>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</si>
  <si>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</si>
  <si>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</si>
  <si>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</si>
  <si>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</si>
  <si>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</si>
  <si>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</si>
  <si>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</si>
  <si>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</si>
  <si>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</si>
  <si>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</si>
  <si>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</si>
  <si>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</si>
  <si>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</si>
  <si>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</si>
  <si>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</si>
  <si>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</si>
  <si>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</si>
  <si>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</si>
  <si>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</si>
  <si>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</si>
  <si>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</si>
  <si>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</si>
  <si>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</si>
  <si>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</si>
  <si>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</si>
  <si>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</si>
  <si>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</si>
  <si>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</si>
  <si>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</si>
  <si>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</si>
  <si>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</si>
  <si>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</si>
  <si>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</si>
  <si>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</si>
  <si>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</si>
  <si>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</si>
  <si>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</si>
  <si>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</si>
  <si>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</si>
  <si>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</si>
  <si>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</si>
  <si>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</si>
  <si>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</si>
  <si>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</si>
  <si>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</si>
  <si>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</si>
  <si>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</si>
  <si>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</si>
  <si>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</si>
  <si>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</si>
  <si>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</si>
  <si>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</si>
  <si>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</si>
  <si>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</si>
  <si>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</si>
  <si>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</si>
  <si>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</si>
  <si>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</si>
  <si>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</si>
  <si>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</si>
  <si>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</si>
  <si>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</si>
  <si>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</si>
  <si>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</si>
  <si>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</si>
  <si>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</si>
  <si>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</si>
  <si>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</si>
  <si>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</si>
  <si>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</si>
  <si>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</si>
  <si>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</si>
  <si>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</si>
  <si>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</si>
  <si>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</si>
  <si>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</si>
  <si>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</si>
  <si>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</si>
  <si>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</si>
  <si>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</si>
  <si>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</si>
  <si>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</si>
  <si>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</si>
  <si>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</si>
  <si>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</si>
  <si>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</si>
  <si>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</si>
  <si>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</si>
  <si>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</si>
  <si>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</si>
  <si>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</si>
  <si>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</si>
  <si>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</si>
  <si>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</si>
  <si>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</si>
  <si>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</si>
  <si>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</si>
  <si>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</si>
  <si>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</si>
  <si>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</si>
  <si>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</si>
  <si>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</si>
  <si>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</si>
  <si>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</si>
  <si>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</si>
  <si>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</si>
  <si>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</si>
  <si>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</si>
  <si>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</si>
  <si>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</si>
  <si>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</si>
  <si>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</si>
  <si>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</si>
  <si>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</si>
  <si>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</si>
  <si>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</si>
  <si>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</si>
  <si>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</si>
  <si>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</si>
  <si>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</si>
  <si>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</si>
  <si>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</si>
  <si>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</si>
  <si>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</si>
  <si>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</si>
  <si>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</si>
  <si>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</si>
  <si>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</si>
  <si>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</si>
  <si>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</si>
  <si>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</si>
  <si>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</si>
  <si>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</si>
  <si>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</si>
  <si>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</si>
  <si>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</si>
  <si>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</si>
  <si>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</si>
  <si>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</si>
  <si>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</si>
  <si>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</si>
  <si>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</si>
  <si>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</si>
  <si>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</si>
  <si>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</si>
  <si>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</si>
  <si>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</si>
  <si>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</si>
  <si>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</si>
  <si>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</si>
  <si>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</si>
  <si>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</si>
  <si>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</si>
  <si>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</si>
  <si>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</si>
  <si>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</si>
  <si>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</si>
  <si>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</si>
  <si>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</si>
  <si>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</si>
  <si>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</si>
  <si>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</si>
  <si>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</si>
  <si>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</si>
  <si>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</si>
  <si>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</si>
  <si>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</si>
  <si>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</si>
  <si>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</si>
  <si>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</si>
  <si>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</si>
  <si>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</si>
  <si>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</si>
  <si>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</si>
  <si>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</si>
  <si>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</si>
  <si>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</si>
  <si>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</si>
  <si>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</si>
  <si>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</si>
  <si>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</si>
  <si>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</si>
  <si>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</si>
  <si>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</si>
  <si>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</si>
  <si>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</si>
  <si>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</si>
  <si>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</si>
  <si>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</si>
  <si>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</si>
  <si>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</si>
  <si>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</si>
  <si>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</si>
  <si>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</si>
  <si>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</si>
  <si>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</si>
  <si>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</si>
  <si>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</si>
  <si>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</si>
  <si>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</si>
  <si>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</si>
  <si>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</si>
  <si>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</si>
  <si>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</si>
  <si>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</si>
  <si>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</si>
  <si>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</si>
  <si>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</si>
  <si>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</si>
  <si>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</si>
  <si>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</si>
  <si>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</si>
  <si>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</si>
  <si>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</si>
  <si>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</si>
  <si>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</si>
  <si>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</si>
  <si>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</si>
  <si>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</si>
  <si>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</si>
  <si>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</si>
  <si>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</si>
  <si>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</si>
  <si>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</si>
  <si>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</si>
  <si>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</si>
  <si>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</si>
  <si>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</si>
  <si>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</si>
  <si>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</si>
  <si>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</si>
  <si>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</si>
  <si>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</si>
  <si>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</si>
  <si>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</si>
  <si>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</si>
  <si>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</si>
  <si>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</si>
  <si>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</si>
  <si>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</si>
  <si>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</si>
  <si>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</si>
  <si>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</si>
  <si>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</si>
  <si>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</si>
  <si>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</si>
  <si>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</si>
  <si>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</si>
  <si>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</si>
  <si>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</si>
  <si>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</si>
  <si>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</si>
  <si>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</si>
  <si>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</si>
  <si>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</si>
  <si>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</si>
  <si>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</si>
  <si>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</si>
  <si>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</si>
  <si>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</si>
  <si>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</si>
  <si>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</si>
  <si>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</si>
  <si>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</si>
  <si>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</si>
  <si>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</si>
  <si>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</si>
  <si>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</si>
  <si>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</si>
  <si>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</si>
  <si>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</si>
  <si>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</si>
  <si>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</si>
  <si>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</si>
  <si>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</si>
  <si>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</si>
  <si>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</si>
  <si>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</si>
  <si>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</si>
  <si>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</si>
  <si>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</si>
  <si>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</si>
  <si>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</si>
  <si>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</si>
  <si>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</si>
  <si>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</si>
  <si>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</si>
  <si>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</si>
  <si>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</si>
  <si>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</si>
  <si>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</si>
  <si>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</si>
  <si>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</si>
  <si>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</si>
  <si>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</si>
  <si>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</si>
  <si>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</si>
  <si>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</si>
  <si>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</si>
  <si>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</si>
  <si>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</si>
  <si>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</si>
  <si>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</si>
  <si>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</si>
  <si>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</si>
  <si>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</si>
  <si>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</si>
  <si>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</si>
  <si>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</si>
  <si>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</si>
  <si>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</si>
  <si>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</si>
  <si>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</si>
  <si>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</si>
  <si>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</si>
  <si>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</si>
  <si>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</si>
  <si>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</si>
  <si>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</si>
  <si>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</si>
  <si>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</si>
  <si>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</si>
  <si>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</si>
  <si>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</si>
  <si>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</si>
  <si>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</si>
  <si>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</si>
  <si>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</si>
  <si>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</si>
  <si>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</si>
  <si>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</si>
  <si>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</si>
  <si>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</si>
  <si>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</si>
  <si>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</si>
  <si>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</si>
  <si>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</si>
  <si>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</si>
  <si>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</si>
  <si>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</si>
  <si>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</si>
  <si>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</si>
  <si>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</si>
  <si>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</si>
  <si>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</si>
  <si>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</si>
  <si>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</si>
  <si>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</si>
  <si>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</si>
  <si>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</si>
  <si>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</si>
  <si>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</si>
  <si>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</si>
  <si>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</si>
  <si>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</si>
  <si>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</si>
  <si>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</si>
  <si>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</si>
  <si>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</si>
  <si>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</si>
  <si>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</si>
  <si>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</si>
  <si>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</si>
  <si>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</si>
  <si>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</si>
  <si>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</si>
  <si>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</si>
  <si>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</si>
  <si>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</si>
  <si>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</si>
  <si>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</si>
  <si>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</si>
  <si>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</si>
  <si>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</si>
  <si>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</si>
  <si>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</si>
  <si>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</si>
  <si>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</si>
  <si>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</si>
  <si>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</si>
  <si>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</si>
  <si>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</si>
  <si>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</si>
  <si>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</si>
  <si>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</si>
  <si>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</si>
  <si>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</si>
  <si>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</si>
  <si>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</si>
  <si>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</si>
  <si>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</si>
  <si>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</si>
  <si>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</si>
  <si>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</si>
  <si>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</si>
  <si>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</si>
  <si>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</si>
  <si>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</si>
  <si>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</si>
  <si>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</si>
  <si>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</si>
  <si>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</si>
  <si>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</si>
  <si>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</si>
  <si>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</si>
  <si>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</si>
  <si>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</si>
  <si>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</si>
  <si>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</si>
  <si>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</si>
  <si>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</si>
  <si>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</si>
  <si>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</si>
  <si>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</si>
  <si>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</si>
  <si>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</si>
  <si>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</si>
  <si>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</si>
  <si>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</si>
  <si>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</si>
  <si>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</si>
  <si>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</si>
  <si>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</si>
  <si>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</si>
  <si>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</si>
  <si>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</si>
  <si>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</si>
  <si>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</si>
  <si>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</si>
  <si>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</si>
  <si>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</si>
  <si>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</si>
  <si>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</si>
  <si>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</si>
  <si>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</si>
  <si>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</si>
  <si>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</si>
  <si>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</si>
  <si>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</si>
  <si>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</si>
  <si>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</si>
  <si>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</si>
  <si>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</si>
  <si>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</si>
  <si>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</si>
  <si>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</si>
  <si>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</si>
  <si>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</si>
  <si>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</si>
  <si>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</si>
  <si>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</si>
  <si>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</si>
  <si>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</si>
  <si>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</si>
  <si>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</si>
  <si>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</si>
  <si>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</si>
  <si>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</si>
  <si>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</si>
  <si>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</si>
  <si>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</si>
  <si>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</si>
  <si>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</si>
  <si>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</si>
  <si>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</si>
  <si>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</si>
  <si>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</si>
  <si>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</si>
  <si>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</si>
  <si>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</si>
  <si>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</si>
  <si>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</si>
  <si>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</si>
  <si>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</si>
  <si>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</si>
  <si>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</si>
  <si>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</si>
  <si>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</si>
  <si>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</si>
  <si>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</si>
  <si>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</si>
  <si>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</si>
  <si>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</si>
  <si>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</si>
  <si>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</si>
  <si>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</si>
  <si>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</si>
  <si>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</si>
  <si>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</si>
  <si>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</si>
  <si>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</si>
  <si>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</si>
  <si>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168€ Cheques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</si>
</sst>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6" zoomScaleNormal="100" workbookViewId="0">
      <pane xSplit="1" topLeftCell="U1" activePane="topRight" state="frozen"/>
      <selection pane="topRight" activeCell="AE40" sqref="AE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29171.350000000002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0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5092.5400000000009</v>
      </c>
      <c r="BA13" s="112">
        <f t="shared" ca="1" si="0"/>
        <v>636.56750000000011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116.53</v>
      </c>
      <c r="BA14" s="112">
        <f t="shared" ca="1" si="0"/>
        <v>14.56625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3711.44</v>
      </c>
      <c r="BA15" s="112">
        <f t="shared" ca="1" si="0"/>
        <v>463.93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291.60000000000002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36542.050000000003</v>
      </c>
      <c r="BA17" s="112">
        <f ca="1">AZ17/BC$17</f>
        <v>4567.7562500000004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54813.075000000004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964.13999999999987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1508.1399999999999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2052.14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2596.14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3140.14</v>
      </c>
      <c r="AZ20" s="123">
        <f t="shared" ref="AZ20:AZ27" si="14">E20+I20+M20+Q20+U20+Y20+AC20+AG20+AK20+AO20+AS20+AW20</f>
        <v>4135.6600000000008</v>
      </c>
      <c r="BA20" s="21">
        <f t="shared" ref="BA20:BA45" si="15">AZ20/AZ$46</f>
        <v>0.12218000520548521</v>
      </c>
      <c r="BB20" s="22">
        <f>_xlfn.RANK.EQ(BA20,$BA$20:$BA$45,)</f>
        <v>3</v>
      </c>
      <c r="BC20" s="22">
        <f t="shared" ref="BC20:BC45" ca="1" si="16">AZ20/BC$17</f>
        <v>516.9575000000001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0.12727857358850969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515.36000000000024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104.19</v>
      </c>
      <c r="AH21" s="151">
        <f t="shared" si="9"/>
        <v>1423.9599999999994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2571.9599999999991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3699.9599999999991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4827.9599999999991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5955.9599999999991</v>
      </c>
      <c r="AZ21" s="152">
        <f t="shared" si="14"/>
        <v>8437.9000000000015</v>
      </c>
      <c r="BA21" s="21">
        <f t="shared" si="15"/>
        <v>0.24928129148028697</v>
      </c>
      <c r="BB21" s="22">
        <f t="shared" ref="BB21:BB45" si="20">_xlfn.RANK.EQ(BA21,$BA$20:$BA$45,)</f>
        <v>1</v>
      </c>
      <c r="BC21" s="22">
        <f t="shared" ca="1" si="16"/>
        <v>1054.7375000000002</v>
      </c>
      <c r="BE21" s="224">
        <f t="shared" ca="1" si="17"/>
        <v>9209</v>
      </c>
      <c r="BF21" s="21">
        <f t="shared" ca="1" si="18"/>
        <v>0.25201103933687352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771.09999999999968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789.68000000000018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1089.6800000000003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1579.6800000000003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2069.6800000000003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2559.6800000000003</v>
      </c>
      <c r="AZ22" s="157">
        <f t="shared" si="14"/>
        <v>2018.75</v>
      </c>
      <c r="BA22" s="21">
        <f t="shared" si="15"/>
        <v>5.9640029767575965E-2</v>
      </c>
      <c r="BB22" s="22">
        <f t="shared" si="20"/>
        <v>6</v>
      </c>
      <c r="BC22" s="22">
        <f t="shared" ca="1" si="16"/>
        <v>252.34375</v>
      </c>
      <c r="BE22" s="225">
        <f t="shared" ca="1" si="17"/>
        <v>2562.36</v>
      </c>
      <c r="BF22" s="21">
        <f t="shared" ca="1" si="18"/>
        <v>7.0120860761779924E-2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543.61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299.48000000000008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469.48000000000008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619.48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769.48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919.48</v>
      </c>
      <c r="AZ23" s="152">
        <f t="shared" si="14"/>
        <v>1147.6499999999999</v>
      </c>
      <c r="BA23" s="21">
        <f t="shared" si="15"/>
        <v>3.390507995678442E-2</v>
      </c>
      <c r="BB23" s="22">
        <f t="shared" si="20"/>
        <v>8</v>
      </c>
      <c r="BC23" s="22">
        <f t="shared" ca="1" si="16"/>
        <v>143.45624999999998</v>
      </c>
      <c r="BE23" s="224">
        <f t="shared" ca="1" si="17"/>
        <v>1405</v>
      </c>
      <c r="BF23" s="21">
        <f t="shared" ca="1" si="18"/>
        <v>3.8448855496612803E-2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257.35000000000002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354.90999999999997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514.91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674.91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834.91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994.91</v>
      </c>
      <c r="AZ24" s="157">
        <f t="shared" si="14"/>
        <v>955.09</v>
      </c>
      <c r="BA24" s="21">
        <f t="shared" si="15"/>
        <v>2.8216270479610714E-2</v>
      </c>
      <c r="BB24" s="22">
        <f t="shared" si="20"/>
        <v>11</v>
      </c>
      <c r="BC24" s="22">
        <f t="shared" ca="1" si="16"/>
        <v>119.38625</v>
      </c>
      <c r="BE24" s="225">
        <f t="shared" ca="1" si="17"/>
        <v>1310</v>
      </c>
      <c r="BF24" s="21">
        <f t="shared" ca="1" si="18"/>
        <v>3.5849110818905891E-2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354.90999999999997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445</v>
      </c>
      <c r="AG25" s="150">
        <f>SUM('08'!D120:F120)</f>
        <v>258.47000000000003</v>
      </c>
      <c r="AH25" s="151">
        <f t="shared" si="9"/>
        <v>3476.7699999999977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3921.7699999999977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4326.7699999999977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4731.7699999999977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5136.7699999999977</v>
      </c>
      <c r="AZ25" s="152">
        <f t="shared" si="14"/>
        <v>2614.13</v>
      </c>
      <c r="BA25" s="21">
        <f t="shared" si="15"/>
        <v>7.7229370162879687E-2</v>
      </c>
      <c r="BB25" s="22">
        <f t="shared" si="20"/>
        <v>5</v>
      </c>
      <c r="BC25" s="22">
        <f t="shared" ca="1" si="16"/>
        <v>326.76625000000001</v>
      </c>
      <c r="BE25" s="224">
        <f t="shared" ca="1" si="17"/>
        <v>2928.35</v>
      </c>
      <c r="BF25" s="21">
        <f t="shared" ca="1" si="18"/>
        <v>8.0136445546979435E-2</v>
      </c>
      <c r="BG25" s="22">
        <f t="shared" ca="1" si="21"/>
        <v>6</v>
      </c>
      <c r="BH25" s="22">
        <f t="shared" ca="1" si="19"/>
        <v>366.04374999999999</v>
      </c>
      <c r="BJ25" s="224">
        <f t="shared" ca="1" si="22"/>
        <v>314.21999999999935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80.539999999999992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133.54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181.54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229.54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277.53999999999996</v>
      </c>
      <c r="AZ26" s="157">
        <f t="shared" si="14"/>
        <v>358.45000000000005</v>
      </c>
      <c r="BA26" s="21">
        <f t="shared" si="15"/>
        <v>1.058970584281739E-2</v>
      </c>
      <c r="BB26" s="22">
        <f t="shared" si="20"/>
        <v>17</v>
      </c>
      <c r="BC26" s="22">
        <f t="shared" ca="1" si="16"/>
        <v>44.806250000000006</v>
      </c>
      <c r="BE26" s="225">
        <f t="shared" ca="1" si="17"/>
        <v>419.45</v>
      </c>
      <c r="BF26" s="21">
        <f t="shared" ca="1" si="18"/>
        <v>1.1478556895412271E-2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61.000000000000043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9.2886299736091929E-3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9.3043493728458028E-3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9.9149130651474446E-2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8.9760700343850433E-2</v>
      </c>
      <c r="BG28" s="22">
        <f t="shared" ca="1" si="21"/>
        <v>5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1.2211619222007444E-2</v>
      </c>
      <c r="BB29" s="22">
        <f t="shared" si="20"/>
        <v>16</v>
      </c>
      <c r="BC29" s="22">
        <f t="shared" ca="1" si="16"/>
        <v>51.668750000000003</v>
      </c>
      <c r="BE29" s="224">
        <f t="shared" ca="1" si="17"/>
        <v>544</v>
      </c>
      <c r="BF29" s="21">
        <f t="shared" ca="1" si="18"/>
        <v>1.4886958996553285E-2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130.65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6.1227968640644552E-3</v>
      </c>
      <c r="BB30" s="22">
        <f t="shared" si="20"/>
        <v>19</v>
      </c>
      <c r="BC30" s="22">
        <f t="shared" ca="1" si="16"/>
        <v>25.90625</v>
      </c>
      <c r="BE30" s="225">
        <f t="shared" ca="1" si="17"/>
        <v>320</v>
      </c>
      <c r="BF30" s="21">
        <f t="shared" ca="1" si="18"/>
        <v>8.757034703854874E-3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112.75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4.648894159368794E-3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4.378517351927437E-3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0</v>
      </c>
      <c r="AH32" s="161">
        <f t="shared" si="9"/>
        <v>678.88999999999987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768.88999999999987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818.88999999999987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868.88999999999987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918.88999999999987</v>
      </c>
      <c r="AZ32" s="157">
        <f t="shared" si="23"/>
        <v>988.99</v>
      </c>
      <c r="BA32" s="21">
        <f t="shared" si="15"/>
        <v>2.9217779833973972E-2</v>
      </c>
      <c r="BB32" s="22">
        <f t="shared" si="20"/>
        <v>9</v>
      </c>
      <c r="BC32" s="22">
        <f t="shared" ca="1" si="16"/>
        <v>123.62375</v>
      </c>
      <c r="BE32" s="225">
        <f t="shared" ca="1" si="17"/>
        <v>1682.13</v>
      </c>
      <c r="BF32" s="21">
        <f t="shared" ca="1" si="18"/>
        <v>4.6032721207485625E-2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693.13999999999987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0.13019178460990324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0.12128328870438304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3.4457830399856303E-2</v>
      </c>
      <c r="BB34" s="22">
        <f t="shared" si="20"/>
        <v>7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3.1317619016995479E-2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2034.0100000000004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2264.0100000000002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2379.0100000000002</v>
      </c>
      <c r="AZ35" s="188">
        <f t="shared" si="23"/>
        <v>967.6</v>
      </c>
      <c r="BA35" s="21">
        <f t="shared" si="15"/>
        <v>2.8585854020114678E-2</v>
      </c>
      <c r="BB35" s="22">
        <f t="shared" si="20"/>
        <v>10</v>
      </c>
      <c r="BC35" s="22">
        <f t="shared" ca="1" si="16"/>
        <v>120.95</v>
      </c>
      <c r="BE35" s="224">
        <f t="shared" ca="1" si="17"/>
        <v>1382.01</v>
      </c>
      <c r="BF35" s="21">
        <f t="shared" ca="1" si="18"/>
        <v>3.7819717284607729E-2</v>
      </c>
      <c r="BG35" s="22">
        <f t="shared" ca="1" si="21"/>
        <v>10</v>
      </c>
      <c r="BH35" s="22">
        <f t="shared" ca="1" si="19"/>
        <v>172.75125</v>
      </c>
      <c r="BJ35" s="224">
        <f t="shared" ca="1" si="22"/>
        <v>414.41000000000008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1.6133163519888818E-2</v>
      </c>
      <c r="BB36" s="22">
        <f t="shared" si="20"/>
        <v>12</v>
      </c>
      <c r="BC36" s="22">
        <f t="shared" ca="1" si="16"/>
        <v>68.26124999999999</v>
      </c>
      <c r="BE36" s="223">
        <f t="shared" ca="1" si="17"/>
        <v>930.02</v>
      </c>
      <c r="BF36" s="21">
        <f t="shared" ca="1" si="18"/>
        <v>2.5450679422747216E-2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383.93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1.2761119929711177E-2</v>
      </c>
      <c r="BB37" s="22">
        <f t="shared" si="20"/>
        <v>15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1.1884938037138037E-2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5</v>
      </c>
      <c r="AH38" s="156">
        <f t="shared" si="9"/>
        <v>133.03000000000006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203.03000000000006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273.03000000000009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343.03000000000009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413.03000000000009</v>
      </c>
      <c r="AZ38" s="157">
        <f t="shared" si="23"/>
        <v>496.17000000000007</v>
      </c>
      <c r="BA38" s="21">
        <f t="shared" si="15"/>
        <v>1.4658374523729124E-2</v>
      </c>
      <c r="BB38" s="22">
        <f t="shared" si="20"/>
        <v>14</v>
      </c>
      <c r="BC38" s="22">
        <f t="shared" ca="1" si="16"/>
        <v>62.021250000000009</v>
      </c>
      <c r="BE38" s="225">
        <f t="shared" ca="1" si="17"/>
        <v>590</v>
      </c>
      <c r="BF38" s="21">
        <f t="shared" ca="1" si="18"/>
        <v>1.6145782735232424E-2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93.830000000000027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-3.1983427311822951E-2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4.8518549046335617E-3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-1.6760143451174742E-2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-3608.4</v>
      </c>
      <c r="AG41" s="165">
        <f>SUM('08'!D440:F440)</f>
        <v>0</v>
      </c>
      <c r="AH41" s="151">
        <f t="shared" si="9"/>
        <v>4857.340000000002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957.34000000000196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-2942.659999999998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-6842.659999999998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-10742.659999999998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-3692.6599999999976</v>
      </c>
      <c r="BF41" s="21">
        <f t="shared" ca="1" si="18"/>
        <v>-0.10105234927980224</v>
      </c>
      <c r="BG41" s="22">
        <f t="shared" ca="1" si="21"/>
        <v>26</v>
      </c>
      <c r="BH41" s="22">
        <f t="shared" ca="1" si="19"/>
        <v>-461.5824999999997</v>
      </c>
      <c r="BJ41" s="224">
        <f t="shared" ca="1" si="22"/>
        <v>-3692.6599999999962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0.11072832531289295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773.63000000000011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823.63000000000011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873.63000000000011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923.63000000000011</v>
      </c>
      <c r="AZ43" s="152">
        <f t="shared" si="23"/>
        <v>500</v>
      </c>
      <c r="BA43" s="21">
        <f t="shared" si="15"/>
        <v>1.477152440063801E-2</v>
      </c>
      <c r="BB43" s="22">
        <f t="shared" si="20"/>
        <v>13</v>
      </c>
      <c r="BC43" s="22">
        <f t="shared" ca="1" si="16"/>
        <v>62.5</v>
      </c>
      <c r="BE43" s="224">
        <f t="shared" ca="1" si="17"/>
        <v>245.63000000000005</v>
      </c>
      <c r="BF43" s="21">
        <f t="shared" ca="1" si="18"/>
        <v>6.7218451072121035E-3</v>
      </c>
      <c r="BG43" s="22">
        <f t="shared" ca="1" si="21"/>
        <v>20</v>
      </c>
      <c r="BH43" s="22">
        <f t="shared" ca="1" si="19"/>
        <v>30.703750000000007</v>
      </c>
      <c r="BJ43" s="224">
        <f t="shared" ca="1" si="22"/>
        <v>-254.36999999999989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1.9078900915864053E-3</v>
      </c>
      <c r="BB45" s="22">
        <f t="shared" si="20"/>
        <v>22</v>
      </c>
      <c r="BC45" s="22">
        <f t="shared" ca="1" si="16"/>
        <v>8.0724999999999998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291.59999999999991</v>
      </c>
      <c r="AG46" s="219">
        <f>SUM(AG20:AG45)</f>
        <v>381.77000000000004</v>
      </c>
      <c r="AH46" s="220">
        <f>SUM(AH20:AH45)</f>
        <v>29076.68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29076.68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29076.68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29076.68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29076.68</v>
      </c>
      <c r="AZ46" s="227">
        <f>SUM(AZ20:AZ45)</f>
        <v>33848.910000000003</v>
      </c>
      <c r="BA46" s="1"/>
      <c r="BB46" s="1"/>
      <c r="BC46" s="124">
        <f ca="1">SUM(BC20:BC45)</f>
        <v>4231.1137500000004</v>
      </c>
      <c r="BE46" s="227">
        <f ca="1">SUM(BE20:BE45)</f>
        <v>36542.050000000003</v>
      </c>
      <c r="BF46" s="1"/>
      <c r="BG46" s="1"/>
      <c r="BH46" s="124">
        <f ca="1">SUM(BH20:BH45)</f>
        <v>4567.7562500000004</v>
      </c>
      <c r="BJ46" s="227">
        <f ca="1">SUM(BJ20:BJ45)</f>
        <v>2693.1400000000053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-90.170000000000016</v>
      </c>
      <c r="AH47" s="125"/>
      <c r="AI47" s="125">
        <f>AI5-AH46</f>
        <v>94.670000000001892</v>
      </c>
      <c r="AJ47" s="125">
        <f>AI17-AJ46</f>
        <v>0</v>
      </c>
      <c r="AK47" s="125">
        <f>AI17-AK46</f>
        <v>0</v>
      </c>
      <c r="AL47" s="125"/>
      <c r="AM47" s="125">
        <f>AM5-AL46</f>
        <v>-13974.789999999999</v>
      </c>
      <c r="AN47" s="125">
        <f>AM17-AN46</f>
        <v>0</v>
      </c>
      <c r="AO47" s="125">
        <f>AM17-AO46</f>
        <v>0</v>
      </c>
      <c r="AP47" s="125"/>
      <c r="AQ47" s="125">
        <f>AQ5-AP46</f>
        <v>-13974.789999999999</v>
      </c>
      <c r="AR47" s="125">
        <f>AQ17-AR46</f>
        <v>0</v>
      </c>
      <c r="AS47" s="125">
        <f>AQ17-AS46</f>
        <v>0</v>
      </c>
      <c r="AT47" s="140"/>
      <c r="AU47" s="125">
        <f>AU5-AT46</f>
        <v>-13974.789999999999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50773.365000000005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0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60" workbookViewId="0">
      <selection activeCell="C470" sqref="C4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3508.76</v>
      </c>
      <c r="L5" s="434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620.12</v>
      </c>
      <c r="L6" s="418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7494.86</v>
      </c>
      <c r="L7" s="418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163.63</v>
      </c>
      <c r="L9" s="418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'08'!A11+(B11-SUM(D11:F11))</f>
        <v>60.46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f>20+120</f>
        <v>140</v>
      </c>
      <c r="L11" s="4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29171.350000000002</v>
      </c>
      <c r="L19" s="443"/>
      <c r="M19" s="1"/>
      <c r="N19" s="1"/>
      <c r="R19" s="3"/>
    </row>
    <row r="20" spans="1:18" ht="16.5" thickBot="1">
      <c r="A20" s="112">
        <f>SUM(A6:A15)</f>
        <v>1520.1399999999999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2571.96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'08'!A66+(B66-SUM(D66:F78))+B67</f>
        <v>339.48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449.48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140.02000000000004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2740.1800000000012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981.58999999999992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42.5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16.04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102.77000000000001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778.8900000000001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575.23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'09'!A11+(B11-SUM(D11:F11))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2064.14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3699.96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211.02000000000004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2765.7100000000014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1361.06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595.23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'10'!A11+(B11-SUM(D11:F11))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2608.1400000000003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4827.9599999999991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2791.2400000000016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1740.53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'11'!A11+(B11-SUM(D11:F11))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3152.14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5955.9599999999991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2816.7700000000018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2120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22" sqref="G2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-0.30199999999999999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129678.06207150951</v>
      </c>
      <c r="L6" s="39">
        <f>B4*(E8/100)</f>
        <v>21.458058599999998</v>
      </c>
      <c r="M6" s="49">
        <f>B13-L6</f>
        <v>370.77792849048114</v>
      </c>
    </row>
    <row r="7" spans="1:13" ht="12.75" customHeight="1">
      <c r="E7" s="42"/>
      <c r="J7" t="s">
        <v>98</v>
      </c>
      <c r="K7" s="49">
        <f>K6-(B13-L7)</f>
        <v>129307.22296466083</v>
      </c>
      <c r="L7" s="39">
        <f>(K6*(E8/100))</f>
        <v>21.396880241799071</v>
      </c>
      <c r="M7" s="49">
        <f>B13-L7</f>
        <v>370.83910684868209</v>
      </c>
    </row>
    <row r="8" spans="1:13" ht="12.75" customHeight="1">
      <c r="B8" s="42"/>
      <c r="D8" t="s">
        <v>183</v>
      </c>
      <c r="E8" s="50">
        <f>(B6+0.5)/12</f>
        <v>1.6500000000000001E-2</v>
      </c>
      <c r="J8" t="s">
        <v>99</v>
      </c>
      <c r="K8" s="49">
        <f>K7-(B13-L8)</f>
        <v>128936.32266935952</v>
      </c>
      <c r="L8" s="39">
        <f>(K7*(E8/100))</f>
        <v>21.335691789169037</v>
      </c>
      <c r="M8" s="49">
        <f>B13-L8</f>
        <v>370.9002953013121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1.000165</v>
      </c>
      <c r="J9" t="s">
        <v>101</v>
      </c>
      <c r="K9" s="49">
        <f>K8-(B13-L9)</f>
        <v>128565.36117550949</v>
      </c>
      <c r="L9" s="39">
        <f>(K8*(E8/100))</f>
        <v>21.274493240444322</v>
      </c>
      <c r="M9" s="49">
        <f>B13-L9</f>
        <v>370.96149385003685</v>
      </c>
    </row>
    <row r="10" spans="1:13" ht="12.75" customHeight="1">
      <c r="B10" s="42"/>
      <c r="D10" t="s">
        <v>102</v>
      </c>
      <c r="E10" s="50">
        <f>E9^-B5</f>
        <v>0.94529298864397659</v>
      </c>
      <c r="J10" t="s">
        <v>103</v>
      </c>
      <c r="K10" s="49">
        <f>K9-(B13-L10)</f>
        <v>128194.33847301296</v>
      </c>
      <c r="L10" s="39">
        <f>(K9*(E8/100))</f>
        <v>21.213284593959067</v>
      </c>
      <c r="M10" s="49">
        <f>B13-L10</f>
        <v>371.02270249652207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5.4707011356023401</v>
      </c>
      <c r="J11" t="s">
        <v>106</v>
      </c>
      <c r="K11" s="51">
        <f>K10-(B13-L11)</f>
        <v>127823.25455177053</v>
      </c>
      <c r="L11" s="39">
        <f>(K10*(E8/100))</f>
        <v>21.152065848047137</v>
      </c>
      <c r="M11" s="49">
        <f>B13-L11</f>
        <v>371.08392124243403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392.23598709048116</v>
      </c>
      <c r="E13" s="42"/>
      <c r="F13" s="44"/>
      <c r="G13" s="53"/>
      <c r="L13" s="54">
        <f>SUM(L6:L11)</f>
        <v>127.83047431341862</v>
      </c>
      <c r="M13" s="54">
        <f>SUM(M6:M11)</f>
        <v>2225.5854482294681</v>
      </c>
    </row>
    <row r="14" spans="1:13" ht="12.75" customHeight="1">
      <c r="A14" t="s">
        <v>108</v>
      </c>
      <c r="B14" s="55">
        <f>B4*(E8/100)</f>
        <v>21.458058599999998</v>
      </c>
      <c r="E14" s="42"/>
    </row>
    <row r="15" spans="1:13" ht="12.75" customHeight="1">
      <c r="A15" t="s">
        <v>109</v>
      </c>
      <c r="B15" s="55">
        <f>B13-B14</f>
        <v>370.77792849048114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392.23754709048114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-0.30199999999999999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-0.60399999999999998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2225.5854482294681</v>
      </c>
      <c r="C22" s="58">
        <f>B22/170000</f>
        <v>1.3091679107232164E-2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127823.25455177053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0">IF(E43="",0,1)</f>
        <v>0</v>
      </c>
    </row>
    <row r="45" spans="2:7" ht="12.75" customHeight="1">
      <c r="G45" s="57">
        <f>SUM(G21:G43)</f>
        <v>2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3" sqref="G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27" workbookViewId="0">
      <selection activeCell="M83" sqref="M8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-3.0200000000000001E-3</v>
      </c>
      <c r="D25" s="73">
        <f>Hipoteca!B$13</f>
        <v>392.23598709048116</v>
      </c>
      <c r="E25" s="72">
        <f t="shared" ref="E25" si="10">D25-D24</f>
        <v>-10.844012909518824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H26">
        <v>6</v>
      </c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H27">
        <f>MONTH(I28-I27)</f>
        <v>6</v>
      </c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H28">
        <v>6</v>
      </c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H29">
        <v>6</v>
      </c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H30">
        <v>6</v>
      </c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H31">
        <v>6</v>
      </c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H32"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v>6</v>
      </c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v>6</v>
      </c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v>6</v>
      </c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v>6</v>
      </c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v>6</v>
      </c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v>6</v>
      </c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v>6</v>
      </c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v>6</v>
      </c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v>6</v>
      </c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v>6</v>
      </c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v>6</v>
      </c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v>6</v>
      </c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v>6</v>
      </c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v>6</v>
      </c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v>6</v>
      </c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v>6</v>
      </c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v>6</v>
      </c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H80">
        <v>6</v>
      </c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H81">
        <v>6</v>
      </c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H82">
        <v>5</v>
      </c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8.3852743271221504E-3</v>
      </c>
      <c r="D83" s="85">
        <f>AVERAGE(D2:D82)</f>
        <v>492.36424290369177</v>
      </c>
      <c r="E83" s="86">
        <f>AVERAGE(E3:E82)</f>
        <v>-19.81800056128343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9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1470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43679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74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43679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525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43679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3.8629283489096576E-2</v>
      </c>
      <c r="X13" s="119">
        <f ca="1">W13*E13</f>
        <v>155.26147968847354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3.4267912772585667E-2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8.7227414330218068E-3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0.5414330218068536</v>
      </c>
      <c r="X19" s="119">
        <f t="shared" ca="1" si="2"/>
        <v>2394.9747853457948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0.39376947040498445</v>
      </c>
      <c r="X20" s="119">
        <f t="shared" ca="1" si="2"/>
        <v>236.49794392523367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0.17943925233644858</v>
      </c>
      <c r="X25" s="119">
        <f t="shared" ca="1" si="2"/>
        <v>109.09246672149531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525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43679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517</v>
      </c>
      <c r="S28" s="59">
        <f ca="1">Q28+Q29+Q30+Q34</f>
        <v>3.1637758641215472E-2</v>
      </c>
      <c r="W28" s="39">
        <f t="shared" ca="1" si="0"/>
        <v>0.32710280373831774</v>
      </c>
      <c r="X28" s="119">
        <f t="shared" ca="1" si="2"/>
        <v>1683.9556149532709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1.3707165109034268E-2</v>
      </c>
      <c r="X33" s="119">
        <f t="shared" ca="1" si="2"/>
        <v>56.59861457943925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74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43679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412</v>
      </c>
      <c r="W35" s="39">
        <f t="shared" ca="1" si="0"/>
        <v>4.6105919003115267E-2</v>
      </c>
      <c r="X35" s="119">
        <f t="shared" ca="1" si="2"/>
        <v>188.51543155140189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2541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3708.5019830000001</v>
      </c>
      <c r="Q42" s="326">
        <f ca="1">SUM(Q13:Q41)</f>
        <v>3.9353819622012383</v>
      </c>
      <c r="R42" s="317"/>
      <c r="W42" s="327">
        <f ca="1">SUM(W13:W41)</f>
        <v>1.5831775700934581</v>
      </c>
      <c r="X42" s="328">
        <f ca="1">SUM(X13:X41)</f>
        <v>4824.8963367651095</v>
      </c>
      <c r="Y42" s="329">
        <f ca="1">P42/X42</f>
        <v>0.76861796070967925</v>
      </c>
      <c r="Z42" s="329">
        <f ca="1">Y42/(D$43/365)</f>
        <v>0.17479473872836943</v>
      </c>
    </row>
    <row r="43" spans="1:26">
      <c r="C43" s="119" t="s">
        <v>568</v>
      </c>
      <c r="D43" s="46">
        <f ca="1">_xlfn.DAYS(TODAY(),F13)</f>
        <v>1605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J9" sqref="J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f>1050-150-50</f>
        <v>850</v>
      </c>
      <c r="C6" s="305">
        <f t="shared" si="0"/>
        <v>0.21017442004223269</v>
      </c>
      <c r="D6" s="335">
        <f t="shared" ca="1" si="1"/>
        <v>4.1108309060247947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362</v>
      </c>
      <c r="K30" s="42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379</v>
      </c>
      <c r="K45" s="42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3"/>
      <c r="J51" s="427" t="s">
        <v>417</v>
      </c>
      <c r="K51" s="42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366</v>
      </c>
      <c r="K60" s="42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37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362</v>
      </c>
      <c r="K30" s="42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430</v>
      </c>
      <c r="K31" s="42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424</v>
      </c>
      <c r="K40" s="42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444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433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448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35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430</v>
      </c>
      <c r="K30" s="42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362</v>
      </c>
      <c r="K31" s="42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472</v>
      </c>
      <c r="K40" s="42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2" t="str">
        <f>AÑO!A13</f>
        <v>Gubernamental</v>
      </c>
      <c r="J50" s="425" t="s">
        <v>483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2" t="str">
        <f>AÑO!A14</f>
        <v>Mutualite/DKV</v>
      </c>
      <c r="J55" s="425" t="s">
        <v>477</v>
      </c>
      <c r="K55" s="42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4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626</v>
      </c>
      <c r="K30" s="42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430</v>
      </c>
      <c r="K31" s="42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2" t="str">
        <f>AÑO!A13</f>
        <v>Gubernamental</v>
      </c>
      <c r="J50" s="425" t="s">
        <v>639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627</v>
      </c>
      <c r="K60" s="42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16" workbookViewId="0">
      <selection activeCell="F410" sqref="F41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430</v>
      </c>
      <c r="K30" s="42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626</v>
      </c>
      <c r="K31" s="42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692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679</v>
      </c>
      <c r="K40" s="42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60</v>
      </c>
      <c r="K41" s="428"/>
      <c r="L41" s="229">
        <v>0.02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22" t="str">
        <f>AÑO!A13</f>
        <v>Gubernamental</v>
      </c>
      <c r="J50" s="425" t="s">
        <v>639</v>
      </c>
      <c r="K50" s="42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693</v>
      </c>
      <c r="K55" s="42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693</v>
      </c>
      <c r="K56" s="42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693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708</v>
      </c>
      <c r="K60" s="42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139" workbookViewId="0">
      <selection activeCell="A28" sqref="A2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3508.76</v>
      </c>
      <c r="L5" s="434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620.12</v>
      </c>
      <c r="L6" s="41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7490.36</v>
      </c>
      <c r="L7" s="418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163.63</v>
      </c>
      <c r="L9" s="418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f>20+120</f>
        <v>140</v>
      </c>
      <c r="L11" s="4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976.1400000000001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328</v>
      </c>
      <c r="K30" s="42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1423.96</v>
      </c>
      <c r="B40" s="135">
        <f>SUM(B26:B39)</f>
        <v>1148</v>
      </c>
      <c r="C40" s="17" t="s">
        <v>53</v>
      </c>
      <c r="D40" s="135">
        <f>SUM(D26:D39)</f>
        <v>104.19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744</v>
      </c>
      <c r="D48" s="137"/>
      <c r="E48" s="138"/>
      <c r="F48" s="138"/>
      <c r="G48" s="16"/>
      <c r="H48" s="1">
        <f>21*8</f>
        <v>168</v>
      </c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'07'!A66+(B66-SUM(D66:F78))+B67</f>
        <v>179.48000000000002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604.11999999999989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57.77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688.8900000000001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</f>
        <v>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291.60000000000002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-3608.4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-3608.4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2019-08-02T14:39:38Z</dcterms:modified>
</cp:coreProperties>
</file>