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B8EF72A-CD97-4A00-83F4-938B2FE6BFE3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" i="3" l="1"/>
  <c r="R33" i="3"/>
  <c r="B3" i="6"/>
  <c r="Q25" i="3"/>
  <c r="P25" i="3"/>
  <c r="R25" i="3"/>
  <c r="T28" i="3" l="1"/>
  <c r="S28" i="3"/>
  <c r="Y3" i="3" l="1"/>
  <c r="Y5" i="3"/>
  <c r="Y6" i="3"/>
  <c r="Y14" i="3"/>
  <c r="Y15" i="3"/>
  <c r="Y24" i="3"/>
  <c r="Z3" i="3"/>
  <c r="Z15" i="3" l="1"/>
  <c r="Z14" i="3"/>
  <c r="Z24" i="3"/>
  <c r="Z6" i="3"/>
  <c r="Z5" i="3"/>
  <c r="B5" i="2"/>
  <c r="AA15" i="3" l="1"/>
  <c r="AA24" i="3"/>
  <c r="AA14" i="3"/>
  <c r="AA5" i="3"/>
  <c r="AA6" i="3"/>
  <c r="AA3" i="3"/>
  <c r="R22" i="3"/>
  <c r="R23" i="3" l="1"/>
  <c r="S53" i="3" l="1"/>
  <c r="S52" i="3"/>
  <c r="S51" i="3"/>
  <c r="S50" i="3"/>
  <c r="S43" i="3" l="1"/>
  <c r="S42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1" i="3" l="1"/>
  <c r="G41" i="3"/>
  <c r="G38" i="3" l="1"/>
  <c r="G39" i="3"/>
  <c r="G40" i="3"/>
  <c r="Q19" i="3" l="1"/>
  <c r="R19" i="3" s="1"/>
  <c r="P19" i="3"/>
  <c r="U38" i="3" l="1"/>
  <c r="B15" i="4" l="1"/>
  <c r="R18" i="3" l="1"/>
  <c r="O28" i="3" l="1"/>
  <c r="N28" i="3"/>
  <c r="M28" i="3"/>
  <c r="L28" i="3"/>
  <c r="R3" i="3"/>
  <c r="S3" i="3"/>
  <c r="R12" i="3"/>
  <c r="Q13" i="3"/>
  <c r="R28" i="3" l="1"/>
  <c r="K28" i="3"/>
  <c r="J28" i="3"/>
  <c r="I28" i="3"/>
  <c r="H28" i="3" l="1"/>
  <c r="B13" i="3" l="1"/>
  <c r="Y13" i="3" s="1"/>
  <c r="Z13" i="3" l="1"/>
  <c r="B18" i="1"/>
  <c r="B16" i="1"/>
  <c r="AA13" i="3" l="1"/>
  <c r="B5" i="1"/>
  <c r="B17" i="1" s="1"/>
  <c r="B15" i="1" s="1"/>
  <c r="B19" i="2"/>
  <c r="A32" i="3" l="1"/>
  <c r="F32" i="3"/>
  <c r="E32" i="3"/>
  <c r="B32" i="3"/>
  <c r="Y27" i="3" s="1"/>
  <c r="E16" i="4"/>
  <c r="B7" i="4"/>
  <c r="E13" i="4" s="1"/>
  <c r="E17" i="4" s="1"/>
  <c r="B5" i="4"/>
  <c r="I4" i="4"/>
  <c r="I5" i="4" s="1"/>
  <c r="Z27" i="3" l="1"/>
  <c r="Y28" i="3"/>
  <c r="D32" i="3"/>
  <c r="D13" i="3"/>
  <c r="G32" i="3"/>
  <c r="E6" i="4"/>
  <c r="E5" i="4"/>
  <c r="E3" i="4"/>
  <c r="E4" i="4"/>
  <c r="Z28" i="3" l="1"/>
  <c r="H32" i="3"/>
  <c r="J32" i="3" s="1"/>
  <c r="L32" i="3"/>
  <c r="M32" i="3" s="1"/>
  <c r="E11" i="4"/>
  <c r="E18" i="4" s="1"/>
  <c r="AA27" i="3" l="1"/>
  <c r="AA28" i="3" s="1"/>
  <c r="AB28" i="3" s="1"/>
  <c r="AC28" i="3" s="1"/>
  <c r="N32" i="3"/>
  <c r="I32" i="3"/>
  <c r="K32" i="3" l="1"/>
  <c r="P39" i="3" s="1"/>
  <c r="O32" i="3"/>
  <c r="P32" i="3"/>
  <c r="Q32" i="3"/>
  <c r="F31" i="3"/>
  <c r="E31" i="3"/>
  <c r="B31" i="3"/>
  <c r="A30" i="3"/>
  <c r="E16" i="2"/>
  <c r="B12" i="2"/>
  <c r="B7" i="2"/>
  <c r="D31" i="3"/>
  <c r="I4" i="2"/>
  <c r="I5" i="2" s="1"/>
  <c r="R32" i="3" l="1"/>
  <c r="S32" i="3" s="1"/>
  <c r="P40" i="3"/>
  <c r="P41" i="3" s="1"/>
  <c r="L31" i="3"/>
  <c r="M31" i="3" s="1"/>
  <c r="E5" i="2"/>
  <c r="G31" i="3"/>
  <c r="H31" i="3"/>
  <c r="I31" i="3" s="1"/>
  <c r="E6" i="2"/>
  <c r="E3" i="2"/>
  <c r="E4" i="2"/>
  <c r="E13" i="2"/>
  <c r="E17" i="2" s="1"/>
  <c r="J31" i="3" l="1"/>
  <c r="N31" i="3"/>
  <c r="S33" i="3"/>
  <c r="E11" i="2"/>
  <c r="E18" i="2" s="1"/>
  <c r="B12" i="1"/>
  <c r="B30" i="3"/>
  <c r="F30" i="3"/>
  <c r="E30" i="3"/>
  <c r="P31" i="3" l="1"/>
  <c r="O31" i="3"/>
  <c r="K31" i="3"/>
  <c r="D30" i="3"/>
  <c r="H30" i="3" s="1"/>
  <c r="F3" i="3"/>
  <c r="G3" i="3" s="1"/>
  <c r="R31" i="3" l="1"/>
  <c r="S31" i="3" s="1"/>
  <c r="Q31" i="3"/>
  <c r="L30" i="3"/>
  <c r="I30" i="3"/>
  <c r="J30" i="3" s="1"/>
  <c r="K30" i="3" s="1"/>
  <c r="E16" i="1"/>
  <c r="M30" i="3" l="1"/>
  <c r="P30" i="3" s="1"/>
  <c r="I4" i="1"/>
  <c r="N30" i="3" l="1"/>
  <c r="Q30" i="3" s="1"/>
  <c r="B7" i="1"/>
  <c r="G30" i="3" s="1"/>
  <c r="O30" i="3" l="1"/>
  <c r="E6" i="1"/>
  <c r="E13" i="1"/>
  <c r="E17" i="1" s="1"/>
  <c r="E3" i="1"/>
  <c r="E4" i="1"/>
  <c r="E5" i="1"/>
  <c r="R30" i="3" l="1"/>
  <c r="S30" i="3" s="1"/>
  <c r="E11" i="1"/>
  <c r="E18" i="1" s="1"/>
  <c r="I5" i="1"/>
</calcChain>
</file>

<file path=xl/sharedStrings.xml><?xml version="1.0" encoding="utf-8"?>
<sst xmlns="http://schemas.openxmlformats.org/spreadsheetml/2006/main" count="261" uniqueCount="151">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</sst>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138.03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29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155.03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0.12316163152937776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153.972465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0"/>
  <sheetViews>
    <sheetView tabSelected="1" topLeftCell="P28" zoomScaleNormal="100" workbookViewId="0">
      <selection activeCell="AB33" sqref="AB33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</f>
        <v>1513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144</v>
      </c>
      <c r="Z2" t="s">
        <v>145</v>
      </c>
      <c r="AA2" t="s">
        <v>146</v>
      </c>
      <c r="AB2" t="s">
        <v>147</v>
      </c>
      <c r="AC2" t="s">
        <v>148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4.0978189028420355E-2</v>
      </c>
      <c r="AA3" s="56">
        <f ca="1">Z3*H3</f>
        <v>163.44150693985458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3.6351619299405155E-2</v>
      </c>
      <c r="AA5" s="56">
        <f t="shared" ref="AA5:AA24" ca="1" si="2">Z5*H5</f>
        <v>145.45955056179773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9.253139458030404E-3</v>
      </c>
      <c r="AA6" s="56">
        <f t="shared" ca="1" si="2"/>
        <v>37.061599471249181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0.19035029742233972</v>
      </c>
      <c r="AA13" s="56">
        <f t="shared" ca="1" si="2"/>
        <v>111.61760740251157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0.57435558493060146</v>
      </c>
      <c r="AA14" s="56">
        <f t="shared" ca="1" si="2"/>
        <v>2521.1912756113684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0.41771315267680104</v>
      </c>
      <c r="AA15" s="56">
        <f t="shared" ca="1" si="2"/>
        <v>250.87851949768671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142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</f>
        <v>-7.5299999999999994</v>
      </c>
      <c r="S22" s="10"/>
      <c r="T22" t="s">
        <v>143</v>
      </c>
      <c r="Z22" s="59"/>
      <c r="AA22" s="56"/>
      <c r="AB22" s="5"/>
    </row>
    <row r="23" spans="1:29" x14ac:dyDescent="0.25">
      <c r="A23" s="39" t="s">
        <v>139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140</v>
      </c>
      <c r="Z23" s="59"/>
      <c r="AA23" s="56"/>
      <c r="AB23" s="5"/>
    </row>
    <row r="24" spans="1:29" x14ac:dyDescent="0.25">
      <c r="A24" s="7" t="s">
        <v>139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141</v>
      </c>
      <c r="Y24">
        <f t="shared" si="0"/>
        <v>22</v>
      </c>
      <c r="Z24" s="59">
        <f t="shared" ca="1" si="1"/>
        <v>1.4540647719762063E-2</v>
      </c>
      <c r="AA24" s="56">
        <f t="shared" ca="1" si="2"/>
        <v>59.386913417052213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73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433</v>
      </c>
      <c r="Z27" s="59">
        <f t="shared" ca="1" si="1"/>
        <v>0.28618638466622603</v>
      </c>
      <c r="AA27" s="56">
        <f ca="1">Z27*H32</f>
        <v>1457.2839656311962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3573.5734679999991</v>
      </c>
      <c r="S28" s="16">
        <f>SUM(S3:S27)/7</f>
        <v>0.54861989434118641</v>
      </c>
      <c r="T28" s="16">
        <f>S28/4</f>
        <v>0.1371549735852966</v>
      </c>
      <c r="Y28">
        <f ca="1">SUM(Y3:Y27)</f>
        <v>2375</v>
      </c>
      <c r="Z28" s="59">
        <f ca="1">SUM(Z3:Z27)</f>
        <v>1.5697290152015861</v>
      </c>
      <c r="AA28" s="56">
        <f ca="1">SUM(AA3:AA27)</f>
        <v>4746.3209385327173</v>
      </c>
      <c r="AB28" s="3">
        <f ca="1">R28/AA28</f>
        <v>0.75291441819455585</v>
      </c>
      <c r="AC28" s="3">
        <f ca="1">AB28/(X1/365)</f>
        <v>0.18163500505023986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111</v>
      </c>
      <c r="U30" t="s">
        <v>113</v>
      </c>
    </row>
    <row r="31" spans="1:29" x14ac:dyDescent="0.25">
      <c r="A31" s="39" t="str">
        <f>'Operacion 2'!B$3</f>
        <v>DAI.DE</v>
      </c>
      <c r="B31" s="8">
        <f>'Operacion 2'!B$2</f>
        <v>42471</v>
      </c>
      <c r="C31" s="8"/>
      <c r="D31" s="14">
        <f>'Operacion 2'!B$5</f>
        <v>29</v>
      </c>
      <c r="E31" s="9">
        <f>'Operacion 2'!B$4</f>
        <v>138.03</v>
      </c>
      <c r="F31" s="9">
        <f>'Operacion 2'!B$6</f>
        <v>155.03</v>
      </c>
      <c r="G31" s="10">
        <f>'Operacion 2'!B$7</f>
        <v>0.12316163152937776</v>
      </c>
      <c r="H31" s="9">
        <f t="shared" ref="H31:H32" si="5">E31*D31</f>
        <v>4002.87</v>
      </c>
      <c r="I31" s="9">
        <f>IF((H31*(0.0075))&lt;30,30,(H31*(0.0075)))</f>
        <v>30.021524999999997</v>
      </c>
      <c r="J31" s="9">
        <f>H31*0.0035</f>
        <v>14.010045</v>
      </c>
      <c r="K31" s="9">
        <f t="shared" ref="K31:K32" si="6">SUM(H31:J31)</f>
        <v>4046.90157</v>
      </c>
      <c r="L31" s="9">
        <f t="shared" ref="L31:L32" si="7">D31*F31</f>
        <v>4495.87</v>
      </c>
      <c r="M31" s="9">
        <f>IF((L31*(0.0075))&lt;30,-30,-(L31*(0.0075)))</f>
        <v>-33.719024999999995</v>
      </c>
      <c r="N31" s="9">
        <f>-(L31*0.0035)</f>
        <v>-15.735545</v>
      </c>
      <c r="O31" s="9">
        <f t="shared" ref="O31:O32" si="8">SUM(L31:N31)</f>
        <v>4446.41543</v>
      </c>
      <c r="P31" s="9">
        <f t="shared" ref="P31:P32" si="9">I31-M31</f>
        <v>63.740549999999992</v>
      </c>
      <c r="Q31" s="9">
        <f t="shared" ref="Q31:Q32" si="10">J31-N31</f>
        <v>29.74559</v>
      </c>
      <c r="R31" s="9">
        <f t="shared" si="4"/>
        <v>399.51386000000002</v>
      </c>
      <c r="S31" s="10">
        <f t="shared" ref="S31" si="11">R31/K31</f>
        <v>9.8720923424880827E-2</v>
      </c>
      <c r="T31" t="s">
        <v>110</v>
      </c>
      <c r="U31" t="s">
        <v>113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10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113</v>
      </c>
      <c r="AA32" s="56"/>
    </row>
    <row r="33" spans="3:27" x14ac:dyDescent="0.25">
      <c r="R33" s="56">
        <f>R32+SUM(R19:R22)+R25</f>
        <v>806.28499999999963</v>
      </c>
      <c r="S33" s="10">
        <f>R33/K32</f>
        <v>0.15661819217216602</v>
      </c>
    </row>
    <row r="34" spans="3:27" x14ac:dyDescent="0.25">
      <c r="D34" s="48"/>
      <c r="H34" s="48" t="s">
        <v>59</v>
      </c>
      <c r="I34" s="48"/>
      <c r="J34" s="48" t="s">
        <v>62</v>
      </c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70</v>
      </c>
      <c r="U36">
        <v>27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68</v>
      </c>
      <c r="U37">
        <v>30.57</v>
      </c>
      <c r="W37" t="s">
        <v>115</v>
      </c>
    </row>
    <row r="38" spans="3:27" x14ac:dyDescent="0.25">
      <c r="D38" t="s">
        <v>64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69</v>
      </c>
      <c r="U38" s="3">
        <f>(U37/U36)-1</f>
        <v>0.13222222222222224</v>
      </c>
      <c r="V38" s="3"/>
      <c r="W38" t="s">
        <v>83</v>
      </c>
    </row>
    <row r="39" spans="3:27" x14ac:dyDescent="0.25">
      <c r="D39" t="s">
        <v>63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65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109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122</v>
      </c>
      <c r="S44" s="48" t="s">
        <v>123</v>
      </c>
      <c r="T44" s="5"/>
    </row>
    <row r="45" spans="3:27" ht="15.75" x14ac:dyDescent="0.25">
      <c r="F45" s="5"/>
      <c r="Q45" t="s">
        <v>119</v>
      </c>
      <c r="R45" s="57" t="s">
        <v>118</v>
      </c>
      <c r="S45" s="49"/>
      <c r="T45" s="5"/>
    </row>
    <row r="46" spans="3:27" x14ac:dyDescent="0.25">
      <c r="E46" s="5"/>
      <c r="F46" s="5"/>
      <c r="Q46" t="s">
        <v>120</v>
      </c>
      <c r="R46" s="57" t="s">
        <v>121</v>
      </c>
      <c r="S46" t="s">
        <v>124</v>
      </c>
    </row>
    <row r="47" spans="3:27" x14ac:dyDescent="0.25">
      <c r="E47" s="5"/>
      <c r="F47" s="5"/>
      <c r="G47" s="5"/>
      <c r="J47" t="s">
        <v>125</v>
      </c>
      <c r="R47" s="5"/>
      <c r="S47" t="s">
        <v>138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126</v>
      </c>
      <c r="R49" s="44"/>
    </row>
    <row r="50" spans="10:19" x14ac:dyDescent="0.25">
      <c r="J50" t="s">
        <v>127</v>
      </c>
      <c r="L50" t="s">
        <v>150</v>
      </c>
      <c r="R50" s="57"/>
      <c r="S50">
        <f>5000/12</f>
        <v>416.66666666666669</v>
      </c>
    </row>
    <row r="51" spans="10:19" x14ac:dyDescent="0.25">
      <c r="J51" t="s">
        <v>128</v>
      </c>
      <c r="S51">
        <f>2.2/S50</f>
        <v>5.28E-3</v>
      </c>
    </row>
    <row r="52" spans="10:19" x14ac:dyDescent="0.25">
      <c r="J52" t="s">
        <v>129</v>
      </c>
      <c r="S52">
        <f>100*S51</f>
        <v>0.52800000000000002</v>
      </c>
    </row>
    <row r="53" spans="10:19" x14ac:dyDescent="0.25">
      <c r="J53" t="s">
        <v>130</v>
      </c>
      <c r="S53">
        <f>2.2*12</f>
        <v>26.400000000000002</v>
      </c>
    </row>
    <row r="54" spans="10:19" x14ac:dyDescent="0.25">
      <c r="J54" t="s">
        <v>131</v>
      </c>
    </row>
    <row r="55" spans="10:19" x14ac:dyDescent="0.25">
      <c r="J55" t="s">
        <v>132</v>
      </c>
    </row>
    <row r="56" spans="10:19" x14ac:dyDescent="0.25">
      <c r="J56" t="s">
        <v>133</v>
      </c>
    </row>
    <row r="57" spans="10:19" x14ac:dyDescent="0.25">
      <c r="J57" t="s">
        <v>134</v>
      </c>
    </row>
    <row r="58" spans="10:19" x14ac:dyDescent="0.25">
      <c r="J58" t="s">
        <v>135</v>
      </c>
    </row>
    <row r="59" spans="10:19" x14ac:dyDescent="0.25">
      <c r="J59" t="s">
        <v>136</v>
      </c>
    </row>
    <row r="60" spans="10:19" x14ac:dyDescent="0.25">
      <c r="J60" t="s">
        <v>137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9" sqref="L9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1100</f>
        <v>1100</v>
      </c>
      <c r="C3" s="3">
        <f>B3/B$7</f>
        <v>0.27160493827160492</v>
      </c>
      <c r="D3" s="56">
        <f>D$7*C3</f>
        <v>0</v>
      </c>
    </row>
    <row r="4" spans="1:5" x14ac:dyDescent="0.25">
      <c r="A4" t="s">
        <v>79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80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117</v>
      </c>
      <c r="B6" s="56">
        <v>1050</v>
      </c>
      <c r="C6" s="3">
        <f t="shared" si="0"/>
        <v>0.25925925925925924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1</v>
      </c>
      <c r="D7" s="56">
        <v>0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topLeftCell="A7" workbookViewId="0">
      <selection activeCell="C26" sqref="C26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  <row r="25" spans="1:4" x14ac:dyDescent="0.25">
      <c r="A25" t="s">
        <v>149</v>
      </c>
      <c r="B25" t="s">
        <v>105</v>
      </c>
      <c r="C25" t="s">
        <v>102</v>
      </c>
      <c r="D25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2019-05-02T15:30:59Z</dcterms:modified>
</cp:coreProperties>
</file>