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3E46D74C-0902-4EDF-B4AF-B0C5CC6321B0}" xr6:coauthVersionLast="41" xr6:coauthVersionMax="41" xr10:uidLastSave="{00000000-0000-0000-0000-000000000000}"/>
  <bookViews>
    <workbookView xWindow="-108" yWindow="12852" windowWidth="22164" windowHeight="13176" activeTab="1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6" i="11" l="1"/>
  <c r="D306" i="11" l="1"/>
  <c r="A286" i="11"/>
  <c r="D186" i="11" l="1"/>
  <c r="H62" i="17" l="1"/>
  <c r="G62" i="17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F366" i="11"/>
  <c r="I271" i="11" l="1"/>
  <c r="H257" i="12" l="1"/>
  <c r="P32" i="18"/>
  <c r="A359" i="12" l="1"/>
  <c r="A358" i="12"/>
  <c r="A346" i="12"/>
  <c r="A299" i="12"/>
  <c r="A257" i="12"/>
  <c r="A256" i="12"/>
  <c r="A126" i="12"/>
  <c r="A79" i="12"/>
  <c r="A360" i="12" l="1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2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467" i="11"/>
  <c r="A466" i="11"/>
  <c r="A359" i="11"/>
  <c r="A358" i="11"/>
  <c r="A346" i="11"/>
  <c r="A299" i="11"/>
  <c r="A256" i="11"/>
  <c r="H257" i="11"/>
  <c r="A108" i="11"/>
  <c r="A109" i="11"/>
  <c r="A79" i="1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6" i="10"/>
  <c r="A246" i="11"/>
  <c r="A246" i="12" s="1"/>
  <c r="A260" i="12" s="1"/>
  <c r="H26" i="15"/>
  <c r="E186" i="10"/>
  <c r="F66" i="10"/>
  <c r="A480" i="11" l="1"/>
  <c r="A360" i="11"/>
  <c r="A260" i="11"/>
  <c r="A246" i="9"/>
  <c r="A66" i="9"/>
  <c r="K11" i="10"/>
  <c r="G25" i="15"/>
  <c r="B26" i="15"/>
  <c r="T35" i="18"/>
  <c r="T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B5" i="19"/>
  <c r="B6" i="19"/>
  <c r="A109" i="9"/>
  <c r="A108" i="9"/>
  <c r="A467" i="9"/>
  <c r="A300" i="11" l="1"/>
  <c r="A286" i="12"/>
  <c r="A300" i="12" s="1"/>
  <c r="D246" i="9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A129" i="12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40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A140" i="11" s="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79" i="2"/>
  <c r="A79" i="3" s="1"/>
  <c r="A79" i="4" s="1"/>
  <c r="A79" i="5" s="1"/>
  <c r="A80" i="11" l="1"/>
  <c r="A66" i="12"/>
  <c r="A80" i="12" s="1"/>
  <c r="A80" i="5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2"/>
  <c r="A29" i="13" s="1"/>
  <c r="A29" i="1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2"/>
  <c r="A8" i="13" s="1"/>
  <c r="A8" i="1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<sst xmlns="http://schemas.openxmlformats.org/spreadsheetml/2006/main" count="5722" uniqueCount="854">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</sst>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40" zoomScaleNormal="100" workbookViewId="0">
      <pane xSplit="1" topLeftCell="AH1" activePane="topRight" state="frozen"/>
      <selection pane="topRight" activeCell="AP50" sqref="AP5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0" t="s">
        <v>0</v>
      </c>
      <c r="D4" s="381"/>
      <c r="E4" s="381"/>
      <c r="F4" s="382"/>
      <c r="G4" s="380" t="s">
        <v>1</v>
      </c>
      <c r="H4" s="381"/>
      <c r="I4" s="381"/>
      <c r="J4" s="382"/>
      <c r="K4" s="380" t="s">
        <v>2</v>
      </c>
      <c r="L4" s="381"/>
      <c r="M4" s="381"/>
      <c r="N4" s="382"/>
      <c r="O4" s="380" t="s">
        <v>3</v>
      </c>
      <c r="P4" s="381"/>
      <c r="Q4" s="381"/>
      <c r="R4" s="382"/>
      <c r="S4" s="380" t="s">
        <v>71</v>
      </c>
      <c r="T4" s="381"/>
      <c r="U4" s="381"/>
      <c r="V4" s="382"/>
      <c r="W4" s="380" t="s">
        <v>70</v>
      </c>
      <c r="X4" s="381"/>
      <c r="Y4" s="381"/>
      <c r="Z4" s="382"/>
      <c r="AA4" s="380" t="s">
        <v>72</v>
      </c>
      <c r="AB4" s="381"/>
      <c r="AC4" s="381"/>
      <c r="AD4" s="382"/>
      <c r="AE4" s="380" t="s">
        <v>73</v>
      </c>
      <c r="AF4" s="381"/>
      <c r="AG4" s="381"/>
      <c r="AH4" s="382"/>
      <c r="AI4" s="380" t="s">
        <v>75</v>
      </c>
      <c r="AJ4" s="381"/>
      <c r="AK4" s="381"/>
      <c r="AL4" s="382"/>
      <c r="AM4" s="380" t="s">
        <v>77</v>
      </c>
      <c r="AN4" s="381"/>
      <c r="AO4" s="381"/>
      <c r="AP4" s="382"/>
      <c r="AQ4" s="380" t="s">
        <v>79</v>
      </c>
      <c r="AR4" s="381"/>
      <c r="AS4" s="381"/>
      <c r="AT4" s="382"/>
      <c r="AU4" s="380" t="s">
        <v>84</v>
      </c>
      <c r="AV4" s="381"/>
      <c r="AW4" s="381"/>
      <c r="AX4" s="382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89">
        <f>'01'!K19</f>
        <v>26383.54</v>
      </c>
      <c r="D5" s="387"/>
      <c r="E5" s="387"/>
      <c r="F5" s="388"/>
      <c r="G5" s="389">
        <f>'02'!K19</f>
        <v>25229.379999999997</v>
      </c>
      <c r="H5" s="387"/>
      <c r="I5" s="387"/>
      <c r="J5" s="388"/>
      <c r="K5" s="386">
        <f>'03'!K19</f>
        <v>25574.760000000002</v>
      </c>
      <c r="L5" s="387"/>
      <c r="M5" s="387"/>
      <c r="N5" s="388"/>
      <c r="O5" s="386">
        <f>'04'!K19</f>
        <v>26443.759999999998</v>
      </c>
      <c r="P5" s="387"/>
      <c r="Q5" s="387"/>
      <c r="R5" s="388"/>
      <c r="S5" s="386">
        <f>'05'!K19</f>
        <v>27163.090000000004</v>
      </c>
      <c r="T5" s="387"/>
      <c r="U5" s="387"/>
      <c r="V5" s="388"/>
      <c r="W5" s="386">
        <f>'06'!K19</f>
        <v>29014.079999999998</v>
      </c>
      <c r="X5" s="387"/>
      <c r="Y5" s="387"/>
      <c r="Z5" s="388"/>
      <c r="AA5" s="386">
        <f>'07'!K19</f>
        <v>29282.959999999999</v>
      </c>
      <c r="AB5" s="387"/>
      <c r="AC5" s="387"/>
      <c r="AD5" s="388"/>
      <c r="AE5" s="386">
        <f>'08'!K19</f>
        <v>29166.850000000002</v>
      </c>
      <c r="AF5" s="387"/>
      <c r="AG5" s="387"/>
      <c r="AH5" s="388"/>
      <c r="AI5" s="386">
        <f>'09'!K19</f>
        <v>29258.260000000002</v>
      </c>
      <c r="AJ5" s="387"/>
      <c r="AK5" s="387"/>
      <c r="AL5" s="388"/>
      <c r="AM5" s="386">
        <f>'10'!K19</f>
        <v>30089.47</v>
      </c>
      <c r="AN5" s="387"/>
      <c r="AO5" s="387"/>
      <c r="AP5" s="388"/>
      <c r="AQ5" s="386">
        <f>'11'!K19</f>
        <v>17864.099999999999</v>
      </c>
      <c r="AR5" s="387"/>
      <c r="AS5" s="387"/>
      <c r="AT5" s="388"/>
      <c r="AU5" s="386">
        <f>'12'!K19</f>
        <v>15101.890000000001</v>
      </c>
      <c r="AV5" s="387"/>
      <c r="AW5" s="387"/>
      <c r="AX5" s="388"/>
      <c r="AZ5" s="6"/>
      <c r="BA5" s="7"/>
      <c r="BB5" s="1"/>
      <c r="BC5" s="1"/>
    </row>
    <row r="6" spans="1:55" ht="17.25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3" t="s">
        <v>230</v>
      </c>
      <c r="D7" s="384"/>
      <c r="E7" s="384"/>
      <c r="F7" s="385"/>
      <c r="G7" s="383" t="s">
        <v>230</v>
      </c>
      <c r="H7" s="384"/>
      <c r="I7" s="384"/>
      <c r="J7" s="385"/>
      <c r="K7" s="383" t="s">
        <v>230</v>
      </c>
      <c r="L7" s="384"/>
      <c r="M7" s="384"/>
      <c r="N7" s="385"/>
      <c r="O7" s="383" t="s">
        <v>230</v>
      </c>
      <c r="P7" s="384"/>
      <c r="Q7" s="384"/>
      <c r="R7" s="385"/>
      <c r="S7" s="383" t="s">
        <v>230</v>
      </c>
      <c r="T7" s="384"/>
      <c r="U7" s="384"/>
      <c r="V7" s="385"/>
      <c r="W7" s="383" t="s">
        <v>230</v>
      </c>
      <c r="X7" s="384"/>
      <c r="Y7" s="384"/>
      <c r="Z7" s="385"/>
      <c r="AA7" s="383" t="s">
        <v>230</v>
      </c>
      <c r="AB7" s="384"/>
      <c r="AC7" s="384"/>
      <c r="AD7" s="385"/>
      <c r="AE7" s="383" t="s">
        <v>230</v>
      </c>
      <c r="AF7" s="384"/>
      <c r="AG7" s="384"/>
      <c r="AH7" s="385"/>
      <c r="AI7" s="383" t="s">
        <v>230</v>
      </c>
      <c r="AJ7" s="384"/>
      <c r="AK7" s="384"/>
      <c r="AL7" s="385"/>
      <c r="AM7" s="383" t="s">
        <v>230</v>
      </c>
      <c r="AN7" s="384"/>
      <c r="AO7" s="384"/>
      <c r="AP7" s="385"/>
      <c r="AQ7" s="383" t="s">
        <v>230</v>
      </c>
      <c r="AR7" s="384"/>
      <c r="AS7" s="384"/>
      <c r="AT7" s="385"/>
      <c r="AU7" s="383" t="s">
        <v>230</v>
      </c>
      <c r="AV7" s="384"/>
      <c r="AW7" s="384"/>
      <c r="AX7" s="385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0">
        <f>SUM('01'!L25:'01'!L29)</f>
        <v>2593.46</v>
      </c>
      <c r="D8" s="391"/>
      <c r="E8" s="391"/>
      <c r="F8" s="392"/>
      <c r="G8" s="390">
        <f>SUM('02'!L25:'02'!L29)</f>
        <v>2592.42</v>
      </c>
      <c r="H8" s="391"/>
      <c r="I8" s="391"/>
      <c r="J8" s="392"/>
      <c r="K8" s="390">
        <f>SUM('03'!L25:'03'!L29)</f>
        <v>2526.87</v>
      </c>
      <c r="L8" s="391"/>
      <c r="M8" s="391"/>
      <c r="N8" s="392"/>
      <c r="O8" s="390">
        <f>SUM('04'!L25:'04'!L29)</f>
        <v>2570.56</v>
      </c>
      <c r="P8" s="391"/>
      <c r="Q8" s="391"/>
      <c r="R8" s="392"/>
      <c r="S8" s="390">
        <f>SUM('05'!L25:'05'!L29)</f>
        <v>4448.8500000000004</v>
      </c>
      <c r="T8" s="391"/>
      <c r="U8" s="391"/>
      <c r="V8" s="392"/>
      <c r="W8" s="390">
        <f>SUM('06'!L25:'06'!L29)</f>
        <v>2574.61</v>
      </c>
      <c r="X8" s="391"/>
      <c r="Y8" s="391"/>
      <c r="Z8" s="392"/>
      <c r="AA8" s="390">
        <f>SUM('07'!L25:'07'!L29)</f>
        <v>2568.54</v>
      </c>
      <c r="AB8" s="391"/>
      <c r="AC8" s="391"/>
      <c r="AD8" s="392"/>
      <c r="AE8" s="390">
        <f>SUM('08'!L25:'08'!L29)</f>
        <v>2571.5500000000002</v>
      </c>
      <c r="AF8" s="391"/>
      <c r="AG8" s="391"/>
      <c r="AH8" s="392"/>
      <c r="AI8" s="390">
        <f>SUM('09'!L25:'09'!L29)</f>
        <v>2573.7399999999998</v>
      </c>
      <c r="AJ8" s="391"/>
      <c r="AK8" s="391"/>
      <c r="AL8" s="392"/>
      <c r="AM8" s="390">
        <f>SUM('10'!L25:'10'!L29)</f>
        <v>0</v>
      </c>
      <c r="AN8" s="391"/>
      <c r="AO8" s="391"/>
      <c r="AP8" s="392"/>
      <c r="AQ8" s="390">
        <f>SUM('11'!L25:'11'!L29)</f>
        <v>0</v>
      </c>
      <c r="AR8" s="391"/>
      <c r="AS8" s="391"/>
      <c r="AT8" s="392"/>
      <c r="AU8" s="390">
        <f>SUM('12'!L25:'12'!L29)</f>
        <v>0</v>
      </c>
      <c r="AV8" s="391"/>
      <c r="AW8" s="391"/>
      <c r="AX8" s="392"/>
      <c r="AZ8" s="209">
        <f>SUM(C8:AU8)</f>
        <v>25020.6</v>
      </c>
      <c r="BA8" s="112">
        <f t="shared" ref="BA8:BA16" ca="1" si="0">AZ8/BC$17</f>
        <v>2502.06</v>
      </c>
      <c r="BB8" s="1"/>
      <c r="BC8" s="1"/>
    </row>
    <row r="9" spans="1:55" ht="15.75">
      <c r="A9" s="189" t="s">
        <v>213</v>
      </c>
      <c r="B9" s="193">
        <v>5835.74</v>
      </c>
      <c r="C9" s="377">
        <f>SUM('01'!L30:'01'!L34)</f>
        <v>655.59</v>
      </c>
      <c r="D9" s="378"/>
      <c r="E9" s="378"/>
      <c r="F9" s="379"/>
      <c r="G9" s="377">
        <f>SUM('02'!L30:'02'!L34)</f>
        <v>760.26</v>
      </c>
      <c r="H9" s="378"/>
      <c r="I9" s="378"/>
      <c r="J9" s="379"/>
      <c r="K9" s="377">
        <f>SUM('03'!L30:'03'!L34)</f>
        <v>516.44000000000005</v>
      </c>
      <c r="L9" s="378"/>
      <c r="M9" s="378"/>
      <c r="N9" s="379"/>
      <c r="O9" s="377">
        <f>SUM('04'!L30:'04'!L34)</f>
        <v>507.54</v>
      </c>
      <c r="P9" s="378"/>
      <c r="Q9" s="378"/>
      <c r="R9" s="379"/>
      <c r="S9" s="377">
        <f>SUM('05'!L30:'05'!L34)</f>
        <v>578.16999999999996</v>
      </c>
      <c r="T9" s="378"/>
      <c r="U9" s="378"/>
      <c r="V9" s="379"/>
      <c r="W9" s="377">
        <f>SUM('06'!L30:'06'!L34)</f>
        <v>613.67000000000007</v>
      </c>
      <c r="X9" s="378"/>
      <c r="Y9" s="378"/>
      <c r="Z9" s="379"/>
      <c r="AA9" s="377">
        <f>SUM('07'!L30:'07'!L34)</f>
        <v>1147.52</v>
      </c>
      <c r="AB9" s="378"/>
      <c r="AC9" s="378"/>
      <c r="AD9" s="379"/>
      <c r="AE9" s="377">
        <f>SUM('08'!L30:'08'!L34)</f>
        <v>291.60000000000002</v>
      </c>
      <c r="AF9" s="378"/>
      <c r="AG9" s="378"/>
      <c r="AH9" s="379"/>
      <c r="AI9" s="377">
        <f>SUM('09'!L30:'09'!L34)</f>
        <v>291.60000000000002</v>
      </c>
      <c r="AJ9" s="378"/>
      <c r="AK9" s="378"/>
      <c r="AL9" s="379"/>
      <c r="AM9" s="377">
        <f>SUM('10'!L30:'10'!L34)</f>
        <v>404.86</v>
      </c>
      <c r="AN9" s="378"/>
      <c r="AO9" s="378"/>
      <c r="AP9" s="379"/>
      <c r="AQ9" s="377">
        <f>SUM('11'!L30:'11'!L34)</f>
        <v>0</v>
      </c>
      <c r="AR9" s="378"/>
      <c r="AS9" s="378"/>
      <c r="AT9" s="379"/>
      <c r="AU9" s="377">
        <f>SUM('12'!L30:'12'!L34)</f>
        <v>0</v>
      </c>
      <c r="AV9" s="378"/>
      <c r="AW9" s="378"/>
      <c r="AX9" s="379"/>
      <c r="AZ9" s="210">
        <f t="shared" ref="AZ9:AZ16" si="1">SUM(C9:AW9)</f>
        <v>5767.2500000000009</v>
      </c>
      <c r="BA9" s="112">
        <f t="shared" ca="1" si="0"/>
        <v>576.72500000000014</v>
      </c>
      <c r="BB9" s="1"/>
      <c r="BC9" s="1"/>
    </row>
    <row r="10" spans="1:55" ht="15.75">
      <c r="A10" s="190" t="s">
        <v>218</v>
      </c>
      <c r="B10" s="194">
        <v>2731.18</v>
      </c>
      <c r="C10" s="377">
        <f>SUM('01'!L35:'01'!L39)</f>
        <v>120.85</v>
      </c>
      <c r="D10" s="378"/>
      <c r="E10" s="378"/>
      <c r="F10" s="379"/>
      <c r="G10" s="377">
        <f>SUM('02'!L35:'02'!L39)</f>
        <v>107.38</v>
      </c>
      <c r="H10" s="378"/>
      <c r="I10" s="378"/>
      <c r="J10" s="379"/>
      <c r="K10" s="377">
        <f>SUM('03'!L35:'03'!L39)</f>
        <v>91.73</v>
      </c>
      <c r="L10" s="378"/>
      <c r="M10" s="378"/>
      <c r="N10" s="379"/>
      <c r="O10" s="377">
        <f>SUM('04'!L35:'04'!L39)</f>
        <v>204.23</v>
      </c>
      <c r="P10" s="378"/>
      <c r="Q10" s="378"/>
      <c r="R10" s="379"/>
      <c r="S10" s="377">
        <f>SUM('05'!L35:'05'!L39)</f>
        <v>119.85</v>
      </c>
      <c r="T10" s="378"/>
      <c r="U10" s="378"/>
      <c r="V10" s="379"/>
      <c r="W10" s="393">
        <f>SUM('06'!L35:'06'!L39)</f>
        <v>55.09</v>
      </c>
      <c r="X10" s="394"/>
      <c r="Y10" s="394"/>
      <c r="Z10" s="395"/>
      <c r="AA10" s="393">
        <f>SUM('07'!L35:'07'!L39)</f>
        <v>124.52</v>
      </c>
      <c r="AB10" s="394"/>
      <c r="AC10" s="394"/>
      <c r="AD10" s="395"/>
      <c r="AE10" s="393">
        <f>SUM('08'!L35:'08'!L39)</f>
        <v>164.91</v>
      </c>
      <c r="AF10" s="394"/>
      <c r="AG10" s="394"/>
      <c r="AH10" s="395"/>
      <c r="AI10" s="393">
        <f>SUM('09'!L35:'09'!L39)</f>
        <v>167.95</v>
      </c>
      <c r="AJ10" s="394"/>
      <c r="AK10" s="394"/>
      <c r="AL10" s="395"/>
      <c r="AM10" s="393">
        <f>SUM('10'!L35:'10'!L39)</f>
        <v>0</v>
      </c>
      <c r="AN10" s="394"/>
      <c r="AO10" s="394"/>
      <c r="AP10" s="395"/>
      <c r="AQ10" s="393">
        <f>SUM('11'!L35:'11'!L39)</f>
        <v>0</v>
      </c>
      <c r="AR10" s="394"/>
      <c r="AS10" s="394"/>
      <c r="AT10" s="395"/>
      <c r="AU10" s="393">
        <f>SUM('12'!L35:'12'!L39)</f>
        <v>0</v>
      </c>
      <c r="AV10" s="394"/>
      <c r="AW10" s="394"/>
      <c r="AX10" s="395"/>
      <c r="AZ10" s="211">
        <f t="shared" si="1"/>
        <v>1156.51</v>
      </c>
      <c r="BA10" s="112">
        <f t="shared" ca="1" si="0"/>
        <v>115.651</v>
      </c>
      <c r="BB10" s="1"/>
      <c r="BC10" s="1"/>
    </row>
    <row r="11" spans="1:55" ht="15.75">
      <c r="A11" s="189" t="s">
        <v>214</v>
      </c>
      <c r="B11" s="193">
        <v>2906.88</v>
      </c>
      <c r="C11" s="377">
        <f>SUM('01'!L40:'01'!L44)</f>
        <v>3.87</v>
      </c>
      <c r="D11" s="378"/>
      <c r="E11" s="378"/>
      <c r="F11" s="379"/>
      <c r="G11" s="377">
        <f>SUM('02'!L40:'02'!L44)</f>
        <v>0</v>
      </c>
      <c r="H11" s="378"/>
      <c r="I11" s="378"/>
      <c r="J11" s="379"/>
      <c r="K11" s="377">
        <f>SUM('03'!L40:'03'!L44)</f>
        <v>0</v>
      </c>
      <c r="L11" s="378"/>
      <c r="M11" s="378"/>
      <c r="N11" s="379"/>
      <c r="O11" s="377">
        <f>SUM('04'!L40:'04'!L44)</f>
        <v>356.59</v>
      </c>
      <c r="P11" s="378"/>
      <c r="Q11" s="378"/>
      <c r="R11" s="379"/>
      <c r="S11" s="377">
        <f>SUM('05'!L40:'05'!L44)</f>
        <v>45.86</v>
      </c>
      <c r="T11" s="378"/>
      <c r="U11" s="378"/>
      <c r="V11" s="379"/>
      <c r="W11" s="377">
        <f>SUM('06'!L40:'06'!L44)</f>
        <v>0</v>
      </c>
      <c r="X11" s="378"/>
      <c r="Y11" s="378"/>
      <c r="Z11" s="379"/>
      <c r="AA11" s="377">
        <f>SUM('07'!L40:'07'!L44)</f>
        <v>1.02</v>
      </c>
      <c r="AB11" s="378"/>
      <c r="AC11" s="378"/>
      <c r="AD11" s="379"/>
      <c r="AE11" s="377">
        <f>SUM('08'!L40:'08'!L44)</f>
        <v>0</v>
      </c>
      <c r="AF11" s="378"/>
      <c r="AG11" s="378"/>
      <c r="AH11" s="379"/>
      <c r="AI11" s="377">
        <f>SUM('09'!L40:'09'!L44)</f>
        <v>0</v>
      </c>
      <c r="AJ11" s="378"/>
      <c r="AK11" s="378"/>
      <c r="AL11" s="379"/>
      <c r="AM11" s="377">
        <f>SUM('10'!L40:'10'!L44)</f>
        <v>0.89</v>
      </c>
      <c r="AN11" s="378"/>
      <c r="AO11" s="378"/>
      <c r="AP11" s="379"/>
      <c r="AQ11" s="377">
        <f>SUM('11'!L40:'11'!L44)</f>
        <v>0</v>
      </c>
      <c r="AR11" s="378"/>
      <c r="AS11" s="378"/>
      <c r="AT11" s="379"/>
      <c r="AU11" s="377">
        <f>SUM('12'!L40:'12'!L44)</f>
        <v>0</v>
      </c>
      <c r="AV11" s="378"/>
      <c r="AW11" s="378"/>
      <c r="AX11" s="379"/>
      <c r="AZ11" s="210">
        <f t="shared" si="1"/>
        <v>408.22999999999996</v>
      </c>
      <c r="BA11" s="112">
        <f t="shared" ca="1" si="0"/>
        <v>40.822999999999993</v>
      </c>
      <c r="BB11" s="1"/>
      <c r="BC11" s="1"/>
    </row>
    <row r="12" spans="1:55" ht="15.75">
      <c r="A12" s="190" t="s">
        <v>23</v>
      </c>
      <c r="B12" s="194">
        <v>3325.31</v>
      </c>
      <c r="C12" s="377">
        <f>SUM('01'!L45:'01'!L49)</f>
        <v>137</v>
      </c>
      <c r="D12" s="378"/>
      <c r="E12" s="378"/>
      <c r="F12" s="379"/>
      <c r="G12" s="377">
        <f>SUM('02'!L45:'02'!L49)</f>
        <v>600.04</v>
      </c>
      <c r="H12" s="378"/>
      <c r="I12" s="378"/>
      <c r="J12" s="379"/>
      <c r="K12" s="377">
        <f>SUM('03'!L45:'03'!L49)</f>
        <v>380</v>
      </c>
      <c r="L12" s="378"/>
      <c r="M12" s="378"/>
      <c r="N12" s="379"/>
      <c r="O12" s="377">
        <f>SUM('04'!L45:'04'!L49)</f>
        <v>0</v>
      </c>
      <c r="P12" s="378"/>
      <c r="Q12" s="378"/>
      <c r="R12" s="379"/>
      <c r="S12" s="377">
        <f>SUM('05'!L45:'05'!L49)</f>
        <v>0</v>
      </c>
      <c r="T12" s="378"/>
      <c r="U12" s="378"/>
      <c r="V12" s="379"/>
      <c r="W12" s="393">
        <f>SUM('06'!L45:'06'!L49)</f>
        <v>242.41</v>
      </c>
      <c r="X12" s="394"/>
      <c r="Y12" s="394"/>
      <c r="Z12" s="395"/>
      <c r="AA12" s="393">
        <f>SUM('07'!L45:'07'!L49)</f>
        <v>0</v>
      </c>
      <c r="AB12" s="394"/>
      <c r="AC12" s="394"/>
      <c r="AD12" s="395"/>
      <c r="AE12" s="393">
        <f>SUM('08'!L45:'08'!L49)</f>
        <v>222.98</v>
      </c>
      <c r="AF12" s="394"/>
      <c r="AG12" s="394"/>
      <c r="AH12" s="395"/>
      <c r="AI12" s="393">
        <f>SUM('09'!L45:'09'!L49)</f>
        <v>200</v>
      </c>
      <c r="AJ12" s="394"/>
      <c r="AK12" s="394"/>
      <c r="AL12" s="395"/>
      <c r="AM12" s="393">
        <f>SUM('10'!L45:'10'!L49)</f>
        <v>0</v>
      </c>
      <c r="AN12" s="394"/>
      <c r="AO12" s="394"/>
      <c r="AP12" s="395"/>
      <c r="AQ12" s="393">
        <f>SUM('11'!L45:'11'!L49)</f>
        <v>0</v>
      </c>
      <c r="AR12" s="394"/>
      <c r="AS12" s="394"/>
      <c r="AT12" s="395"/>
      <c r="AU12" s="393">
        <f>SUM('12'!L45:'12'!L49)</f>
        <v>0</v>
      </c>
      <c r="AV12" s="394"/>
      <c r="AW12" s="394"/>
      <c r="AX12" s="395"/>
      <c r="AZ12" s="211">
        <f t="shared" si="1"/>
        <v>1782.43</v>
      </c>
      <c r="BA12" s="112">
        <f t="shared" ca="1" si="0"/>
        <v>178.24299999999999</v>
      </c>
      <c r="BB12" s="1"/>
      <c r="BC12" s="1"/>
    </row>
    <row r="13" spans="1:55" ht="15.75">
      <c r="A13" s="189" t="s">
        <v>215</v>
      </c>
      <c r="B13" s="195">
        <v>3443.8099999999995</v>
      </c>
      <c r="C13" s="377">
        <f>SUM('01'!L50:'01'!L54)</f>
        <v>95.8</v>
      </c>
      <c r="D13" s="378"/>
      <c r="E13" s="378"/>
      <c r="F13" s="379"/>
      <c r="G13" s="377">
        <f>SUM('02'!L50:'02'!L54)</f>
        <v>95.8</v>
      </c>
      <c r="H13" s="378"/>
      <c r="I13" s="378"/>
      <c r="J13" s="379"/>
      <c r="K13" s="377">
        <f>SUM('03'!L50:'03'!L54)</f>
        <v>4517.74</v>
      </c>
      <c r="L13" s="378"/>
      <c r="M13" s="378"/>
      <c r="N13" s="379"/>
      <c r="O13" s="377">
        <f>SUM('04'!L50:'04'!L54)</f>
        <v>95.8</v>
      </c>
      <c r="P13" s="378"/>
      <c r="Q13" s="378"/>
      <c r="R13" s="379"/>
      <c r="S13" s="377">
        <f>SUM('05'!L50:'05'!L54)</f>
        <v>95.8</v>
      </c>
      <c r="T13" s="378"/>
      <c r="U13" s="378"/>
      <c r="V13" s="379"/>
      <c r="W13" s="377">
        <f>SUM('06'!L50:'06'!L54)</f>
        <v>95.8</v>
      </c>
      <c r="X13" s="378"/>
      <c r="Y13" s="378"/>
      <c r="Z13" s="379"/>
      <c r="AA13" s="377">
        <f>SUM('07'!L50:'07'!L54)</f>
        <v>95.8</v>
      </c>
      <c r="AB13" s="378"/>
      <c r="AC13" s="378"/>
      <c r="AD13" s="379"/>
      <c r="AE13" s="377">
        <f>SUM('08'!L50:'08'!L54)</f>
        <v>117.03</v>
      </c>
      <c r="AF13" s="378"/>
      <c r="AG13" s="378"/>
      <c r="AH13" s="379"/>
      <c r="AI13" s="377">
        <f>SUM('09'!L50:'09'!L54)</f>
        <v>1072.33</v>
      </c>
      <c r="AJ13" s="378"/>
      <c r="AK13" s="378"/>
      <c r="AL13" s="379"/>
      <c r="AM13" s="377">
        <f>SUM('10'!L50:'10'!L54)</f>
        <v>95.8</v>
      </c>
      <c r="AN13" s="378"/>
      <c r="AO13" s="378"/>
      <c r="AP13" s="379"/>
      <c r="AQ13" s="377">
        <f>SUM('11'!L50:'11'!L54)</f>
        <v>0</v>
      </c>
      <c r="AR13" s="378"/>
      <c r="AS13" s="378"/>
      <c r="AT13" s="379"/>
      <c r="AU13" s="377">
        <f>SUM('12'!L50:'12'!L54)</f>
        <v>0</v>
      </c>
      <c r="AV13" s="378"/>
      <c r="AW13" s="378"/>
      <c r="AX13" s="379"/>
      <c r="AZ13" s="212">
        <f t="shared" si="1"/>
        <v>6377.7000000000007</v>
      </c>
      <c r="BA13" s="112">
        <f t="shared" ca="1" si="0"/>
        <v>637.7700000000001</v>
      </c>
      <c r="BB13" s="1"/>
      <c r="BC13" s="1"/>
    </row>
    <row r="14" spans="1:55" ht="15.75">
      <c r="A14" s="190" t="s">
        <v>216</v>
      </c>
      <c r="B14" s="194">
        <v>364.62</v>
      </c>
      <c r="C14" s="377">
        <f>SUM('01'!L55:'01'!L59)</f>
        <v>0</v>
      </c>
      <c r="D14" s="378"/>
      <c r="E14" s="378"/>
      <c r="F14" s="379"/>
      <c r="G14" s="377">
        <f>SUM('02'!L55:'02'!L59)</f>
        <v>0</v>
      </c>
      <c r="H14" s="378"/>
      <c r="I14" s="378"/>
      <c r="J14" s="379"/>
      <c r="K14" s="377">
        <f>SUM('03'!L55:'03'!L59)</f>
        <v>9.44</v>
      </c>
      <c r="L14" s="378"/>
      <c r="M14" s="378"/>
      <c r="N14" s="379"/>
      <c r="O14" s="377">
        <f>SUM('04'!L55:'04'!L59)</f>
        <v>37.980000000000004</v>
      </c>
      <c r="P14" s="378"/>
      <c r="Q14" s="378"/>
      <c r="R14" s="379"/>
      <c r="S14" s="377">
        <f>SUM('05'!L55:'05'!L59)</f>
        <v>17.350000000000001</v>
      </c>
      <c r="T14" s="378"/>
      <c r="U14" s="378"/>
      <c r="V14" s="379"/>
      <c r="W14" s="393">
        <f>SUM('06'!L55:'06'!L59)</f>
        <v>0</v>
      </c>
      <c r="X14" s="394"/>
      <c r="Y14" s="394"/>
      <c r="Z14" s="395"/>
      <c r="AA14" s="393">
        <f>SUM('07'!L55:'07'!L59)</f>
        <v>51.759999999999991</v>
      </c>
      <c r="AB14" s="394"/>
      <c r="AC14" s="394"/>
      <c r="AD14" s="395"/>
      <c r="AE14" s="393">
        <f>SUM('08'!L55:'08'!L59)</f>
        <v>27.42</v>
      </c>
      <c r="AF14" s="394"/>
      <c r="AG14" s="394"/>
      <c r="AH14" s="395"/>
      <c r="AI14" s="393">
        <f>SUM('09'!L55:'09'!L59)</f>
        <v>0</v>
      </c>
      <c r="AJ14" s="394"/>
      <c r="AK14" s="394"/>
      <c r="AL14" s="395"/>
      <c r="AM14" s="393">
        <f>SUM('10'!L55:'10'!L59)</f>
        <v>0</v>
      </c>
      <c r="AN14" s="394"/>
      <c r="AO14" s="394"/>
      <c r="AP14" s="395"/>
      <c r="AQ14" s="393">
        <f>SUM('11'!L55:'11'!L59)</f>
        <v>0</v>
      </c>
      <c r="AR14" s="394"/>
      <c r="AS14" s="394"/>
      <c r="AT14" s="395"/>
      <c r="AU14" s="393">
        <f>SUM('12'!L55:'12'!L59)</f>
        <v>0</v>
      </c>
      <c r="AV14" s="394"/>
      <c r="AW14" s="394"/>
      <c r="AX14" s="395"/>
      <c r="AZ14" s="211">
        <f t="shared" si="1"/>
        <v>143.94999999999999</v>
      </c>
      <c r="BA14" s="112">
        <f t="shared" ca="1" si="0"/>
        <v>14.395</v>
      </c>
      <c r="BB14" s="3"/>
      <c r="BC14" s="3"/>
    </row>
    <row r="15" spans="1:55" ht="15.75">
      <c r="A15" s="189" t="s">
        <v>217</v>
      </c>
      <c r="B15" s="193">
        <v>7756.04</v>
      </c>
      <c r="C15" s="377">
        <f>SUM('01'!L60:'01'!L64)</f>
        <v>0</v>
      </c>
      <c r="D15" s="378"/>
      <c r="E15" s="378"/>
      <c r="F15" s="379"/>
      <c r="G15" s="377">
        <f>SUM('02'!L60:'02'!L64)</f>
        <v>665.77</v>
      </c>
      <c r="H15" s="378"/>
      <c r="I15" s="378"/>
      <c r="J15" s="379"/>
      <c r="K15" s="377">
        <f>SUM('03'!L60:'03'!L64)</f>
        <v>682.39</v>
      </c>
      <c r="L15" s="378"/>
      <c r="M15" s="378"/>
      <c r="N15" s="379"/>
      <c r="O15" s="377">
        <f>SUM('04'!L60:'04'!L64)</f>
        <v>550</v>
      </c>
      <c r="P15" s="378"/>
      <c r="Q15" s="378"/>
      <c r="R15" s="379"/>
      <c r="S15" s="377">
        <f>SUM('05'!L60:'05'!L64)</f>
        <v>652.44000000000005</v>
      </c>
      <c r="T15" s="378"/>
      <c r="U15" s="378"/>
      <c r="V15" s="379"/>
      <c r="W15" s="377">
        <f>SUM('06'!L60:'06'!L64)</f>
        <v>511.74</v>
      </c>
      <c r="X15" s="378"/>
      <c r="Y15" s="378"/>
      <c r="Z15" s="379"/>
      <c r="AA15" s="377">
        <f>SUM('07'!L60:'07'!L64)</f>
        <v>649.1</v>
      </c>
      <c r="AB15" s="378"/>
      <c r="AC15" s="378"/>
      <c r="AD15" s="379"/>
      <c r="AE15" s="377">
        <f>SUM('08'!L60:'08'!L64)</f>
        <v>550</v>
      </c>
      <c r="AF15" s="378"/>
      <c r="AG15" s="378"/>
      <c r="AH15" s="379"/>
      <c r="AI15" s="377">
        <f>SUM('09'!L60:'09'!L64)</f>
        <v>676.35</v>
      </c>
      <c r="AJ15" s="378"/>
      <c r="AK15" s="378"/>
      <c r="AL15" s="379"/>
      <c r="AM15" s="377">
        <f>SUM('10'!L60:'10'!L64)</f>
        <v>550</v>
      </c>
      <c r="AN15" s="378"/>
      <c r="AO15" s="378"/>
      <c r="AP15" s="379"/>
      <c r="AQ15" s="377">
        <f>SUM('11'!L60:'11'!L64)</f>
        <v>0</v>
      </c>
      <c r="AR15" s="378"/>
      <c r="AS15" s="378"/>
      <c r="AT15" s="379"/>
      <c r="AU15" s="377">
        <f>SUM('12'!L60:'12'!L64)</f>
        <v>0</v>
      </c>
      <c r="AV15" s="378"/>
      <c r="AW15" s="378"/>
      <c r="AX15" s="379"/>
      <c r="AZ15" s="210">
        <f t="shared" si="1"/>
        <v>5487.7900000000009</v>
      </c>
      <c r="BA15" s="112">
        <f t="shared" ca="1" si="0"/>
        <v>548.77900000000011</v>
      </c>
      <c r="BB15" s="1"/>
      <c r="BC15" s="1"/>
    </row>
    <row r="16" spans="1:55" ht="16.5" thickBot="1">
      <c r="A16" s="191" t="s">
        <v>42</v>
      </c>
      <c r="B16" s="196">
        <v>2018.96</v>
      </c>
      <c r="C16" s="377">
        <f>SUM('01'!L65:'01'!L69)</f>
        <v>85</v>
      </c>
      <c r="D16" s="378"/>
      <c r="E16" s="378"/>
      <c r="F16" s="379"/>
      <c r="G16" s="377">
        <f>SUM('02'!L65:'02'!L69)</f>
        <v>0</v>
      </c>
      <c r="H16" s="378"/>
      <c r="I16" s="378"/>
      <c r="J16" s="379"/>
      <c r="K16" s="377">
        <f>SUM('03'!L65:'03'!L69)</f>
        <v>0</v>
      </c>
      <c r="L16" s="378"/>
      <c r="M16" s="378"/>
      <c r="N16" s="379"/>
      <c r="O16" s="377">
        <f>SUM('04'!L65:'04'!L69)</f>
        <v>0</v>
      </c>
      <c r="P16" s="378"/>
      <c r="Q16" s="378"/>
      <c r="R16" s="379"/>
      <c r="S16" s="377">
        <f>SUM('05'!L65:'05'!L69)</f>
        <v>0</v>
      </c>
      <c r="T16" s="378"/>
      <c r="U16" s="378"/>
      <c r="V16" s="379"/>
      <c r="W16" s="396">
        <f>SUM('06'!L65:'06'!L69)</f>
        <v>0</v>
      </c>
      <c r="X16" s="397"/>
      <c r="Y16" s="397"/>
      <c r="Z16" s="398"/>
      <c r="AA16" s="396">
        <f>SUM('07'!L65:'07'!L69)</f>
        <v>0</v>
      </c>
      <c r="AB16" s="397"/>
      <c r="AC16" s="397"/>
      <c r="AD16" s="398"/>
      <c r="AE16" s="396">
        <f>SUM('08'!L65:'08'!L69)</f>
        <v>0</v>
      </c>
      <c r="AF16" s="397"/>
      <c r="AG16" s="397"/>
      <c r="AH16" s="398"/>
      <c r="AI16" s="396">
        <f>SUM('09'!L65:'09'!L69)</f>
        <v>0</v>
      </c>
      <c r="AJ16" s="397"/>
      <c r="AK16" s="397"/>
      <c r="AL16" s="398"/>
      <c r="AM16" s="396">
        <f>SUM('10'!L65:'10'!L69)</f>
        <v>0</v>
      </c>
      <c r="AN16" s="397"/>
      <c r="AO16" s="397"/>
      <c r="AP16" s="398"/>
      <c r="AQ16" s="396">
        <f>SUM('11'!L65:'11'!L69)</f>
        <v>0</v>
      </c>
      <c r="AR16" s="397"/>
      <c r="AS16" s="397"/>
      <c r="AT16" s="398"/>
      <c r="AU16" s="396">
        <f>SUM('12'!L65:'12'!L69)</f>
        <v>0</v>
      </c>
      <c r="AV16" s="397"/>
      <c r="AW16" s="397"/>
      <c r="AX16" s="398"/>
      <c r="AZ16" s="213">
        <f t="shared" si="1"/>
        <v>85</v>
      </c>
      <c r="BA16" s="112">
        <f t="shared" ca="1" si="0"/>
        <v>8.5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3">
        <f>SUM(C8:C16)</f>
        <v>3691.57</v>
      </c>
      <c r="D17" s="374"/>
      <c r="E17" s="374"/>
      <c r="F17" s="375"/>
      <c r="G17" s="373">
        <f>SUM(G8:G16)</f>
        <v>4821.67</v>
      </c>
      <c r="H17" s="374"/>
      <c r="I17" s="374"/>
      <c r="J17" s="375"/>
      <c r="K17" s="373">
        <f>SUM(K8:K16)</f>
        <v>8724.6099999999988</v>
      </c>
      <c r="L17" s="374"/>
      <c r="M17" s="374"/>
      <c r="N17" s="375"/>
      <c r="O17" s="373">
        <f>SUM(O8:O16)</f>
        <v>4322.7000000000007</v>
      </c>
      <c r="P17" s="374"/>
      <c r="Q17" s="374"/>
      <c r="R17" s="375"/>
      <c r="S17" s="373">
        <f>SUM(S8:S16)</f>
        <v>5958.3200000000015</v>
      </c>
      <c r="T17" s="374"/>
      <c r="U17" s="374"/>
      <c r="V17" s="375"/>
      <c r="W17" s="373">
        <f>SUM(W8:W16)</f>
        <v>4093.3200000000006</v>
      </c>
      <c r="X17" s="374"/>
      <c r="Y17" s="374"/>
      <c r="Z17" s="375"/>
      <c r="AA17" s="373">
        <f>SUM(AA8:AA16)</f>
        <v>4638.26</v>
      </c>
      <c r="AB17" s="374"/>
      <c r="AC17" s="374"/>
      <c r="AD17" s="375"/>
      <c r="AE17" s="373">
        <f>SUM(AE8:AE16)</f>
        <v>3945.4900000000002</v>
      </c>
      <c r="AF17" s="374"/>
      <c r="AG17" s="374"/>
      <c r="AH17" s="375"/>
      <c r="AI17" s="373">
        <f>SUM(AI8:AI16)</f>
        <v>4981.9699999999993</v>
      </c>
      <c r="AJ17" s="374"/>
      <c r="AK17" s="374"/>
      <c r="AL17" s="375"/>
      <c r="AM17" s="373">
        <f>SUM(AM8:AM16)</f>
        <v>1051.55</v>
      </c>
      <c r="AN17" s="374"/>
      <c r="AO17" s="374"/>
      <c r="AP17" s="375"/>
      <c r="AQ17" s="373">
        <f>SUM(AQ8:AQ16)</f>
        <v>0</v>
      </c>
      <c r="AR17" s="374"/>
      <c r="AS17" s="374"/>
      <c r="AT17" s="375"/>
      <c r="AU17" s="373">
        <f>SUM(AU8:AU16)</f>
        <v>0</v>
      </c>
      <c r="AV17" s="374"/>
      <c r="AW17" s="374"/>
      <c r="AX17" s="375"/>
      <c r="AZ17" s="227">
        <f>SUM(AZ8:AZ16)</f>
        <v>46229.46</v>
      </c>
      <c r="BA17" s="112">
        <f ca="1">AZ17/BC$17</f>
        <v>4622.9459999999999</v>
      </c>
      <c r="BB17" s="1" t="s">
        <v>83</v>
      </c>
      <c r="BC17" s="1">
        <f ca="1">MONTH(TODAY())</f>
        <v>10</v>
      </c>
      <c r="BD17" s="39"/>
    </row>
    <row r="18" spans="1:62" ht="32.25" customHeight="1" thickTop="1" thickBot="1">
      <c r="A18" s="10"/>
      <c r="B18" s="10"/>
      <c r="C18" s="376"/>
      <c r="D18" s="376"/>
      <c r="E18" s="376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6"/>
      <c r="X18" s="376"/>
      <c r="Y18" s="376"/>
      <c r="Z18" s="376"/>
      <c r="AA18" s="376"/>
      <c r="AB18" s="376"/>
      <c r="AC18" s="376"/>
      <c r="AD18" s="376"/>
      <c r="AE18" s="376"/>
      <c r="AF18" s="376"/>
      <c r="AG18" s="376"/>
      <c r="AH18" s="376"/>
      <c r="AI18" s="376"/>
      <c r="AJ18" s="376"/>
      <c r="AK18" s="376"/>
      <c r="AL18" s="376"/>
      <c r="AM18" s="376"/>
      <c r="AN18" s="376"/>
      <c r="AO18" s="376"/>
      <c r="AP18" s="376"/>
      <c r="AQ18" s="376"/>
      <c r="AR18" s="376"/>
      <c r="AS18" s="376"/>
      <c r="AT18" s="376"/>
      <c r="AU18" s="376" t="s">
        <v>173</v>
      </c>
      <c r="AV18" s="376"/>
      <c r="AW18" s="376"/>
      <c r="AX18" s="376"/>
      <c r="AZ18" s="131">
        <f>(2500*13)+(600*12)+(550*12)+(95*12)</f>
        <v>47440</v>
      </c>
      <c r="BA18" s="131">
        <f ca="1">12*BA17</f>
        <v>55475.351999999999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42.239999999999995</v>
      </c>
      <c r="AP20" s="145">
        <f t="shared" ref="AP20:AP45" si="11">AL20+AN20-AO20</f>
        <v>1080.3599999999999</v>
      </c>
      <c r="AQ20" s="143" t="s">
        <v>80</v>
      </c>
      <c r="AR20" s="144">
        <f>'11'!B20</f>
        <v>505.18</v>
      </c>
      <c r="AS20" s="144">
        <f>SUM('11'!D20:F20)</f>
        <v>0</v>
      </c>
      <c r="AT20" s="145">
        <f t="shared" ref="AT20:AT45" si="12">AP20+AR20-AS20</f>
        <v>1585.54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2129.54</v>
      </c>
      <c r="AZ20" s="123">
        <f t="shared" ref="AZ20:AZ27" si="14">E20+I20+M20+Q20+U20+Y20+AC20+AG20+AK20+AO20+AS20+AW20</f>
        <v>5194.88</v>
      </c>
      <c r="BA20" s="21">
        <f t="shared" ref="BA20:BA45" si="15">AZ20/AZ$46</f>
        <v>0.12244266863773669</v>
      </c>
      <c r="BB20" s="22">
        <f>_xlfn.RANK.EQ(BA20,$BA$20:$BA$45,)</f>
        <v>2</v>
      </c>
      <c r="BC20" s="22">
        <f t="shared" ref="BC20:BC45" ca="1" si="16">AZ20/BC$17</f>
        <v>519.48800000000006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5826.4600000000009</v>
      </c>
      <c r="BF20" s="21">
        <f t="shared" ref="BF20:BF45" ca="1" si="18">BE20/BE$46</f>
        <v>0.1260334860065421</v>
      </c>
      <c r="BG20" s="22">
        <f ca="1">_xlfn.RANK.EQ(BF20,$BF$20:$BF$45,)</f>
        <v>2</v>
      </c>
      <c r="BH20" s="22">
        <f t="shared" ref="BH20:BH45" ca="1" si="19">BE20/BC$17</f>
        <v>582.64600000000007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631.58000000000027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0</v>
      </c>
      <c r="AP21" s="151">
        <f t="shared" si="11"/>
        <v>1512.0799999999992</v>
      </c>
      <c r="AQ21" s="148" t="s">
        <v>80</v>
      </c>
      <c r="AR21" s="149">
        <f>'11'!B40</f>
        <v>1148</v>
      </c>
      <c r="AS21" s="150">
        <f>SUM('11'!D40:F40)</f>
        <v>0</v>
      </c>
      <c r="AT21" s="151">
        <f t="shared" si="12"/>
        <v>2660.079999999999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3788.079999999999</v>
      </c>
      <c r="AZ21" s="152">
        <f t="shared" si="14"/>
        <v>10645.78</v>
      </c>
      <c r="BA21" s="21">
        <f t="shared" si="15"/>
        <v>0.25091969649544255</v>
      </c>
      <c r="BB21" s="22">
        <f t="shared" ref="BB21:BB45" si="20">_xlfn.RANK.EQ(BA21,$BA$20:$BA$45,)</f>
        <v>1</v>
      </c>
      <c r="BC21" s="22">
        <f t="shared" ca="1" si="16"/>
        <v>1064.578</v>
      </c>
      <c r="BE21" s="224">
        <f t="shared" ca="1" si="17"/>
        <v>11505</v>
      </c>
      <c r="BF21" s="21">
        <f t="shared" ca="1" si="18"/>
        <v>0.24886728073397341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859.21999999999957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131.1</v>
      </c>
      <c r="AP22" s="156">
        <f t="shared" si="11"/>
        <v>673.88</v>
      </c>
      <c r="AQ22" s="143" t="s">
        <v>80</v>
      </c>
      <c r="AR22" s="155">
        <f>'11'!B60</f>
        <v>300</v>
      </c>
      <c r="AS22" s="155">
        <f>SUM('11'!D60:F60)</f>
        <v>0</v>
      </c>
      <c r="AT22" s="156">
        <f t="shared" si="12"/>
        <v>973.88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1463.88</v>
      </c>
      <c r="AZ22" s="157">
        <f t="shared" si="14"/>
        <v>2758.4199999999996</v>
      </c>
      <c r="BA22" s="21">
        <f t="shared" si="15"/>
        <v>6.5015612684740667E-2</v>
      </c>
      <c r="BB22" s="22">
        <f t="shared" si="20"/>
        <v>6</v>
      </c>
      <c r="BC22" s="22">
        <f t="shared" ca="1" si="16"/>
        <v>275.84199999999998</v>
      </c>
      <c r="BE22" s="225">
        <f t="shared" ca="1" si="17"/>
        <v>3186.23</v>
      </c>
      <c r="BF22" s="21">
        <f t="shared" ca="1" si="18"/>
        <v>6.8922068308822956E-2</v>
      </c>
      <c r="BG22" s="22">
        <f t="shared" ca="1" si="21"/>
        <v>7</v>
      </c>
      <c r="BH22" s="22">
        <f t="shared" ca="1" si="19"/>
        <v>318.62299999999999</v>
      </c>
      <c r="BJ22" s="225">
        <f t="shared" ca="1" si="22"/>
        <v>427.80999999999983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55.5</v>
      </c>
      <c r="AP23" s="151">
        <f t="shared" si="11"/>
        <v>259.43000000000006</v>
      </c>
      <c r="AQ23" s="148" t="s">
        <v>80</v>
      </c>
      <c r="AR23" s="149">
        <f>'11'!B80</f>
        <v>185</v>
      </c>
      <c r="AS23" s="150">
        <f>SUM('11'!D80:F80)</f>
        <v>0</v>
      </c>
      <c r="AT23" s="151">
        <f t="shared" si="12"/>
        <v>444.43000000000006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594.43000000000006</v>
      </c>
      <c r="AZ23" s="152">
        <f t="shared" si="14"/>
        <v>1692.6999999999998</v>
      </c>
      <c r="BA23" s="21">
        <f t="shared" si="15"/>
        <v>3.9896726238738307E-2</v>
      </c>
      <c r="BB23" s="22">
        <f t="shared" si="20"/>
        <v>7</v>
      </c>
      <c r="BC23" s="22">
        <f t="shared" ca="1" si="16"/>
        <v>169.26999999999998</v>
      </c>
      <c r="BE23" s="224">
        <f t="shared" ca="1" si="17"/>
        <v>1910</v>
      </c>
      <c r="BF23" s="21">
        <f t="shared" ca="1" si="18"/>
        <v>4.1315645910637917E-2</v>
      </c>
      <c r="BG23" s="22">
        <f t="shared" ca="1" si="21"/>
        <v>9</v>
      </c>
      <c r="BH23" s="22">
        <f t="shared" ca="1" si="19"/>
        <v>191</v>
      </c>
      <c r="BJ23" s="224">
        <f t="shared" ca="1" si="22"/>
        <v>217.30000000000004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51.95</v>
      </c>
      <c r="AP24" s="156">
        <f t="shared" si="11"/>
        <v>304.47999999999996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454.47999999999996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614.48</v>
      </c>
      <c r="AZ24" s="157">
        <f t="shared" si="14"/>
        <v>1305.5200000000002</v>
      </c>
      <c r="BA24" s="21">
        <f t="shared" si="15"/>
        <v>3.0770942304718881E-2</v>
      </c>
      <c r="BB24" s="22">
        <f t="shared" si="20"/>
        <v>10</v>
      </c>
      <c r="BC24" s="22">
        <f t="shared" ca="1" si="16"/>
        <v>130.55200000000002</v>
      </c>
      <c r="BE24" s="225">
        <f t="shared" ca="1" si="17"/>
        <v>1610</v>
      </c>
      <c r="BF24" s="21">
        <f t="shared" ca="1" si="18"/>
        <v>3.4826277442998453E-2</v>
      </c>
      <c r="BG24" s="22">
        <f t="shared" ca="1" si="21"/>
        <v>11</v>
      </c>
      <c r="BH24" s="22">
        <f t="shared" ca="1" si="19"/>
        <v>161</v>
      </c>
      <c r="BJ24" s="225">
        <f t="shared" ca="1" si="22"/>
        <v>304.47999999999996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457.47</v>
      </c>
      <c r="AO25" s="150">
        <f>SUM('10'!D120:F120)</f>
        <v>327.38</v>
      </c>
      <c r="AP25" s="151">
        <f t="shared" si="11"/>
        <v>4205.5699999999979</v>
      </c>
      <c r="AQ25" s="148" t="s">
        <v>80</v>
      </c>
      <c r="AR25" s="149">
        <f>'11'!B120</f>
        <v>457.47</v>
      </c>
      <c r="AS25" s="150">
        <f>SUM('11'!D120:F120)</f>
        <v>0</v>
      </c>
      <c r="AT25" s="151">
        <f t="shared" si="12"/>
        <v>4663.0399999999981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5068.0399999999981</v>
      </c>
      <c r="AZ25" s="152">
        <f t="shared" si="14"/>
        <v>3337.8000000000006</v>
      </c>
      <c r="BA25" s="21">
        <f t="shared" si="15"/>
        <v>7.8671526460483698E-2</v>
      </c>
      <c r="BB25" s="22">
        <f t="shared" si="20"/>
        <v>5</v>
      </c>
      <c r="BC25" s="22">
        <f t="shared" ca="1" si="16"/>
        <v>333.78000000000009</v>
      </c>
      <c r="BE25" s="224">
        <f t="shared" ca="1" si="17"/>
        <v>4380.82</v>
      </c>
      <c r="BF25" s="21">
        <f t="shared" ca="1" si="18"/>
        <v>9.4762517234681043E-2</v>
      </c>
      <c r="BG25" s="22">
        <f t="shared" ca="1" si="21"/>
        <v>4</v>
      </c>
      <c r="BH25" s="22">
        <f t="shared" ca="1" si="19"/>
        <v>438.08199999999999</v>
      </c>
      <c r="BJ25" s="224">
        <f t="shared" ca="1" si="22"/>
        <v>1043.0199999999995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17.990000000000002</v>
      </c>
      <c r="AP26" s="156">
        <f t="shared" si="11"/>
        <v>67.569999999999965</v>
      </c>
      <c r="AQ26" s="143" t="s">
        <v>80</v>
      </c>
      <c r="AR26" s="155">
        <f>'11'!B140</f>
        <v>53</v>
      </c>
      <c r="AS26" s="155">
        <f>SUM('11'!D140:F140)</f>
        <v>0</v>
      </c>
      <c r="AT26" s="156">
        <f t="shared" si="12"/>
        <v>120.56999999999996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168.56999999999996</v>
      </c>
      <c r="AZ26" s="157">
        <f t="shared" si="14"/>
        <v>477.42000000000007</v>
      </c>
      <c r="BA26" s="21">
        <f t="shared" si="15"/>
        <v>1.1252729391444703E-2</v>
      </c>
      <c r="BB26" s="22">
        <f t="shared" si="20"/>
        <v>16</v>
      </c>
      <c r="BC26" s="22">
        <f t="shared" ca="1" si="16"/>
        <v>47.742000000000004</v>
      </c>
      <c r="BE26" s="225">
        <f t="shared" ca="1" si="17"/>
        <v>525.45000000000005</v>
      </c>
      <c r="BF26" s="21">
        <f t="shared" ca="1" si="18"/>
        <v>1.1366128871070521E-2</v>
      </c>
      <c r="BG26" s="22">
        <f t="shared" ca="1" si="21"/>
        <v>16</v>
      </c>
      <c r="BH26" s="22">
        <f t="shared" ca="1" si="19"/>
        <v>52.545000000000002</v>
      </c>
      <c r="BJ26" s="225">
        <f t="shared" ca="1" si="22"/>
        <v>48.030000000000015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395.49000000000007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445.49000000000007</v>
      </c>
      <c r="AZ27" s="188">
        <f t="shared" si="14"/>
        <v>398.46</v>
      </c>
      <c r="BA27" s="21">
        <f t="shared" si="15"/>
        <v>9.3916521161975935E-3</v>
      </c>
      <c r="BB27" s="22">
        <f t="shared" si="20"/>
        <v>18</v>
      </c>
      <c r="BC27" s="22">
        <f t="shared" ca="1" si="16"/>
        <v>39.845999999999997</v>
      </c>
      <c r="BE27" s="224">
        <f t="shared" ca="1" si="17"/>
        <v>440</v>
      </c>
      <c r="BF27" s="21">
        <f t="shared" ca="1" si="18"/>
        <v>9.5177404192045463E-3</v>
      </c>
      <c r="BG27" s="22">
        <f t="shared" ca="1" si="21"/>
        <v>18</v>
      </c>
      <c r="BH27" s="22">
        <f t="shared" ca="1" si="19"/>
        <v>44</v>
      </c>
      <c r="BJ27" s="224">
        <f t="shared" ca="1" si="22"/>
        <v>41.54000000000002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8.0139693931040201E-2</v>
      </c>
      <c r="BB28" s="22">
        <f t="shared" si="20"/>
        <v>4</v>
      </c>
      <c r="BC28" s="22">
        <f t="shared" ca="1" si="16"/>
        <v>340.00900000000001</v>
      </c>
      <c r="BE28" s="223">
        <f t="shared" ca="1" si="17"/>
        <v>3680.04</v>
      </c>
      <c r="BF28" s="21">
        <f t="shared" ca="1" si="18"/>
        <v>7.9603785118839768E-2</v>
      </c>
      <c r="BG28" s="22">
        <f t="shared" ca="1" si="21"/>
        <v>6</v>
      </c>
      <c r="BH28" s="22">
        <f t="shared" ca="1" si="19"/>
        <v>368.00400000000002</v>
      </c>
      <c r="BJ28" s="223">
        <f t="shared" ca="1" si="22"/>
        <v>279.95000000000016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75.460000000000008</v>
      </c>
      <c r="AP29" s="160">
        <f t="shared" si="11"/>
        <v>-5.460000000000008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64.539999999999992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134.54</v>
      </c>
      <c r="AZ29" s="152">
        <f t="shared" si="23"/>
        <v>899.45</v>
      </c>
      <c r="BA29" s="21">
        <f t="shared" si="15"/>
        <v>2.1199923445048254E-2</v>
      </c>
      <c r="BB29" s="22">
        <f t="shared" si="20"/>
        <v>13</v>
      </c>
      <c r="BC29" s="22">
        <f t="shared" ca="1" si="16"/>
        <v>89.945000000000007</v>
      </c>
      <c r="BE29" s="224">
        <f t="shared" ca="1" si="17"/>
        <v>940.66000000000008</v>
      </c>
      <c r="BF29" s="21">
        <f t="shared" ca="1" si="18"/>
        <v>2.0347631142565794E-2</v>
      </c>
      <c r="BG29" s="22">
        <f t="shared" ca="1" si="21"/>
        <v>14</v>
      </c>
      <c r="BH29" s="22">
        <f t="shared" ca="1" si="19"/>
        <v>94.066000000000003</v>
      </c>
      <c r="BJ29" s="224">
        <f t="shared" ca="1" si="22"/>
        <v>41.209999999999923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5.7215869879209107E-3</v>
      </c>
      <c r="BB30" s="22">
        <f t="shared" si="20"/>
        <v>19</v>
      </c>
      <c r="BC30" s="22">
        <f t="shared" ca="1" si="16"/>
        <v>24.274999999999999</v>
      </c>
      <c r="BE30" s="225">
        <f t="shared" ca="1" si="17"/>
        <v>390</v>
      </c>
      <c r="BF30" s="21">
        <f t="shared" ca="1" si="18"/>
        <v>8.4361790079313017E-3</v>
      </c>
      <c r="BG30" s="22">
        <f t="shared" ca="1" si="21"/>
        <v>19</v>
      </c>
      <c r="BH30" s="22">
        <f t="shared" ca="1" si="19"/>
        <v>39</v>
      </c>
      <c r="BJ30" s="225">
        <f t="shared" ca="1" si="22"/>
        <v>147.25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76.71999999999997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96.71999999999997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116.71999999999997</v>
      </c>
      <c r="AZ31" s="152">
        <f t="shared" si="23"/>
        <v>199.31999999999996</v>
      </c>
      <c r="BA31" s="21">
        <f t="shared" si="15"/>
        <v>4.6979473467863879E-3</v>
      </c>
      <c r="BB31" s="22">
        <f t="shared" si="20"/>
        <v>20</v>
      </c>
      <c r="BC31" s="22">
        <f t="shared" ca="1" si="16"/>
        <v>19.931999999999995</v>
      </c>
      <c r="BE31" s="224">
        <f t="shared" ca="1" si="17"/>
        <v>200</v>
      </c>
      <c r="BF31" s="21">
        <f t="shared" ca="1" si="18"/>
        <v>4.3262456450929758E-3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0.67999999999996419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16.580000000000002</v>
      </c>
      <c r="AP32" s="161">
        <f t="shared" si="11"/>
        <v>553.1999999999997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648.1999999999997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698.1999999999997</v>
      </c>
      <c r="AZ32" s="157">
        <f t="shared" si="23"/>
        <v>1669.88</v>
      </c>
      <c r="BA32" s="21">
        <f t="shared" si="15"/>
        <v>3.9358861707062293E-2</v>
      </c>
      <c r="BB32" s="22">
        <f t="shared" si="20"/>
        <v>8</v>
      </c>
      <c r="BC32" s="22">
        <f t="shared" ca="1" si="16"/>
        <v>166.988</v>
      </c>
      <c r="BE32" s="225">
        <f t="shared" ca="1" si="17"/>
        <v>2237.33</v>
      </c>
      <c r="BF32" s="21">
        <f t="shared" ca="1" si="18"/>
        <v>4.8396195845679335E-2</v>
      </c>
      <c r="BG32" s="22">
        <f t="shared" ca="1" si="21"/>
        <v>8</v>
      </c>
      <c r="BH32" s="22">
        <f t="shared" ca="1" si="19"/>
        <v>223.733</v>
      </c>
      <c r="BJ32" s="225">
        <f t="shared" ca="1" si="22"/>
        <v>567.4499999999997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618.09000000000026</v>
      </c>
      <c r="AZ33" s="152">
        <f t="shared" si="23"/>
        <v>4483.8500000000004</v>
      </c>
      <c r="BA33" s="21">
        <f t="shared" si="15"/>
        <v>0.10568378090953318</v>
      </c>
      <c r="BB33" s="22">
        <f t="shared" si="20"/>
        <v>3</v>
      </c>
      <c r="BC33" s="22">
        <f t="shared" ca="1" si="16"/>
        <v>448.38500000000005</v>
      </c>
      <c r="BE33" s="224">
        <f t="shared" ca="1" si="17"/>
        <v>4571.9400000000005</v>
      </c>
      <c r="BF33" s="21">
        <f t="shared" ca="1" si="18"/>
        <v>9.8896677573131905E-2</v>
      </c>
      <c r="BG33" s="22">
        <f t="shared" ca="1" si="21"/>
        <v>3</v>
      </c>
      <c r="BH33" s="22">
        <f t="shared" ca="1" si="19"/>
        <v>457.19400000000007</v>
      </c>
      <c r="BJ33" s="224">
        <f t="shared" ca="1" si="22"/>
        <v>88.090000000000259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26.45</v>
      </c>
      <c r="AP34" s="161">
        <f t="shared" si="11"/>
        <v>147.90999999999983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237.90999999999983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327.90999999999985</v>
      </c>
      <c r="AZ34" s="152">
        <f t="shared" si="23"/>
        <v>1278.1000000000001</v>
      </c>
      <c r="BA34" s="21">
        <f t="shared" si="15"/>
        <v>3.0124656351232612E-2</v>
      </c>
      <c r="BB34" s="22">
        <f t="shared" si="20"/>
        <v>11</v>
      </c>
      <c r="BC34" s="22">
        <f t="shared" ca="1" si="16"/>
        <v>127.81000000000002</v>
      </c>
      <c r="BE34" s="225">
        <f t="shared" ca="1" si="17"/>
        <v>1324.4099999999999</v>
      </c>
      <c r="BF34" s="21">
        <f t="shared" ca="1" si="18"/>
        <v>2.8648614974087935E-2</v>
      </c>
      <c r="BG34" s="22">
        <f t="shared" ca="1" si="21"/>
        <v>13</v>
      </c>
      <c r="BH34" s="22">
        <f t="shared" ca="1" si="19"/>
        <v>132.44099999999997</v>
      </c>
      <c r="BJ34" s="225">
        <f t="shared" ca="1" si="22"/>
        <v>46.309999999999917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130</v>
      </c>
      <c r="AO35" s="186">
        <f>SUM('10'!D320:F320)</f>
        <v>125</v>
      </c>
      <c r="AP35" s="187">
        <f t="shared" si="11"/>
        <v>1755.2800000000004</v>
      </c>
      <c r="AQ35" s="185" t="s">
        <v>80</v>
      </c>
      <c r="AR35" s="186">
        <f>'11'!B320</f>
        <v>130</v>
      </c>
      <c r="AS35" s="186">
        <f>SUM('11'!D320:F320)</f>
        <v>0</v>
      </c>
      <c r="AT35" s="187">
        <f t="shared" si="12"/>
        <v>1885.2800000000004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2000.2800000000004</v>
      </c>
      <c r="AZ35" s="188">
        <f t="shared" si="23"/>
        <v>1403.75</v>
      </c>
      <c r="BA35" s="21">
        <f t="shared" si="15"/>
        <v>3.3086211057853671E-2</v>
      </c>
      <c r="BB35" s="22">
        <f t="shared" si="20"/>
        <v>9</v>
      </c>
      <c r="BC35" s="22">
        <f t="shared" ca="1" si="16"/>
        <v>140.375</v>
      </c>
      <c r="BE35" s="224">
        <f t="shared" ca="1" si="17"/>
        <v>1669.43</v>
      </c>
      <c r="BF35" s="21">
        <f t="shared" ca="1" si="18"/>
        <v>3.6111821336437831E-2</v>
      </c>
      <c r="BG35" s="22">
        <f t="shared" ca="1" si="21"/>
        <v>10</v>
      </c>
      <c r="BH35" s="22">
        <f t="shared" ca="1" si="19"/>
        <v>166.94300000000001</v>
      </c>
      <c r="BJ35" s="224">
        <f t="shared" ca="1" si="22"/>
        <v>265.68000000000006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490.49000000000012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580.49000000000012</v>
      </c>
      <c r="AZ36" s="182">
        <f t="shared" si="23"/>
        <v>1259.4699999999998</v>
      </c>
      <c r="BA36" s="21">
        <f t="shared" si="15"/>
        <v>2.9685549592901126E-2</v>
      </c>
      <c r="BB36" s="22">
        <f t="shared" si="20"/>
        <v>12</v>
      </c>
      <c r="BC36" s="22">
        <f t="shared" ca="1" si="16"/>
        <v>125.94699999999997</v>
      </c>
      <c r="BE36" s="223">
        <f t="shared" ca="1" si="17"/>
        <v>1558.97</v>
      </c>
      <c r="BF36" s="21">
        <f t="shared" ca="1" si="18"/>
        <v>3.3722435866652981E-2</v>
      </c>
      <c r="BG36" s="22">
        <f t="shared" ca="1" si="21"/>
        <v>12</v>
      </c>
      <c r="BH36" s="22">
        <f t="shared" ca="1" si="19"/>
        <v>155.89699999999999</v>
      </c>
      <c r="BJ36" s="223">
        <f t="shared" ca="1" si="22"/>
        <v>299.50000000000006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1.0181007206724768E-2</v>
      </c>
      <c r="BB37" s="22">
        <f t="shared" si="20"/>
        <v>17</v>
      </c>
      <c r="BC37" s="22">
        <f t="shared" ca="1" si="16"/>
        <v>43.195</v>
      </c>
      <c r="BE37" s="224">
        <f t="shared" ca="1" si="17"/>
        <v>524.29999999999995</v>
      </c>
      <c r="BF37" s="21">
        <f t="shared" ca="1" si="18"/>
        <v>1.1341252958611235E-2</v>
      </c>
      <c r="BG37" s="22">
        <f t="shared" ca="1" si="21"/>
        <v>17</v>
      </c>
      <c r="BH37" s="22">
        <f t="shared" ca="1" si="19"/>
        <v>52.429999999999993</v>
      </c>
      <c r="BJ37" s="224">
        <f t="shared" ca="1" si="22"/>
        <v>92.350000000000023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8.5</v>
      </c>
      <c r="AP38" s="156">
        <f t="shared" si="11"/>
        <v>175.23000000000008</v>
      </c>
      <c r="AQ38" s="143" t="s">
        <v>80</v>
      </c>
      <c r="AR38" s="166">
        <f>'11'!B380</f>
        <v>65</v>
      </c>
      <c r="AS38" s="166">
        <f>SUM('11'!D380:F380)</f>
        <v>0</v>
      </c>
      <c r="AT38" s="156">
        <f t="shared" si="12"/>
        <v>240.23000000000008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310.23000000000008</v>
      </c>
      <c r="AZ38" s="157">
        <f t="shared" si="23"/>
        <v>583.97</v>
      </c>
      <c r="BA38" s="21">
        <f t="shared" si="15"/>
        <v>1.3764099498810193E-2</v>
      </c>
      <c r="BB38" s="22">
        <f t="shared" si="20"/>
        <v>14</v>
      </c>
      <c r="BC38" s="22">
        <f t="shared" ca="1" si="16"/>
        <v>58.397000000000006</v>
      </c>
      <c r="BE38" s="225">
        <f t="shared" ca="1" si="17"/>
        <v>720</v>
      </c>
      <c r="BF38" s="21">
        <f t="shared" ca="1" si="18"/>
        <v>1.5574484322334712E-2</v>
      </c>
      <c r="BG38" s="22">
        <f t="shared" ca="1" si="21"/>
        <v>15</v>
      </c>
      <c r="BH38" s="22">
        <f t="shared" ca="1" si="19"/>
        <v>72</v>
      </c>
      <c r="BJ38" s="225">
        <f t="shared" ca="1" si="22"/>
        <v>136.03000000000003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15</v>
      </c>
      <c r="AO39" s="165">
        <f>SUM('10'!D400:F400)</f>
        <v>0</v>
      </c>
      <c r="AP39" s="151">
        <f t="shared" si="11"/>
        <v>41.259999999999991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56.259999999999991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76.259999999999991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-1138.74</v>
      </c>
      <c r="BF39" s="21">
        <f t="shared" ca="1" si="18"/>
        <v>-2.4632344829465875E-2</v>
      </c>
      <c r="BG39" s="22">
        <f t="shared" ca="1" si="21"/>
        <v>25</v>
      </c>
      <c r="BH39" s="22">
        <f t="shared" ca="1" si="19"/>
        <v>-113.874</v>
      </c>
      <c r="BJ39" s="224">
        <f t="shared" ca="1" si="22"/>
        <v>-1138.74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50.89</v>
      </c>
      <c r="AO40" s="166">
        <f>SUM('10'!D420:F420)</f>
        <v>3.15</v>
      </c>
      <c r="AP40" s="156">
        <f t="shared" si="11"/>
        <v>122.4800000000006</v>
      </c>
      <c r="AQ40" s="143" t="s">
        <v>80</v>
      </c>
      <c r="AR40" s="166">
        <f>'11'!B420</f>
        <v>50</v>
      </c>
      <c r="AS40" s="166">
        <f>SUM('11'!D420:F420)</f>
        <v>0</v>
      </c>
      <c r="AT40" s="156">
        <f t="shared" si="12"/>
        <v>172.48000000000059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192.48000000000059</v>
      </c>
      <c r="AZ40" s="157">
        <f t="shared" si="23"/>
        <v>170.47000000000003</v>
      </c>
      <c r="BA40" s="21">
        <f t="shared" si="15"/>
        <v>4.0179564730417209E-3</v>
      </c>
      <c r="BB40" s="22">
        <f t="shared" si="20"/>
        <v>21</v>
      </c>
      <c r="BC40" s="22">
        <f t="shared" ca="1" si="16"/>
        <v>17.047000000000004</v>
      </c>
      <c r="BE40" s="225">
        <f t="shared" ca="1" si="17"/>
        <v>-511.56000000000006</v>
      </c>
      <c r="BF40" s="21">
        <f t="shared" ca="1" si="18"/>
        <v>-1.1065671111018815E-2</v>
      </c>
      <c r="BG40" s="22">
        <f t="shared" ca="1" si="21"/>
        <v>24</v>
      </c>
      <c r="BH40" s="22">
        <f t="shared" ca="1" si="19"/>
        <v>-51.156000000000006</v>
      </c>
      <c r="BJ40" s="225">
        <f t="shared" ca="1" si="22"/>
        <v>-682.02999999999986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-2849.34</v>
      </c>
      <c r="AO41" s="165">
        <f>SUM('10'!D440:F440)</f>
        <v>0</v>
      </c>
      <c r="AP41" s="151">
        <f t="shared" si="11"/>
        <v>5315.5000000000018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1415.5000000000018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-2484.4999999999982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-3234.4999999999968</v>
      </c>
      <c r="BF41" s="21">
        <f t="shared" ca="1" si="18"/>
        <v>-6.9966207695266083E-2</v>
      </c>
      <c r="BG41" s="22">
        <f t="shared" ca="1" si="21"/>
        <v>26</v>
      </c>
      <c r="BH41" s="22">
        <f t="shared" ca="1" si="19"/>
        <v>-323.4499999999997</v>
      </c>
      <c r="BJ41" s="224">
        <f t="shared" ca="1" si="22"/>
        <v>-3234.4999999999964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8.7525140895005016E-2</v>
      </c>
      <c r="BG42" s="22">
        <f t="shared" ca="1" si="21"/>
        <v>5</v>
      </c>
      <c r="BH42" s="22">
        <f t="shared" ca="1" si="19"/>
        <v>404.62400000000002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86.35</v>
      </c>
      <c r="AO43" s="149">
        <f>SUM('10'!D480:F480)</f>
        <v>0</v>
      </c>
      <c r="AP43" s="151">
        <f t="shared" si="11"/>
        <v>309.98000000000013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396.33000000000015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446.33000000000015</v>
      </c>
      <c r="AZ43" s="152">
        <f t="shared" si="23"/>
        <v>500</v>
      </c>
      <c r="BA43" s="21">
        <f t="shared" si="15"/>
        <v>1.1784937153287149E-2</v>
      </c>
      <c r="BB43" s="22">
        <f t="shared" si="20"/>
        <v>15</v>
      </c>
      <c r="BC43" s="22">
        <f t="shared" ca="1" si="16"/>
        <v>50</v>
      </c>
      <c r="BE43" s="224">
        <f t="shared" ca="1" si="17"/>
        <v>-153.01999999999995</v>
      </c>
      <c r="BF43" s="21">
        <f t="shared" ca="1" si="18"/>
        <v>-3.3100105430606346E-3</v>
      </c>
      <c r="BG43" s="22">
        <f t="shared" ca="1" si="21"/>
        <v>23</v>
      </c>
      <c r="BH43" s="22">
        <f t="shared" ca="1" si="19"/>
        <v>-15.301999999999996</v>
      </c>
      <c r="BJ43" s="224">
        <f t="shared" ca="1" si="22"/>
        <v>-653.01999999999987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22.910000000000032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22.910000000000032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22.910000000000032</v>
      </c>
      <c r="AZ45" s="177">
        <f t="shared" si="23"/>
        <v>93.009999999999991</v>
      </c>
      <c r="BA45" s="21">
        <f t="shared" si="15"/>
        <v>2.1922340092544752E-3</v>
      </c>
      <c r="BB45" s="22">
        <f t="shared" si="20"/>
        <v>22</v>
      </c>
      <c r="BC45" s="22">
        <f t="shared" ca="1" si="16"/>
        <v>9.3009999999999984</v>
      </c>
      <c r="BE45" s="226">
        <f t="shared" ca="1" si="17"/>
        <v>20</v>
      </c>
      <c r="BF45" s="21">
        <f t="shared" ca="1" si="18"/>
        <v>4.3262456450929754E-4</v>
      </c>
      <c r="BG45" s="22">
        <f t="shared" ca="1" si="21"/>
        <v>21</v>
      </c>
      <c r="BH45" s="22">
        <f t="shared" ca="1" si="19"/>
        <v>2</v>
      </c>
      <c r="BJ45" s="226">
        <f t="shared" ca="1" si="22"/>
        <v>-73.009999999999991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1051.5500000000002</v>
      </c>
      <c r="AO46" s="219">
        <f>SUM(AO20:AO45)</f>
        <v>955.06000000000006</v>
      </c>
      <c r="AP46" s="220">
        <f>SUM(AP20:AP45)</f>
        <v>30185.96</v>
      </c>
      <c r="AQ46" s="218"/>
      <c r="AR46" s="219">
        <f>SUM(AR20:AR45)</f>
        <v>5.4001247917767614E-13</v>
      </c>
      <c r="AS46" s="219">
        <f>SUM(AS20:AS45)</f>
        <v>0</v>
      </c>
      <c r="AT46" s="220">
        <f>SUM(AT20:AT45)</f>
        <v>30185.959999999995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30185.959999999995</v>
      </c>
      <c r="AZ46" s="227">
        <f>SUM(AZ20:AZ45)</f>
        <v>42427.040000000001</v>
      </c>
      <c r="BA46" s="1"/>
      <c r="BB46" s="1"/>
      <c r="BC46" s="124">
        <f ca="1">SUM(BC20:BC45)</f>
        <v>4242.7040000000006</v>
      </c>
      <c r="BE46" s="227">
        <f ca="1">SUM(BE20:BE45)</f>
        <v>46229.460000000021</v>
      </c>
      <c r="BF46" s="1"/>
      <c r="BG46" s="1"/>
      <c r="BH46" s="124">
        <f ca="1">SUM(BH20:BH45)</f>
        <v>4622.9460000000008</v>
      </c>
      <c r="BJ46" s="227">
        <f ca="1">SUM(BJ20:BJ45)</f>
        <v>3802.4200000000046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0</v>
      </c>
      <c r="AO47" s="125">
        <f>AM17-AO46</f>
        <v>96.489999999999895</v>
      </c>
      <c r="AP47" s="125"/>
      <c r="AQ47" s="125">
        <f>AQ5-AP46</f>
        <v>-12321.86</v>
      </c>
      <c r="AR47" s="125">
        <f>AQ17-AR46</f>
        <v>-5.4001247917767614E-13</v>
      </c>
      <c r="AS47" s="125">
        <f>AQ17-AS46</f>
        <v>0</v>
      </c>
      <c r="AT47" s="140"/>
      <c r="AU47" s="125">
        <f>AU5-AT46</f>
        <v>-15084.069999999994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50912.448000000004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284.70000000000005</v>
      </c>
      <c r="AL50" s="119" t="s">
        <v>610</v>
      </c>
      <c r="AM50" s="119"/>
      <c r="AN50" s="119"/>
      <c r="AO50" s="119">
        <f>AO22</f>
        <v>131.1</v>
      </c>
      <c r="AP50" s="119" t="s">
        <v>835</v>
      </c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.7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68" t="s">
        <v>257</v>
      </c>
      <c r="M54" s="369"/>
      <c r="N54" s="100">
        <v>70</v>
      </c>
      <c r="O54" s="95"/>
      <c r="P54" s="358"/>
      <c r="Q54" s="359"/>
      <c r="R54" s="102"/>
      <c r="S54" s="95">
        <v>43594</v>
      </c>
      <c r="T54" s="368" t="s">
        <v>243</v>
      </c>
      <c r="U54" s="369"/>
      <c r="V54" s="103"/>
      <c r="W54" s="95">
        <v>43624</v>
      </c>
      <c r="X54" s="368" t="s">
        <v>153</v>
      </c>
      <c r="Y54" s="369"/>
      <c r="Z54" s="104">
        <v>10</v>
      </c>
      <c r="AA54" s="95"/>
      <c r="AB54" s="362" t="s">
        <v>476</v>
      </c>
      <c r="AC54" s="363"/>
      <c r="AD54" s="239">
        <v>15</v>
      </c>
      <c r="AE54" s="95"/>
      <c r="AF54" s="362" t="s">
        <v>476</v>
      </c>
      <c r="AG54" s="363"/>
      <c r="AH54" s="239">
        <v>14</v>
      </c>
      <c r="AI54" s="95"/>
      <c r="AJ54" s="362" t="s">
        <v>476</v>
      </c>
      <c r="AK54" s="363"/>
      <c r="AL54" s="239">
        <v>15</v>
      </c>
      <c r="AM54" s="95"/>
      <c r="AN54" s="362" t="s">
        <v>476</v>
      </c>
      <c r="AO54" s="363"/>
      <c r="AP54" s="239">
        <v>14</v>
      </c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>
        <v>43666</v>
      </c>
      <c r="AB55" s="343" t="s">
        <v>235</v>
      </c>
      <c r="AC55" s="344"/>
      <c r="AD55" s="100"/>
      <c r="AE55" s="96">
        <v>43682</v>
      </c>
      <c r="AF55" s="343" t="s">
        <v>323</v>
      </c>
      <c r="AG55" s="344"/>
      <c r="AH55" s="100">
        <v>10</v>
      </c>
      <c r="AI55" s="96">
        <v>43711</v>
      </c>
      <c r="AJ55" s="343" t="s">
        <v>323</v>
      </c>
      <c r="AK55" s="344"/>
      <c r="AL55" s="100" t="s">
        <v>780</v>
      </c>
      <c r="AM55" s="96">
        <v>43740</v>
      </c>
      <c r="AN55" s="364" t="s">
        <v>153</v>
      </c>
      <c r="AO55" s="365"/>
      <c r="AP55" s="100">
        <v>10</v>
      </c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62" t="s">
        <v>235</v>
      </c>
      <c r="Q56" s="363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>
        <v>43703</v>
      </c>
      <c r="AF56" s="343" t="s">
        <v>151</v>
      </c>
      <c r="AG56" s="344"/>
      <c r="AH56" s="100">
        <v>10</v>
      </c>
      <c r="AI56" s="96">
        <v>43498</v>
      </c>
      <c r="AJ56" s="364" t="s">
        <v>235</v>
      </c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0" t="s">
        <v>389</v>
      </c>
      <c r="Q57" s="371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>
        <v>43733</v>
      </c>
      <c r="AJ57" s="364" t="s">
        <v>151</v>
      </c>
      <c r="AK57" s="365"/>
      <c r="AL57" s="100">
        <v>10</v>
      </c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385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0" t="s">
        <v>389</v>
      </c>
      <c r="M60" s="371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2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565</v>
      </c>
      <c r="U70" s="344"/>
      <c r="V70" s="100">
        <v>3742.92</v>
      </c>
      <c r="W70" s="96"/>
      <c r="X70" s="343" t="s">
        <v>563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.7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6" t="s">
        <v>566</v>
      </c>
      <c r="U71" s="367"/>
      <c r="V71" s="101">
        <v>1872.17</v>
      </c>
      <c r="W71" s="97"/>
      <c r="X71" s="366" t="s">
        <v>564</v>
      </c>
      <c r="Y71" s="367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17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6</v>
      </c>
      <c r="D75">
        <f>C75*D74</f>
        <v>19.354838709677416</v>
      </c>
      <c r="Z75" s="111"/>
    </row>
    <row r="76" spans="1:50">
      <c r="D76">
        <f>D75-D73</f>
        <v>2.3548387096774164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3839.35</v>
      </c>
      <c r="L5" s="423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7236.18</v>
      </c>
      <c r="L7" s="425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v>163.63</v>
      </c>
      <c r="L9" s="425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105+50</f>
        <v>155</v>
      </c>
      <c r="L11" s="42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328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 t="s">
        <v>800</v>
      </c>
      <c r="K35" s="40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790</v>
      </c>
      <c r="K45" s="40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02"/>
      <c r="J46" s="406" t="s">
        <v>832</v>
      </c>
      <c r="K46" s="407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787</v>
      </c>
      <c r="D48" s="137">
        <v>67.47</v>
      </c>
      <c r="E48" s="138"/>
      <c r="F48" s="138"/>
      <c r="G48" s="16" t="s">
        <v>805</v>
      </c>
      <c r="H48" s="1">
        <f>21*8</f>
        <v>168</v>
      </c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806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807</v>
      </c>
      <c r="H50" s="1"/>
      <c r="I50" s="401" t="str">
        <f>AÑO!A13</f>
        <v>Gubernamental</v>
      </c>
      <c r="J50" s="404" t="s">
        <v>798</v>
      </c>
      <c r="K50" s="40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815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816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824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799</v>
      </c>
      <c r="K60" s="40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808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811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831</v>
      </c>
      <c r="D79" s="135">
        <v>122.95</v>
      </c>
      <c r="E79" s="139"/>
      <c r="F79" s="139"/>
      <c r="G79" s="17" t="s">
        <v>825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215</v>
      </c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813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822</v>
      </c>
      <c r="H189" s="89">
        <f>9.99+8.99+6.99+3.99+7.99</f>
        <v>37.950000000000003</v>
      </c>
      <c r="I189" s="1" t="s">
        <v>820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826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830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9" ht="15" customHeight="1" thickBot="1">
      <c r="B243" s="417"/>
      <c r="C243" s="418"/>
      <c r="D243" s="418"/>
      <c r="E243" s="418"/>
      <c r="F243" s="418"/>
      <c r="G243" s="419"/>
    </row>
    <row r="244" spans="1:9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9" ht="15" customHeight="1">
      <c r="A247" s="112"/>
      <c r="B247" s="134">
        <v>343.08</v>
      </c>
      <c r="C247" s="16" t="s">
        <v>215</v>
      </c>
      <c r="D247" s="137">
        <v>203.92</v>
      </c>
      <c r="E247" s="138"/>
      <c r="F247" s="138"/>
      <c r="G247" s="16" t="s">
        <v>812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828</v>
      </c>
      <c r="H248" s="89">
        <f>33.98+1.99</f>
        <v>35.97</v>
      </c>
      <c r="I248" s="89" t="s">
        <v>820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830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736</v>
      </c>
      <c r="D257" s="137"/>
      <c r="E257" s="138">
        <f>100.67+100.67</f>
        <v>201.34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810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829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>
        <v>60</v>
      </c>
      <c r="G306" s="16" t="s">
        <v>803</v>
      </c>
    </row>
    <row r="307" spans="2:7">
      <c r="B307" s="134"/>
      <c r="C307" s="27"/>
      <c r="D307" s="137">
        <v>35.96</v>
      </c>
      <c r="E307" s="138"/>
      <c r="F307" s="138"/>
      <c r="G307" s="16" t="s">
        <v>804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809</v>
      </c>
    </row>
    <row r="309" spans="2:7">
      <c r="B309" s="134"/>
      <c r="C309" s="16"/>
      <c r="D309" s="137"/>
      <c r="E309" s="138"/>
      <c r="F309" s="138">
        <v>60</v>
      </c>
      <c r="G309" s="16" t="s">
        <v>833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9" ht="15" customHeight="1" thickBot="1">
      <c r="B323" s="434"/>
      <c r="C323" s="435"/>
      <c r="D323" s="435"/>
      <c r="E323" s="435"/>
      <c r="F323" s="435"/>
      <c r="G323" s="436"/>
    </row>
    <row r="324" spans="2:9">
      <c r="B324" s="427" t="s">
        <v>8</v>
      </c>
      <c r="C324" s="428"/>
      <c r="D324" s="427" t="s">
        <v>9</v>
      </c>
      <c r="E324" s="429"/>
      <c r="F324" s="429"/>
      <c r="G324" s="428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9">
      <c r="B327" s="134">
        <v>100</v>
      </c>
      <c r="C327" s="16" t="s">
        <v>790</v>
      </c>
      <c r="D327" s="137">
        <v>15</v>
      </c>
      <c r="E327" s="138"/>
      <c r="F327" s="138"/>
      <c r="G327" s="16" t="s">
        <v>817</v>
      </c>
    </row>
    <row r="328" spans="2:9">
      <c r="B328" s="134">
        <v>155.97</v>
      </c>
      <c r="C328" s="16" t="s">
        <v>215</v>
      </c>
      <c r="D328" s="137"/>
      <c r="E328" s="138">
        <v>46.98</v>
      </c>
      <c r="F328" s="138"/>
      <c r="G328" s="16" t="s">
        <v>830</v>
      </c>
      <c r="H328" s="89">
        <f>9.99+34.99+2</f>
        <v>46.980000000000004</v>
      </c>
      <c r="I328" s="89" t="s">
        <v>820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abSelected="1" topLeftCell="A425" workbookViewId="0">
      <selection activeCell="B302" sqref="B302:G3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3984.38</v>
      </c>
      <c r="L5" s="425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8003.5599999999995</v>
      </c>
      <c r="L7" s="425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157.43</v>
      </c>
      <c r="L9" s="425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60+20</f>
        <v>80</v>
      </c>
      <c r="L11" s="425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1092.3599999999999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/>
      <c r="K25" s="405"/>
      <c r="L25" s="231"/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'09'!A27+(B27-SUM(D27:F27))</f>
        <v>232.05999999999995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430</v>
      </c>
      <c r="K30" s="405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626</v>
      </c>
      <c r="K31" s="407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1512.0800000000002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424</v>
      </c>
      <c r="K40" s="405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839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842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843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850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1" t="str">
        <f>AÑO!A13</f>
        <v>Gubernamental</v>
      </c>
      <c r="J50" s="404" t="s">
        <v>798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131.1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39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'09'!A66+(B66-SUM(D66:F78))+B67</f>
        <v>147.38000000000005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841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851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92.05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239.43000000000006</v>
      </c>
      <c r="B80" s="233">
        <f>SUM(B66:B79)</f>
        <v>185</v>
      </c>
      <c r="C80" s="17" t="s">
        <v>53</v>
      </c>
      <c r="D80" s="135">
        <f>SUM(D66:D79)</f>
        <v>55.5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1</v>
      </c>
      <c r="E86" s="138"/>
      <c r="F86" s="138"/>
      <c r="G86" s="16" t="s">
        <v>838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847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849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49.95</v>
      </c>
      <c r="E100" s="135">
        <f>SUM(E86:E99)</f>
        <v>2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3370.1800000000012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457.47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45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62.5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75.460000000000008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33.42</v>
      </c>
      <c r="B246" s="134">
        <v>50</v>
      </c>
      <c r="C246" s="27" t="s">
        <v>402</v>
      </c>
      <c r="D246" s="137">
        <f>2.99+15.99-2.4</f>
        <v>16.580000000000002</v>
      </c>
      <c r="E246" s="138"/>
      <c r="F246" s="138"/>
      <c r="G246" s="16" t="s">
        <v>839</v>
      </c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9" ht="15.75">
      <c r="A257" s="112">
        <f>'09'!A257+(B257-SUM(D257:F257))</f>
        <v>484.78000000000009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563.20000000000005</v>
      </c>
      <c r="B260" s="135">
        <f>SUM(B246:B259)</f>
        <v>95</v>
      </c>
      <c r="C260" s="17" t="s">
        <v>53</v>
      </c>
      <c r="D260" s="135">
        <f>SUM(D246:D259)</f>
        <v>16.580000000000002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9" ht="15" customHeight="1" thickBot="1">
      <c r="B263" s="417"/>
      <c r="C263" s="418"/>
      <c r="D263" s="418"/>
      <c r="E263" s="418"/>
      <c r="F263" s="418"/>
      <c r="G263" s="419"/>
    </row>
    <row r="264" spans="1:9">
      <c r="B264" s="427" t="s">
        <v>8</v>
      </c>
      <c r="C264" s="428"/>
      <c r="D264" s="427" t="s">
        <v>9</v>
      </c>
      <c r="E264" s="429"/>
      <c r="F264" s="429"/>
      <c r="G264" s="428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837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47.909999999999812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845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846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147.9099999999998</v>
      </c>
      <c r="B300" s="135">
        <f>SUM(B286:B299)</f>
        <v>90</v>
      </c>
      <c r="C300" s="17" t="s">
        <v>53</v>
      </c>
      <c r="D300" s="135">
        <f>SUM(D286:D299)</f>
        <v>26.45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f>37.5+37.5</f>
        <v>75</v>
      </c>
      <c r="E306" s="138"/>
      <c r="F306" s="138"/>
      <c r="G306" s="16" t="s">
        <v>848</v>
      </c>
    </row>
    <row r="307" spans="2:7">
      <c r="B307" s="134"/>
      <c r="C307" s="27"/>
      <c r="D307" s="137"/>
      <c r="E307" s="138"/>
      <c r="F307" s="138">
        <v>50</v>
      </c>
      <c r="G307" s="16" t="s">
        <v>853</v>
      </c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840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</f>
        <v>4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836</v>
      </c>
    </row>
    <row r="407" spans="2:7">
      <c r="B407" s="134">
        <v>0.89</v>
      </c>
      <c r="C407" s="16" t="s">
        <v>424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50.89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AÑO!AM17</f>
        <v>1051.55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-2849.34</v>
      </c>
      <c r="C426" s="19" t="s">
        <v>234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-2849.34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</f>
        <v>96.580000000000013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309.98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B82DF1F-E96A-4452-9E2C-CD7C4BA1429C}"/>
    <hyperlink ref="I2:L3" location="AÑO!AM4:AP5" display="SALDO REAL" xr:uid="{07C98433-F509-4514-978E-7232C4ED19FF}"/>
    <hyperlink ref="I22" location="Trimestre!C39:F40" display="TELÉFONO" xr:uid="{04F27F4E-DB77-453B-B700-4ACD2B893E94}"/>
    <hyperlink ref="I22:L23" location="AÑO!AM7:AP17" display="INGRESOS" xr:uid="{C98EE33F-2E01-4B3A-B0A0-6E2A846EDEC4}"/>
    <hyperlink ref="B2" location="Trimestre!C25:F26" display="HIPOTECA" xr:uid="{8DAD355D-9A36-4BAC-A0B6-84F23FA602D4}"/>
    <hyperlink ref="B2:G3" location="AÑO!AM20:AP20" display="AÑO!AM20:AP20" xr:uid="{8EDBA279-155A-47BE-9DCC-7498A6631C3C}"/>
    <hyperlink ref="B22" location="Trimestre!C25:F26" display="HIPOTECA" xr:uid="{91B0A05D-B833-4280-B21F-7F185BACECEF}"/>
    <hyperlink ref="B22:G23" location="AÑO!AM21:AP21" display="AÑO!AM21:AP21" xr:uid="{FBD6EEFD-A8CA-46BD-9B3A-009EDF6CCF71}"/>
    <hyperlink ref="B42" location="Trimestre!C25:F26" display="HIPOTECA" xr:uid="{D38DFAE1-0668-4D5F-8530-EFD5AC0273E1}"/>
    <hyperlink ref="B42:G43" location="AÑO!AM22:AP22" display="AÑO!AM22:AP22" xr:uid="{7B2F706E-913F-4FBE-A6E3-E9865A32EF4C}"/>
    <hyperlink ref="B62" location="Trimestre!C25:F26" display="HIPOTECA" xr:uid="{13750E3E-4977-41DD-9701-887BC948987C}"/>
    <hyperlink ref="B62:G63" location="AÑO!AM23:AP23" display="AÑO!AM23:AP23" xr:uid="{CB475850-CB8A-48BE-87C6-1CAE52599F55}"/>
    <hyperlink ref="B82" location="Trimestre!C25:F26" display="HIPOTECA" xr:uid="{4CC334BE-7C26-48F9-8F8F-4D5FA0E5D46D}"/>
    <hyperlink ref="B82:G83" location="AÑO!AM24:AP24" display="AÑO!AM24:AP24" xr:uid="{8BD21062-45FB-4B29-91BB-3E123D060CFF}"/>
    <hyperlink ref="B102" location="Trimestre!C25:F26" display="HIPOTECA" xr:uid="{38853D38-2AB5-4BA5-BF5B-F71C95824F7D}"/>
    <hyperlink ref="B102:G103" location="AÑO!AM25:AP25" display="AÑO!AM25:AP25" xr:uid="{0BF67B5C-574A-4785-89CD-F3061FAA9140}"/>
    <hyperlink ref="B122" location="Trimestre!C25:F26" display="HIPOTECA" xr:uid="{278662EB-1770-4703-9974-2746A6472775}"/>
    <hyperlink ref="B122:G123" location="AÑO!AM26:AP26" display="AÑO!AM26:AP26" xr:uid="{FB7D536D-186A-4771-8799-770620951559}"/>
    <hyperlink ref="B142" location="Trimestre!C25:F26" display="HIPOTECA" xr:uid="{F9F11EC4-9BAD-4C06-8000-2E324089BDD6}"/>
    <hyperlink ref="B142:G143" location="AÑO!AM27:AP27" display="AÑO!AM27:AP27" xr:uid="{A35AFAF7-8665-4479-AD07-4986BAEF561B}"/>
    <hyperlink ref="B162" location="Trimestre!C25:F26" display="HIPOTECA" xr:uid="{B99FA8C3-8CCE-4FB0-BD09-8E5322EB5E0A}"/>
    <hyperlink ref="B162:G163" location="AÑO!AM28:AP28" display="AÑO!AM28:AP28" xr:uid="{0F906586-6E3D-4E1E-A757-F585EC426660}"/>
    <hyperlink ref="B182" location="Trimestre!C25:F26" display="HIPOTECA" xr:uid="{0848DC06-1238-4D95-9FA2-520D5918F81B}"/>
    <hyperlink ref="B182:G183" location="AÑO!AM29:AP29" display="AÑO!AM29:AP29" xr:uid="{86F7B929-6CA2-44B2-BB2A-88B8BBA09FE6}"/>
    <hyperlink ref="B202" location="Trimestre!C25:F26" display="HIPOTECA" xr:uid="{CF051C7E-1418-4923-8A50-9437192538EA}"/>
    <hyperlink ref="B202:G203" location="AÑO!AM30:AP30" display="AÑO!AM30:AP30" xr:uid="{89E77391-5B43-4A62-9A90-5D1EA1F04B5A}"/>
    <hyperlink ref="B222" location="Trimestre!C25:F26" display="HIPOTECA" xr:uid="{A29263BE-5C59-4495-8607-0E1619BAA053}"/>
    <hyperlink ref="B222:G223" location="AÑO!AM31:AP31" display="AÑO!AM31:AP31" xr:uid="{E8A1D209-E2BF-4D8B-A24F-8B41EFD27A47}"/>
    <hyperlink ref="B242" location="Trimestre!C25:F26" display="HIPOTECA" xr:uid="{FC252FB4-1FED-450A-ABC9-2D7FD5BE209E}"/>
    <hyperlink ref="B242:G243" location="AÑO!AM32:AP32" display="AÑO!AM32:AP32" xr:uid="{6EC24824-DB34-42F6-93C4-53C2A096B36F}"/>
    <hyperlink ref="B262" location="Trimestre!C25:F26" display="HIPOTECA" xr:uid="{60D4D80E-05E4-4B95-9954-0682801D070E}"/>
    <hyperlink ref="B262:G263" location="AÑO!AM33:AP33" display="AÑO!AM33:AP33" xr:uid="{01435681-20A9-460F-8AB0-BCBA528A805A}"/>
    <hyperlink ref="B282" location="Trimestre!C25:F26" display="HIPOTECA" xr:uid="{304BAA6E-C5F7-4952-BE36-967A31A23076}"/>
    <hyperlink ref="B282:G283" location="AÑO!AM34:AP34" display="AÑO!AM34:AP34" xr:uid="{95D3ECAA-0F32-4F1D-BC49-1DC14DEFCD9A}"/>
    <hyperlink ref="B302" location="Trimestre!C25:F26" display="HIPOTECA" xr:uid="{2A9018F2-1B0B-4EB4-8A1C-171B96116931}"/>
    <hyperlink ref="B302:G303" location="AÑO!AM35:AP35" display="AÑO!AM35:AP35" xr:uid="{F776509A-606B-4D04-AE57-3FBA37DA929F}"/>
    <hyperlink ref="B322" location="Trimestre!C25:F26" display="HIPOTECA" xr:uid="{D0632158-B6E0-4604-9002-6AC4102DA746}"/>
    <hyperlink ref="B322:G323" location="AÑO!AM36:AP36" display="AÑO!AM36:AP36" xr:uid="{BE824F08-671D-4082-8635-19FBAD9F5B92}"/>
    <hyperlink ref="B342" location="Trimestre!C25:F26" display="HIPOTECA" xr:uid="{F2441972-823B-4AD0-852A-7DC607E84603}"/>
    <hyperlink ref="B342:G343" location="AÑO!AM37:AP37" display="AÑO!AM37:AP37" xr:uid="{60AD11BC-3E50-4B67-9F93-45BF6BA64895}"/>
    <hyperlink ref="B362" location="Trimestre!C25:F26" display="HIPOTECA" xr:uid="{CBF2A362-CFC5-4231-95A2-484F3230F337}"/>
    <hyperlink ref="B362:G363" location="AÑO!AM38:AP38" display="AÑO!AM38:AP38" xr:uid="{F0697011-FDEC-4888-B665-B3EBC1345ACC}"/>
    <hyperlink ref="B382" location="Trimestre!C25:F26" display="HIPOTECA" xr:uid="{2E7E955D-5087-4AEA-BB61-E59CF8CE3775}"/>
    <hyperlink ref="B382:G383" location="AÑO!AM39:AP39" display="AÑO!AM39:AP39" xr:uid="{DDE3EC76-D5FF-4019-8D22-3DBFCC30A714}"/>
    <hyperlink ref="B402" location="Trimestre!C25:F26" display="HIPOTECA" xr:uid="{82ED9533-2635-46BC-A14B-CC7300A60B30}"/>
    <hyperlink ref="B402:G403" location="AÑO!AM40:AP40" display="AÑO!AM40:AP40" xr:uid="{91581741-C693-4911-9A47-E0A17A710913}"/>
    <hyperlink ref="B422" location="Trimestre!C25:F26" display="HIPOTECA" xr:uid="{62380196-FAD1-4B7B-B82E-BE6858DEDA08}"/>
    <hyperlink ref="B422:G423" location="AÑO!AM41:AP41" display="AÑO!AM41:AP41" xr:uid="{C5B4D35B-6BA7-41DE-BF5F-CE64DCDAE700}"/>
    <hyperlink ref="B442" location="Trimestre!C25:F26" display="HIPOTECA" xr:uid="{99995857-D66E-4658-BC71-ECCF97C3524A}"/>
    <hyperlink ref="B442:G443" location="AÑO!AM42:AP42" display="AÑO!AM42:AP42" xr:uid="{11DD4323-62E7-4A8A-A701-B81C865C9FCD}"/>
    <hyperlink ref="B462" location="Trimestre!C25:F26" display="HIPOTECA" xr:uid="{BB984A45-92BE-49AC-B960-A686DA8B59D0}"/>
    <hyperlink ref="B462:G463" location="AÑO!AM43:AP43" display="AÑO!AM43:AP43" xr:uid="{8CAFA8E1-6BC0-49E0-8B74-8942882CDFD0}"/>
    <hyperlink ref="B482" location="Trimestre!C25:F26" display="HIPOTECA" xr:uid="{F6DB1CE1-BC90-469F-90C8-2209F90A179C}"/>
    <hyperlink ref="B482:G483" location="AÑO!AM44:AP44" display="AÑO!AM44:AP44" xr:uid="{5796F1A1-9692-4D9A-A62C-46569C5D6C97}"/>
    <hyperlink ref="B502" location="Trimestre!C25:F26" display="HIPOTECA" xr:uid="{FAD1BE32-F71E-463C-B4A5-C542DD92D3EB}"/>
    <hyperlink ref="B502:G503" location="AÑO!AM45:AP45" display="AÑO!AM45:AP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236" workbookViewId="0">
      <selection activeCell="H258" sqref="H25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/>
      <c r="L5" s="423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/>
      <c r="L7" s="425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/>
      <c r="L9" s="425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'10'!A11+(B11-SUM(D11:F11))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4"/>
      <c r="L11" s="425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17864.099999999999</v>
      </c>
      <c r="L19" s="440"/>
      <c r="M19" s="1"/>
      <c r="N19" s="1"/>
      <c r="R19" s="3"/>
    </row>
    <row r="20" spans="1:18" ht="16.5" thickBot="1">
      <c r="A20" s="112">
        <f>SUM(A6:A15)</f>
        <v>1597.54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/>
      <c r="K25" s="405"/>
      <c r="L25" s="231"/>
      <c r="M25" s="1"/>
      <c r="R25" s="3"/>
    </row>
    <row r="26" spans="1:18" ht="15.75">
      <c r="A26" s="112">
        <f>'10'!A26+(B26-SUM(D26:F26))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'10'!A27+(B27-SUM(D27:F27))</f>
        <v>422.05999999999995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'10'!A29+(B29-SUM(D29:F29))</f>
        <v>37.63000000000001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/>
      <c r="K30" s="40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2660.08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1" t="str">
        <f>AÑO!A13</f>
        <v>Gubernamental</v>
      </c>
      <c r="J50" s="404"/>
      <c r="K50" s="40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'10'!A66+(B66-SUM(D66:F78))+B67</f>
        <v>322.38000000000005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102.05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424.43000000000006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3450.1800000000012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75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8.0699999999999985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83.42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'10'!A257+(B257-SUM(D257:F257))</f>
        <v>524.78000000000009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1208-(100.67*6)</f>
        <v>603.98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658.2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97.909999999999812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237.9099999999998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'10'!A359+(B359-SUM(D359:F359))</f>
        <v>40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410.73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'10'!A467+(B467-SUM(D467:F467))</f>
        <v>167.93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396.33000000000004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D748CBB5-7DCE-464E-A40F-1E12620940E3}"/>
    <hyperlink ref="I2:L3" location="AÑO!AM4:AP5" display="SALDO REAL" xr:uid="{67663154-8883-4CD6-99B0-96CDA3F4AFBE}"/>
    <hyperlink ref="I22" location="Trimestre!C39:F40" display="TELÉFONO" xr:uid="{65DF38AD-AFDF-4177-8AED-F148F1D8E79F}"/>
    <hyperlink ref="I22:L23" location="AÑO!AM7:AP17" display="INGRESOS" xr:uid="{776E9E2B-67B9-4B3B-BF53-7B4E6AFD52DE}"/>
    <hyperlink ref="B2" location="Trimestre!C25:F26" display="HIPOTECA" xr:uid="{F3200F12-27B8-4617-9F2C-A27417C78B0C}"/>
    <hyperlink ref="B2:G3" location="AÑO!AM20:AP20" display="AÑO!AM20:AP20" xr:uid="{A07041F4-B51E-4DBB-AA6A-BC5F67EE1743}"/>
    <hyperlink ref="B22" location="Trimestre!C25:F26" display="HIPOTECA" xr:uid="{B80047E2-2998-4813-B3A3-C265D56FA156}"/>
    <hyperlink ref="B22:G23" location="AÑO!AM21:AP21" display="AÑO!AM21:AP21" xr:uid="{995496F7-9D63-4469-A461-2CEBAC8CBAA0}"/>
    <hyperlink ref="B42" location="Trimestre!C25:F26" display="HIPOTECA" xr:uid="{D50471EB-054C-47C6-885C-AD47C3A16101}"/>
    <hyperlink ref="B42:G43" location="AÑO!AM22:AP22" display="AÑO!AM22:AP22" xr:uid="{2B1BC879-CC4A-44D6-9302-136D8C1BA801}"/>
    <hyperlink ref="B62" location="Trimestre!C25:F26" display="HIPOTECA" xr:uid="{54B09B22-1DA5-4D79-A837-834B7F8904E4}"/>
    <hyperlink ref="B62:G63" location="AÑO!AM23:AP23" display="AÑO!AM23:AP23" xr:uid="{999A8347-A4E9-42C8-9005-84DAE4CF446A}"/>
    <hyperlink ref="B82" location="Trimestre!C25:F26" display="HIPOTECA" xr:uid="{E136B093-8453-4A01-A18A-EA188F3C6E64}"/>
    <hyperlink ref="B82:G83" location="AÑO!AM24:AP24" display="AÑO!AM24:AP24" xr:uid="{BBD7A0D1-C277-4899-8F5A-BE8AF4CE1F53}"/>
    <hyperlink ref="B102" location="Trimestre!C25:F26" display="HIPOTECA" xr:uid="{00F4F7FE-4D2F-4F38-94FC-E8EE2794815C}"/>
    <hyperlink ref="B102:G103" location="AÑO!AM25:AP25" display="AÑO!AM25:AP25" xr:uid="{647CB64A-81C6-4034-A1B7-4D9CA020EE81}"/>
    <hyperlink ref="B122" location="Trimestre!C25:F26" display="HIPOTECA" xr:uid="{FA5DC8C0-87A6-457F-A900-510CBB9A7706}"/>
    <hyperlink ref="B122:G123" location="AÑO!AM26:AP26" display="AÑO!AM26:AP26" xr:uid="{BB8BDFB1-7C93-4BF0-89D8-A071412C0BF0}"/>
    <hyperlink ref="B142" location="Trimestre!C25:F26" display="HIPOTECA" xr:uid="{8F1D821B-C0A2-4AE9-8C64-CF9C7C0E0FE1}"/>
    <hyperlink ref="B142:G143" location="AÑO!AM27:AP27" display="AÑO!AM27:AP27" xr:uid="{B7ED6F3F-ED36-4536-A329-1703C2615BD6}"/>
    <hyperlink ref="B162" location="Trimestre!C25:F26" display="HIPOTECA" xr:uid="{9DF9EEAA-7238-438F-BA74-A360AE8E4304}"/>
    <hyperlink ref="B162:G163" location="AÑO!AM28:AP28" display="AÑO!AM28:AP28" xr:uid="{19846715-197F-4A08-A2E3-D409E520D163}"/>
    <hyperlink ref="B182" location="Trimestre!C25:F26" display="HIPOTECA" xr:uid="{DE1E8F93-EC5D-4EBF-9D10-7E3A1C7F9A37}"/>
    <hyperlink ref="B182:G183" location="AÑO!AM29:AP29" display="AÑO!AM29:AP29" xr:uid="{CBCA1303-500C-4F16-B069-496413185D7F}"/>
    <hyperlink ref="B202" location="Trimestre!C25:F26" display="HIPOTECA" xr:uid="{5D9D2B18-91C1-4D4F-9C54-283285DF8BD9}"/>
    <hyperlink ref="B202:G203" location="AÑO!AM30:AP30" display="AÑO!AM30:AP30" xr:uid="{971575E1-A18D-4637-86E8-FE1B7B328C38}"/>
    <hyperlink ref="B222" location="Trimestre!C25:F26" display="HIPOTECA" xr:uid="{5F6ABED3-5ED3-42E7-BEC6-4C1F75D52427}"/>
    <hyperlink ref="B222:G223" location="AÑO!AM31:AP31" display="AÑO!AM31:AP31" xr:uid="{AC850999-5F9C-4A4A-B556-3EF59CCBB5BC}"/>
    <hyperlink ref="B242" location="Trimestre!C25:F26" display="HIPOTECA" xr:uid="{34C61E4B-A1A8-4819-94A7-CE66432DA0D8}"/>
    <hyperlink ref="B242:G243" location="AÑO!AM32:AP32" display="AÑO!AM32:AP32" xr:uid="{D14CF57D-5044-4168-908F-1E036C353ABF}"/>
    <hyperlink ref="B262" location="Trimestre!C25:F26" display="HIPOTECA" xr:uid="{D9D8C852-F2A3-4CBF-A213-D122D187D962}"/>
    <hyperlink ref="B262:G263" location="AÑO!AM33:AP33" display="AÑO!AM33:AP33" xr:uid="{930303BF-AE4F-4159-A4E0-60DFE2E141DF}"/>
    <hyperlink ref="B282" location="Trimestre!C25:F26" display="HIPOTECA" xr:uid="{8B03EC08-6750-4491-8FD8-51256A1B2A0E}"/>
    <hyperlink ref="B282:G283" location="AÑO!AM34:AP34" display="AÑO!AM34:AP34" xr:uid="{41E90A66-BB27-4035-9A2C-9A92BEC3212C}"/>
    <hyperlink ref="B302" location="Trimestre!C25:F26" display="HIPOTECA" xr:uid="{994D9667-3AC7-4A8D-A98E-3661D5367EFB}"/>
    <hyperlink ref="B302:G303" location="AÑO!AM35:AP35" display="AÑO!AM35:AP35" xr:uid="{9B608A28-2D0E-4C82-9025-0B34DFF4C0F9}"/>
    <hyperlink ref="B322" location="Trimestre!C25:F26" display="HIPOTECA" xr:uid="{0FBA6483-9390-40AF-884E-A656039A1C1C}"/>
    <hyperlink ref="B322:G323" location="AÑO!AM36:AP36" display="AÑO!AM36:AP36" xr:uid="{A384F56F-294C-4072-BF95-FF5D66E8C14B}"/>
    <hyperlink ref="B342" location="Trimestre!C25:F26" display="HIPOTECA" xr:uid="{4A5D31A1-F8F7-4C2B-9C72-CD4706CF87F4}"/>
    <hyperlink ref="B342:G343" location="AÑO!AM37:AP37" display="AÑO!AM37:AP37" xr:uid="{8ECB7349-7BFD-4119-B1C9-899F31E32D09}"/>
    <hyperlink ref="B362" location="Trimestre!C25:F26" display="HIPOTECA" xr:uid="{313FC2A2-3450-4EB7-A41A-D9E490074848}"/>
    <hyperlink ref="B362:G363" location="AÑO!AM38:AP38" display="AÑO!AM38:AP38" xr:uid="{724F7B41-C341-4955-99A7-DB437441631A}"/>
    <hyperlink ref="B382" location="Trimestre!C25:F26" display="HIPOTECA" xr:uid="{A5CDD109-C0E7-4B66-A658-4155734EB793}"/>
    <hyperlink ref="B382:G383" location="AÑO!AM39:AP39" display="AÑO!AM39:AP39" xr:uid="{7738F217-B795-4A62-A2D0-E18807EEE108}"/>
    <hyperlink ref="B402" location="Trimestre!C25:F26" display="HIPOTECA" xr:uid="{D455B32B-941F-4031-874B-70C5B20B987F}"/>
    <hyperlink ref="B402:G403" location="AÑO!AM40:AP40" display="AÑO!AM40:AP40" xr:uid="{C183AFEB-6767-4F32-BDCA-71E754842579}"/>
    <hyperlink ref="B422" location="Trimestre!C25:F26" display="HIPOTECA" xr:uid="{7B9FB7B9-0933-4EC8-883B-C0D50CED0660}"/>
    <hyperlink ref="B422:G423" location="AÑO!AM41:AP41" display="AÑO!AM41:AP41" xr:uid="{F09E8179-2E13-4C38-AAB9-F7EA0BF8694C}"/>
    <hyperlink ref="B442" location="Trimestre!C25:F26" display="HIPOTECA" xr:uid="{C60C7495-8ECD-48A0-8730-1ED4FAA5D199}"/>
    <hyperlink ref="B442:G443" location="AÑO!AM42:AP42" display="AÑO!AM42:AP42" xr:uid="{28B3AE42-D3D6-4386-9261-D0271837D5E3}"/>
    <hyperlink ref="B462" location="Trimestre!C25:F26" display="HIPOTECA" xr:uid="{CE363160-8406-4B69-A668-D576F413D943}"/>
    <hyperlink ref="B462:G463" location="AÑO!AM43:AP43" display="AÑO!AM43:AP43" xr:uid="{E1EACFD0-A527-44AB-A2CE-E6383C59D73B}"/>
    <hyperlink ref="B482" location="Trimestre!C25:F26" display="HIPOTECA" xr:uid="{7B22BD40-41C0-4E4C-AF25-5310C389F0E5}"/>
    <hyperlink ref="B482:G483" location="AÑO!AM44:AP44" display="AÑO!AM44:AP44" xr:uid="{3E6B0112-666C-44E0-8408-25B8832C4859}"/>
    <hyperlink ref="B502" location="Trimestre!C25:F26" display="HIPOTECA" xr:uid="{A8AA32B2-FDB1-4954-88D4-FCC16BF10E9B}"/>
    <hyperlink ref="B502:G503" location="AÑO!AM45:AP45" display="AÑO!AM45:AP45" xr:uid="{AA017541-72DC-4C0E-8D62-6285112B03D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/>
      <c r="L5" s="423"/>
      <c r="M5" s="1"/>
      <c r="N5" s="1"/>
      <c r="R5" s="3"/>
    </row>
    <row r="6" spans="1:22" ht="15.75">
      <c r="A6" s="112">
        <f>'11'!A6+(B6-SUM(D6:F6))</f>
        <v>1184.1099999999999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4">
        <v>550</v>
      </c>
      <c r="L6" s="425"/>
      <c r="M6" s="1" t="s">
        <v>165</v>
      </c>
      <c r="N6" s="1"/>
      <c r="R6" s="3"/>
    </row>
    <row r="7" spans="1:22" ht="15.75">
      <c r="A7" s="112">
        <f>'11'!A7+(B7-SUM(D7:F7))</f>
        <v>508.93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4"/>
      <c r="L7" s="425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7000</v>
      </c>
      <c r="L8" s="425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4">
        <v>659.77</v>
      </c>
      <c r="L9" s="425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1800.04</v>
      </c>
      <c r="L10" s="425"/>
      <c r="M10" s="1" t="s">
        <v>156</v>
      </c>
      <c r="N10" s="1"/>
      <c r="R10" s="3"/>
    </row>
    <row r="11" spans="1:22" ht="15.75">
      <c r="A11" s="112">
        <f>'11'!A11+(B11-SUM(D11:F11))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4"/>
      <c r="L11" s="425"/>
      <c r="M11" s="1"/>
      <c r="N11" s="1"/>
      <c r="R11" s="3"/>
    </row>
    <row r="12" spans="1:22" ht="15.75">
      <c r="A12" s="112">
        <f>'11'!A12+(B12-SUM(D12:F12))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'11'!A13+(B13-SUM(D13:F13))</f>
        <v>64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15101.890000000001</v>
      </c>
      <c r="L19" s="431"/>
      <c r="M19" s="1"/>
      <c r="N19" s="1"/>
      <c r="R19" s="3"/>
    </row>
    <row r="20" spans="1:18" ht="16.5" thickBot="1">
      <c r="A20" s="112">
        <f>SUM(A6:A15)</f>
        <v>2141.54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/>
      <c r="K25" s="405"/>
      <c r="L25" s="198"/>
      <c r="M25" s="1"/>
      <c r="R25" s="3"/>
    </row>
    <row r="26" spans="1:18" ht="15.75">
      <c r="A26" s="112">
        <f>'11'!A26+(B26-SUM(D26:F26))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'11'!A27+(B27-SUM(D27:F27))</f>
        <v>592.05999999999995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'11'!A29+(B29-SUM(D29:F29))</f>
        <v>55.63000000000001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/>
      <c r="K30" s="40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3788.08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2"/>
      <c r="J46" s="406"/>
      <c r="K46" s="40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1" t="str">
        <f>AÑO!A13</f>
        <v>Gubernamental</v>
      </c>
      <c r="J50" s="404"/>
      <c r="K50" s="40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2"/>
      <c r="J66" s="406"/>
      <c r="K66" s="40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2"/>
      <c r="J67" s="406"/>
      <c r="K67" s="40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142.29000000000005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3475.7100000000014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1392.33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2:7" ht="15" customHeight="1" thickBot="1">
      <c r="B243" s="417"/>
      <c r="C243" s="418"/>
      <c r="D243" s="418"/>
      <c r="E243" s="418"/>
      <c r="F243" s="418"/>
      <c r="G243" s="419"/>
    </row>
    <row r="244" spans="2:7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2:7" ht="15" customHeight="1" thickBot="1">
      <c r="B263" s="417"/>
      <c r="C263" s="418"/>
      <c r="D263" s="418"/>
      <c r="E263" s="418"/>
      <c r="F263" s="418"/>
      <c r="G263" s="419"/>
    </row>
    <row r="264" spans="2:7">
      <c r="B264" s="427" t="s">
        <v>8</v>
      </c>
      <c r="C264" s="428"/>
      <c r="D264" s="429" t="s">
        <v>9</v>
      </c>
      <c r="E264" s="429"/>
      <c r="F264" s="429"/>
      <c r="G264" s="42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9" t="s">
        <v>9</v>
      </c>
      <c r="E424" s="429"/>
      <c r="F424" s="429"/>
      <c r="G424" s="428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187.93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446.33000000000004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6" workbookViewId="0">
      <selection activeCell="K56" sqref="K56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3360+300+F62</f>
        <v>6620</v>
      </c>
      <c r="H62">
        <f>D62-G62</f>
        <v>2866.9199999999819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workbookViewId="0">
      <selection activeCell="F19" sqref="F19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4" workbookViewId="0">
      <selection activeCell="H26" sqref="H26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J19" workbookViewId="0">
      <selection activeCell="P33" sqref="P33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23.85546875" customWidth="1"/>
    <col min="20" max="20" width="15.14062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1539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43748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143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43748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4">
        <f>P4/E4</f>
        <v>1.2731940074177025E-2</v>
      </c>
      <c r="R4" s="275" t="s">
        <v>535</v>
      </c>
      <c r="S4" s="341">
        <v>43770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594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43748</v>
      </c>
      <c r="L5" s="302">
        <v>30</v>
      </c>
      <c r="M5" s="264">
        <f>(H5*L5)</f>
        <v>5880</v>
      </c>
      <c r="N5" s="264">
        <f>-(IF((M5*0.0075)&lt;30,30,(M5*0.0075)) + (M5*0.0035))</f>
        <v>-64.680000000000007</v>
      </c>
      <c r="O5" s="272">
        <f>J5+N5</f>
        <v>-120.69288</v>
      </c>
      <c r="P5" s="273">
        <f>M5-E5+N5</f>
        <v>667.22711999999979</v>
      </c>
      <c r="Q5" s="274">
        <f>P5/E5</f>
        <v>0.12960665931108836</v>
      </c>
      <c r="R5" s="275" t="s">
        <v>535</v>
      </c>
      <c r="S5" s="341">
        <v>43770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</row>
    <row r="11" spans="1:26">
      <c r="A11" s="445" t="s">
        <v>518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T12" s="340" t="s">
        <v>781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3.7037037037037035E-2</v>
      </c>
      <c r="X13" s="119">
        <f ca="1">W13*E13</f>
        <v>148.86181296296297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3.2855436081242535E-2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8.3632019115890081E-3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0.51911589008363201</v>
      </c>
      <c r="X19" s="119">
        <f t="shared" ca="1" si="2"/>
        <v>2296.2571866666672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0.37753882915173237</v>
      </c>
      <c r="X20" s="119">
        <f t="shared" ca="1" si="2"/>
        <v>226.74982078853046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0.17204301075268819</v>
      </c>
      <c r="X25" s="119">
        <f t="shared" ca="1" si="2"/>
        <v>104.59582382795699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594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43748</v>
      </c>
      <c r="L28" s="302">
        <v>28.5</v>
      </c>
      <c r="M28" s="264">
        <f>(H28*L28)</f>
        <v>5586</v>
      </c>
      <c r="N28" s="264">
        <f>-(IF((M28*0.0075)&lt;30,30,(M28*0.0075)) + (M28*0.0035))</f>
        <v>-61.445999999999998</v>
      </c>
      <c r="O28" s="272">
        <f>J28+N28</f>
        <v>-117.45887999999999</v>
      </c>
      <c r="P28" s="273">
        <f ca="1">IF(K28=0,0,M28-E28+N28)</f>
        <v>376.46111999999982</v>
      </c>
      <c r="Q28" s="274">
        <f ca="1">P28/E28</f>
        <v>7.3126326345533968E-2</v>
      </c>
      <c r="R28" s="275" t="s">
        <v>517</v>
      </c>
      <c r="S28" s="59">
        <f ca="1">Q28+Q29+Q30+Q34</f>
        <v>9.75314804343623E-2</v>
      </c>
      <c r="T28" s="59">
        <f>(L28/L5)-1</f>
        <v>-5.0000000000000044E-2</v>
      </c>
      <c r="W28" s="39">
        <f t="shared" ca="1" si="0"/>
        <v>0.35483870967741937</v>
      </c>
      <c r="X28" s="119">
        <f t="shared" ca="1" si="2"/>
        <v>1826.7426348387098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1.3142174432497013E-2</v>
      </c>
      <c r="X33" s="119">
        <f t="shared" ca="1" si="2"/>
        <v>54.265696774193543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143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43748</v>
      </c>
      <c r="L35" s="302">
        <v>65.5</v>
      </c>
      <c r="M35" s="264">
        <f>(H35*L35)</f>
        <v>4061</v>
      </c>
      <c r="N35" s="264">
        <f>-(IF((M35*0.0075)&lt;30,30,(M35*0.0075)) + (M35*0.0035))</f>
        <v>-44.670999999999999</v>
      </c>
      <c r="O35" s="272">
        <f>J35+N35</f>
        <v>-89.157859999999999</v>
      </c>
      <c r="P35" s="273">
        <f ca="1">IF(K35=0,0,M35-E35+N35)</f>
        <v>-72.417860000000189</v>
      </c>
      <c r="Q35" s="274">
        <f ca="1">P35/E35</f>
        <v>-1.7711504888810892E-2</v>
      </c>
      <c r="R35" s="275" t="s">
        <v>412</v>
      </c>
      <c r="T35" s="59">
        <f>(L35/L4)-1</f>
        <v>-3.0060713756848823E-2</v>
      </c>
      <c r="W35" s="39">
        <f t="shared" ca="1" si="0"/>
        <v>8.5424133811230582E-2</v>
      </c>
      <c r="X35" s="119">
        <f t="shared" ca="1" si="2"/>
        <v>349.27765888888888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2679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-376.69825900000001</v>
      </c>
      <c r="O42" s="315">
        <f>SUM(O13:O41)</f>
        <v>-562.89639699999998</v>
      </c>
      <c r="P42" s="315">
        <f ca="1">SUM(P13:P41)</f>
        <v>3949.5119830000003</v>
      </c>
      <c r="Q42" s="326">
        <f ca="1">SUM(Q13:Q41)</f>
        <v>3.978780527617793</v>
      </c>
      <c r="R42" s="317"/>
      <c r="W42" s="327">
        <f ca="1">SUM(W13:W41)</f>
        <v>1.6003584229390679</v>
      </c>
      <c r="X42" s="328">
        <f ca="1">SUM(X13:X41)</f>
        <v>5006.7506347479093</v>
      </c>
      <c r="Y42" s="329">
        <f ca="1">P42/X42</f>
        <v>0.78883736601330834</v>
      </c>
      <c r="Z42" s="329">
        <f ca="1">Y42/(D$43/365)</f>
        <v>0.17199858936371418</v>
      </c>
    </row>
    <row r="43" spans="1:26">
      <c r="C43" s="119" t="s">
        <v>568</v>
      </c>
      <c r="D43" s="46">
        <f ca="1">_xlfn.DAYS(TODAY(),F13)</f>
        <v>1674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  <c r="Q45" s="119"/>
    </row>
    <row r="46" spans="1:26">
      <c r="C46" s="119"/>
      <c r="E46" s="119"/>
      <c r="F46" s="300"/>
      <c r="G46" s="119"/>
      <c r="H46" s="303"/>
      <c r="I46" s="119"/>
      <c r="J46" s="119"/>
      <c r="L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D9" sqref="D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7" t="s">
        <v>574</v>
      </c>
      <c r="B1" s="447"/>
      <c r="C1" s="447"/>
      <c r="D1" s="447"/>
      <c r="E1" s="447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-22.280131960754311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-25.068864019622936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-19.696964586846594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-5.3718994327763436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-72.417860000000189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5" t="s">
        <v>603</v>
      </c>
      <c r="B15" s="445"/>
      <c r="C15" s="445"/>
      <c r="D15" s="445"/>
      <c r="E15" s="445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5"/>
  <sheetViews>
    <sheetView topLeftCell="A40" workbookViewId="0">
      <selection activeCell="G56" sqref="G56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  <row r="55" spans="1:2">
      <c r="A55" t="s">
        <v>818</v>
      </c>
      <c r="B55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>
        <v>2018</v>
      </c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2">
        <v>2901.68</v>
      </c>
      <c r="L5" s="423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4">
        <v>620.05999999999995</v>
      </c>
      <c r="L6" s="425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4">
        <v>8035.29</v>
      </c>
      <c r="L7" s="42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4">
        <v>7000</v>
      </c>
      <c r="L8" s="42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4">
        <v>659.39</v>
      </c>
      <c r="L9" s="42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4">
        <v>1800.04</v>
      </c>
      <c r="L10" s="42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4">
        <f>240+35</f>
        <v>275</v>
      </c>
      <c r="L11" s="42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0">
        <f>SUM(K5:K18)</f>
        <v>26383.54</v>
      </c>
      <c r="L19" s="431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12"/>
      <c r="I22" s="414" t="s">
        <v>6</v>
      </c>
      <c r="J22" s="415"/>
      <c r="K22" s="415"/>
      <c r="L22" s="416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12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12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1" t="str">
        <f>AÑO!A8</f>
        <v>Manolo Salario</v>
      </c>
      <c r="J25" s="404" t="s">
        <v>291</v>
      </c>
      <c r="K25" s="40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2"/>
      <c r="J26" s="406"/>
      <c r="K26" s="40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2"/>
      <c r="J27" s="406"/>
      <c r="K27" s="40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2"/>
      <c r="J28" s="406"/>
      <c r="K28" s="40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0"/>
      <c r="J29" s="411"/>
      <c r="K29" s="412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1" t="str">
        <f>AÑO!A9</f>
        <v>Rocío Salario</v>
      </c>
      <c r="J30" s="404" t="s">
        <v>238</v>
      </c>
      <c r="K30" s="40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2"/>
      <c r="J31" s="406" t="s">
        <v>256</v>
      </c>
      <c r="K31" s="40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2"/>
      <c r="J32" s="413" t="s">
        <v>267</v>
      </c>
      <c r="K32" s="40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1" t="s">
        <v>218</v>
      </c>
      <c r="J35" s="404" t="s">
        <v>306</v>
      </c>
      <c r="K35" s="405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1" t="str">
        <f>AÑO!A11</f>
        <v>Finanazas</v>
      </c>
      <c r="J40" s="404" t="s">
        <v>239</v>
      </c>
      <c r="K40" s="40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2"/>
      <c r="J41" s="406" t="s">
        <v>240</v>
      </c>
      <c r="K41" s="407"/>
      <c r="L41" s="229">
        <v>1.87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12"/>
      <c r="I42" s="402"/>
      <c r="J42" s="406" t="s">
        <v>269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12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12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1" t="str">
        <f>AÑO!A12</f>
        <v>Regalos</v>
      </c>
      <c r="J45" s="404" t="s">
        <v>299</v>
      </c>
      <c r="K45" s="405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0"/>
      <c r="J49" s="411"/>
      <c r="K49" s="412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1" t="str">
        <f>AÑO!A13</f>
        <v>Gubernamental</v>
      </c>
      <c r="J50" s="404" t="s">
        <v>259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0"/>
      <c r="J54" s="411"/>
      <c r="K54" s="412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0"/>
      <c r="J59" s="411"/>
      <c r="K59" s="412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1" t="str">
        <f>AÑO!A15</f>
        <v>Alquiler Cartama</v>
      </c>
      <c r="J60" s="404"/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12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12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12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1" t="str">
        <f>AÑO!A16</f>
        <v>Otros</v>
      </c>
      <c r="J65" s="404" t="s">
        <v>296</v>
      </c>
      <c r="K65" s="405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2"/>
      <c r="J66" s="406"/>
      <c r="K66" s="40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2"/>
      <c r="J67" s="406"/>
      <c r="K67" s="40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2"/>
      <c r="J68" s="406"/>
      <c r="K68" s="40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3"/>
      <c r="J69" s="408"/>
      <c r="K69" s="40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12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12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12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12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12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12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12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12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  <c r="H202" s="112"/>
    </row>
    <row r="203" spans="2:12" ht="15" customHeight="1" thickBot="1">
      <c r="B203" s="417"/>
      <c r="C203" s="418"/>
      <c r="D203" s="418"/>
      <c r="E203" s="418"/>
      <c r="F203" s="418"/>
      <c r="G203" s="419"/>
      <c r="H203" s="112"/>
    </row>
    <row r="204" spans="2:12" ht="15.75">
      <c r="B204" s="427" t="s">
        <v>8</v>
      </c>
      <c r="C204" s="428"/>
      <c r="D204" s="429" t="s">
        <v>9</v>
      </c>
      <c r="E204" s="429"/>
      <c r="F204" s="429"/>
      <c r="G204" s="428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6" t="str">
        <f>AÑO!A31</f>
        <v>Deportes</v>
      </c>
      <c r="C222" s="415"/>
      <c r="D222" s="415"/>
      <c r="E222" s="415"/>
      <c r="F222" s="415"/>
      <c r="G222" s="416"/>
      <c r="H222" s="112"/>
    </row>
    <row r="223" spans="2:8" ht="15" customHeight="1" thickBot="1">
      <c r="B223" s="417"/>
      <c r="C223" s="418"/>
      <c r="D223" s="418"/>
      <c r="E223" s="418"/>
      <c r="F223" s="418"/>
      <c r="G223" s="419"/>
      <c r="H223" s="112"/>
    </row>
    <row r="224" spans="2:8" ht="15.75">
      <c r="B224" s="427" t="s">
        <v>8</v>
      </c>
      <c r="C224" s="428"/>
      <c r="D224" s="429" t="s">
        <v>9</v>
      </c>
      <c r="E224" s="429"/>
      <c r="F224" s="429"/>
      <c r="G224" s="428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6" t="str">
        <f>AÑO!A32</f>
        <v>Hogar</v>
      </c>
      <c r="C242" s="415"/>
      <c r="D242" s="415"/>
      <c r="E242" s="415"/>
      <c r="F242" s="415"/>
      <c r="G242" s="416"/>
      <c r="H242" s="112"/>
    </row>
    <row r="243" spans="2:8" ht="15" customHeight="1" thickBot="1">
      <c r="B243" s="417"/>
      <c r="C243" s="418"/>
      <c r="D243" s="418"/>
      <c r="E243" s="418"/>
      <c r="F243" s="418"/>
      <c r="G243" s="419"/>
      <c r="H243" s="112"/>
    </row>
    <row r="244" spans="2:8" ht="15" customHeight="1">
      <c r="B244" s="427" t="s">
        <v>8</v>
      </c>
      <c r="C244" s="428"/>
      <c r="D244" s="429" t="s">
        <v>9</v>
      </c>
      <c r="E244" s="429"/>
      <c r="F244" s="429"/>
      <c r="G244" s="428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6" t="str">
        <f>AÑO!A33</f>
        <v>Formación</v>
      </c>
      <c r="C262" s="415"/>
      <c r="D262" s="415"/>
      <c r="E262" s="415"/>
      <c r="F262" s="415"/>
      <c r="G262" s="416"/>
      <c r="H262" s="112"/>
    </row>
    <row r="263" spans="2:8" ht="15" customHeight="1" thickBot="1">
      <c r="B263" s="417"/>
      <c r="C263" s="418"/>
      <c r="D263" s="418"/>
      <c r="E263" s="418"/>
      <c r="F263" s="418"/>
      <c r="G263" s="419"/>
      <c r="H263" s="112"/>
    </row>
    <row r="264" spans="2:8" ht="15.75">
      <c r="B264" s="427" t="s">
        <v>8</v>
      </c>
      <c r="C264" s="428"/>
      <c r="D264" s="429" t="s">
        <v>9</v>
      </c>
      <c r="E264" s="429"/>
      <c r="F264" s="429"/>
      <c r="G264" s="428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  <c r="H282" s="112"/>
    </row>
    <row r="283" spans="2:8" ht="15" customHeight="1" thickBot="1">
      <c r="B283" s="417"/>
      <c r="C283" s="418"/>
      <c r="D283" s="418"/>
      <c r="E283" s="418"/>
      <c r="F283" s="418"/>
      <c r="G283" s="419"/>
      <c r="H283" s="112"/>
    </row>
    <row r="284" spans="2:8" ht="15.75">
      <c r="B284" s="427" t="s">
        <v>8</v>
      </c>
      <c r="C284" s="428"/>
      <c r="D284" s="429" t="s">
        <v>9</v>
      </c>
      <c r="E284" s="429"/>
      <c r="F284" s="429"/>
      <c r="G284" s="428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  <c r="H302" s="112"/>
    </row>
    <row r="303" spans="2:8" ht="15" customHeight="1" thickBot="1">
      <c r="B303" s="417"/>
      <c r="C303" s="418"/>
      <c r="D303" s="418"/>
      <c r="E303" s="418"/>
      <c r="F303" s="418"/>
      <c r="G303" s="419"/>
      <c r="H303" s="112"/>
    </row>
    <row r="304" spans="2:8" ht="15.75">
      <c r="B304" s="427" t="s">
        <v>8</v>
      </c>
      <c r="C304" s="428"/>
      <c r="D304" s="429" t="s">
        <v>9</v>
      </c>
      <c r="E304" s="429"/>
      <c r="F304" s="429"/>
      <c r="G304" s="428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6" t="str">
        <f>AÑO!A36</f>
        <v>Nenas</v>
      </c>
      <c r="C322" s="415"/>
      <c r="D322" s="415"/>
      <c r="E322" s="415"/>
      <c r="F322" s="415"/>
      <c r="G322" s="416"/>
      <c r="H322" s="112"/>
    </row>
    <row r="323" spans="2:8" ht="15" customHeight="1" thickBot="1">
      <c r="B323" s="417"/>
      <c r="C323" s="418"/>
      <c r="D323" s="418"/>
      <c r="E323" s="418"/>
      <c r="F323" s="418"/>
      <c r="G323" s="419"/>
      <c r="H323" s="112"/>
    </row>
    <row r="324" spans="2:8" ht="15.75">
      <c r="B324" s="427" t="s">
        <v>8</v>
      </c>
      <c r="C324" s="428"/>
      <c r="D324" s="429" t="s">
        <v>9</v>
      </c>
      <c r="E324" s="429"/>
      <c r="F324" s="429"/>
      <c r="G324" s="428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6" t="str">
        <f>AÑO!A37</f>
        <v>Impuestos</v>
      </c>
      <c r="C342" s="415"/>
      <c r="D342" s="415"/>
      <c r="E342" s="415"/>
      <c r="F342" s="415"/>
      <c r="G342" s="416"/>
      <c r="H342" s="112"/>
    </row>
    <row r="343" spans="2:8" ht="15" customHeight="1" thickBot="1">
      <c r="B343" s="417"/>
      <c r="C343" s="418"/>
      <c r="D343" s="418"/>
      <c r="E343" s="418"/>
      <c r="F343" s="418"/>
      <c r="G343" s="419"/>
      <c r="H343" s="112"/>
    </row>
    <row r="344" spans="2:8" ht="15.75">
      <c r="B344" s="427" t="s">
        <v>8</v>
      </c>
      <c r="C344" s="428"/>
      <c r="D344" s="429" t="s">
        <v>9</v>
      </c>
      <c r="E344" s="429"/>
      <c r="F344" s="429"/>
      <c r="G344" s="428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6" t="str">
        <f>AÑO!A38</f>
        <v>Gastos Curros</v>
      </c>
      <c r="C362" s="415"/>
      <c r="D362" s="415"/>
      <c r="E362" s="415"/>
      <c r="F362" s="415"/>
      <c r="G362" s="416"/>
      <c r="H362" s="112"/>
    </row>
    <row r="363" spans="2:8" ht="15" customHeight="1" thickBot="1">
      <c r="B363" s="417"/>
      <c r="C363" s="418"/>
      <c r="D363" s="418"/>
      <c r="E363" s="418"/>
      <c r="F363" s="418"/>
      <c r="G363" s="419"/>
      <c r="H363" s="112"/>
    </row>
    <row r="364" spans="2:8" ht="15.75">
      <c r="B364" s="427" t="s">
        <v>8</v>
      </c>
      <c r="C364" s="428"/>
      <c r="D364" s="429" t="s">
        <v>9</v>
      </c>
      <c r="E364" s="429"/>
      <c r="F364" s="429"/>
      <c r="G364" s="428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6" t="str">
        <f>AÑO!A39</f>
        <v>Dreamed Holidays</v>
      </c>
      <c r="C382" s="415"/>
      <c r="D382" s="415"/>
      <c r="E382" s="415"/>
      <c r="F382" s="415"/>
      <c r="G382" s="416"/>
      <c r="H382" s="112"/>
    </row>
    <row r="383" spans="2:8" ht="15" customHeight="1" thickBot="1">
      <c r="B383" s="417"/>
      <c r="C383" s="418"/>
      <c r="D383" s="418"/>
      <c r="E383" s="418"/>
      <c r="F383" s="418"/>
      <c r="G383" s="419"/>
      <c r="H383" s="112"/>
    </row>
    <row r="384" spans="2:8" ht="15.75">
      <c r="B384" s="427" t="s">
        <v>8</v>
      </c>
      <c r="C384" s="428"/>
      <c r="D384" s="429" t="s">
        <v>9</v>
      </c>
      <c r="E384" s="429"/>
      <c r="F384" s="429"/>
      <c r="G384" s="428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6" t="str">
        <f>AÑO!A40</f>
        <v>Financieros</v>
      </c>
      <c r="C402" s="415"/>
      <c r="D402" s="415"/>
      <c r="E402" s="415"/>
      <c r="F402" s="415"/>
      <c r="G402" s="416"/>
      <c r="H402" s="112"/>
    </row>
    <row r="403" spans="2:8" ht="15" customHeight="1" thickBot="1">
      <c r="B403" s="417"/>
      <c r="C403" s="418"/>
      <c r="D403" s="418"/>
      <c r="E403" s="418"/>
      <c r="F403" s="418"/>
      <c r="G403" s="419"/>
      <c r="H403" s="112"/>
    </row>
    <row r="404" spans="2:8" ht="15.75">
      <c r="B404" s="427" t="s">
        <v>8</v>
      </c>
      <c r="C404" s="428"/>
      <c r="D404" s="429" t="s">
        <v>9</v>
      </c>
      <c r="E404" s="429"/>
      <c r="F404" s="429"/>
      <c r="G404" s="428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  <c r="H422" s="112"/>
    </row>
    <row r="423" spans="1:8" ht="15" customHeight="1" thickBot="1">
      <c r="B423" s="434"/>
      <c r="C423" s="435"/>
      <c r="D423" s="435"/>
      <c r="E423" s="435"/>
      <c r="F423" s="435"/>
      <c r="G423" s="436"/>
      <c r="H423" s="112"/>
    </row>
    <row r="424" spans="1:8" ht="15.75">
      <c r="B424" s="427" t="s">
        <v>8</v>
      </c>
      <c r="C424" s="428"/>
      <c r="D424" s="429" t="s">
        <v>9</v>
      </c>
      <c r="E424" s="429"/>
      <c r="F424" s="429"/>
      <c r="G424" s="428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6" t="str">
        <f>AÑO!A42</f>
        <v>Dinero Bloqueado</v>
      </c>
      <c r="C442" s="432"/>
      <c r="D442" s="432"/>
      <c r="E442" s="432"/>
      <c r="F442" s="432"/>
      <c r="G442" s="433"/>
      <c r="H442" s="112"/>
    </row>
    <row r="443" spans="2:8" ht="15" customHeight="1" thickBot="1">
      <c r="B443" s="434"/>
      <c r="C443" s="435"/>
      <c r="D443" s="435"/>
      <c r="E443" s="435"/>
      <c r="F443" s="435"/>
      <c r="G443" s="436"/>
      <c r="H443" s="112"/>
    </row>
    <row r="444" spans="2:8" ht="15.75">
      <c r="B444" s="427" t="s">
        <v>8</v>
      </c>
      <c r="C444" s="428"/>
      <c r="D444" s="429" t="s">
        <v>9</v>
      </c>
      <c r="E444" s="429"/>
      <c r="F444" s="429"/>
      <c r="G444" s="428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6" t="str">
        <f>AÑO!A43</f>
        <v>Cartama Finanazas</v>
      </c>
      <c r="C462" s="432"/>
      <c r="D462" s="432"/>
      <c r="E462" s="432"/>
      <c r="F462" s="432"/>
      <c r="G462" s="433"/>
      <c r="H462" s="112"/>
    </row>
    <row r="463" spans="2:8" ht="15" customHeight="1" thickBot="1">
      <c r="B463" s="434"/>
      <c r="C463" s="435"/>
      <c r="D463" s="435"/>
      <c r="E463" s="435"/>
      <c r="F463" s="435"/>
      <c r="G463" s="436"/>
      <c r="H463" s="112"/>
    </row>
    <row r="464" spans="2:8" ht="15.75">
      <c r="B464" s="427" t="s">
        <v>8</v>
      </c>
      <c r="C464" s="428"/>
      <c r="D464" s="429" t="s">
        <v>9</v>
      </c>
      <c r="E464" s="429"/>
      <c r="F464" s="429"/>
      <c r="G464" s="428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6" t="str">
        <f>AÑO!A44</f>
        <v>NULO</v>
      </c>
      <c r="C482" s="432"/>
      <c r="D482" s="432"/>
      <c r="E482" s="432"/>
      <c r="F482" s="432"/>
      <c r="G482" s="433"/>
      <c r="H482" s="112"/>
    </row>
    <row r="483" spans="2:8" ht="15" customHeight="1" thickBot="1">
      <c r="B483" s="434"/>
      <c r="C483" s="435"/>
      <c r="D483" s="435"/>
      <c r="E483" s="435"/>
      <c r="F483" s="435"/>
      <c r="G483" s="436"/>
      <c r="H483" s="112"/>
    </row>
    <row r="484" spans="2:8" ht="15.75">
      <c r="B484" s="427" t="s">
        <v>8</v>
      </c>
      <c r="C484" s="428"/>
      <c r="D484" s="429" t="s">
        <v>9</v>
      </c>
      <c r="E484" s="429"/>
      <c r="F484" s="429"/>
      <c r="G484" s="428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6" t="str">
        <f>AÑO!A45</f>
        <v>OTROS</v>
      </c>
      <c r="C502" s="432"/>
      <c r="D502" s="432"/>
      <c r="E502" s="432"/>
      <c r="F502" s="432"/>
      <c r="G502" s="433"/>
      <c r="H502" s="112"/>
    </row>
    <row r="503" spans="2:8" ht="15" customHeight="1" thickBot="1">
      <c r="B503" s="434"/>
      <c r="C503" s="435"/>
      <c r="D503" s="435"/>
      <c r="E503" s="435"/>
      <c r="F503" s="435"/>
      <c r="G503" s="436"/>
      <c r="H503" s="112"/>
    </row>
    <row r="504" spans="2:8" ht="15.75">
      <c r="B504" s="427" t="s">
        <v>8</v>
      </c>
      <c r="C504" s="428"/>
      <c r="D504" s="429" t="s">
        <v>9</v>
      </c>
      <c r="E504" s="429"/>
      <c r="F504" s="429"/>
      <c r="G504" s="428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2397.48-4.45</f>
        <v>2393.0300000000002</v>
      </c>
      <c r="L5" s="423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4">
        <f>7340.23-4.45</f>
        <v>7335.78</v>
      </c>
      <c r="L7" s="42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7001.87</v>
      </c>
      <c r="L8" s="42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4">
        <v>669.52</v>
      </c>
      <c r="L9" s="42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160+155</f>
        <v>315</v>
      </c>
      <c r="L11" s="42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25229.379999999997</v>
      </c>
      <c r="L19" s="431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314</v>
      </c>
      <c r="K30" s="40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319</v>
      </c>
      <c r="K31" s="40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314</v>
      </c>
      <c r="K33" s="40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 t="s">
        <v>359</v>
      </c>
      <c r="K35" s="40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160</v>
      </c>
      <c r="K45" s="40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2"/>
      <c r="J46" s="406"/>
      <c r="K46" s="40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1" t="str">
        <f>AÑO!A13</f>
        <v>Gubernamental</v>
      </c>
      <c r="J50" s="404" t="s">
        <v>259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2"/>
      <c r="J51" s="406"/>
      <c r="K51" s="40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1" t="str">
        <f>AÑO!A14</f>
        <v>Mutualite/DKV</v>
      </c>
      <c r="J55" s="404"/>
      <c r="K55" s="40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1" t="str">
        <f>AÑO!A15</f>
        <v>Alquiler Cartama</v>
      </c>
      <c r="J60" s="404" t="s">
        <v>315</v>
      </c>
      <c r="K60" s="40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2"/>
      <c r="J66" s="406"/>
      <c r="K66" s="40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2"/>
      <c r="J67" s="406"/>
      <c r="K67" s="40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3"/>
      <c r="J69" s="408"/>
      <c r="K69" s="40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2:7" ht="15" customHeight="1" thickBot="1">
      <c r="B243" s="417"/>
      <c r="C243" s="418"/>
      <c r="D243" s="418"/>
      <c r="E243" s="418"/>
      <c r="F243" s="418"/>
      <c r="G243" s="419"/>
    </row>
    <row r="244" spans="2:7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2:7" ht="15" customHeight="1" thickBot="1">
      <c r="B263" s="417"/>
      <c r="C263" s="418"/>
      <c r="D263" s="418"/>
      <c r="E263" s="418"/>
      <c r="F263" s="418"/>
      <c r="G263" s="419"/>
    </row>
    <row r="264" spans="2:7">
      <c r="B264" s="427" t="s">
        <v>8</v>
      </c>
      <c r="C264" s="428"/>
      <c r="D264" s="429" t="s">
        <v>9</v>
      </c>
      <c r="E264" s="429"/>
      <c r="F264" s="429"/>
      <c r="G264" s="42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9" t="s">
        <v>9</v>
      </c>
      <c r="E424" s="429"/>
      <c r="F424" s="429"/>
      <c r="G424" s="428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1559.34</v>
      </c>
      <c r="L5" s="423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4">
        <v>8577.0300000000007</v>
      </c>
      <c r="L7" s="42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3501.87</v>
      </c>
      <c r="L8" s="42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4">
        <v>4167.34</v>
      </c>
      <c r="L9" s="42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255</v>
      </c>
      <c r="L11" s="42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25574.760000000002</v>
      </c>
      <c r="L19" s="431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362</v>
      </c>
      <c r="K30" s="40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238</v>
      </c>
      <c r="K31" s="40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379</v>
      </c>
      <c r="K45" s="40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2"/>
      <c r="J46" s="406" t="s">
        <v>160</v>
      </c>
      <c r="K46" s="40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1" t="str">
        <f>AÑO!A13</f>
        <v>Gubernamental</v>
      </c>
      <c r="J50" s="404" t="s">
        <v>259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2"/>
      <c r="J51" s="406" t="s">
        <v>417</v>
      </c>
      <c r="K51" s="40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1" t="str">
        <f>AÑO!A14</f>
        <v>Mutualite/DKV</v>
      </c>
      <c r="J55" s="437" t="str">
        <f>G306</f>
        <v>12/03 Chirec</v>
      </c>
      <c r="K55" s="40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366</v>
      </c>
      <c r="K60" s="40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2"/>
      <c r="J66" s="406"/>
      <c r="K66" s="40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2"/>
      <c r="J67" s="406"/>
      <c r="K67" s="40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3"/>
      <c r="J69" s="408"/>
      <c r="K69" s="40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8" ht="15" customHeight="1" thickBot="1">
      <c r="B243" s="417"/>
      <c r="C243" s="418"/>
      <c r="D243" s="418"/>
      <c r="E243" s="418"/>
      <c r="F243" s="418"/>
      <c r="G243" s="419"/>
    </row>
    <row r="244" spans="1:8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9" t="s">
        <v>9</v>
      </c>
      <c r="E264" s="429"/>
      <c r="F264" s="429"/>
      <c r="G264" s="42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9" t="s">
        <v>9</v>
      </c>
      <c r="E424" s="429"/>
      <c r="F424" s="429"/>
      <c r="G424" s="428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861.84</v>
      </c>
      <c r="L5" s="423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10075.709999999999</v>
      </c>
      <c r="L7" s="42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3501.87</v>
      </c>
      <c r="L8" s="42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35.96</v>
      </c>
      <c r="L9" s="42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370</v>
      </c>
      <c r="L11" s="42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5092.08+4084.2</f>
        <v>9176.2799999999988</v>
      </c>
      <c r="L12" s="42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362</v>
      </c>
      <c r="K30" s="40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430</v>
      </c>
      <c r="K31" s="40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424</v>
      </c>
      <c r="K40" s="40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444</v>
      </c>
      <c r="K41" s="407"/>
      <c r="L41" s="229">
        <v>352.82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 t="s">
        <v>60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1" t="str">
        <f>AÑO!A13</f>
        <v>Gubernamental</v>
      </c>
      <c r="J50" s="404" t="s">
        <v>433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37" t="str">
        <f>'03'!G307</f>
        <v>22/03 Chirec</v>
      </c>
      <c r="K55" s="40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38" t="str">
        <f>'03'!G309</f>
        <v>26/03 Ginecologa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448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7" t="s">
        <v>9</v>
      </c>
      <c r="E264" s="429"/>
      <c r="F264" s="429"/>
      <c r="G264" s="42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1773.93</v>
      </c>
      <c r="L5" s="423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7144.52</v>
      </c>
      <c r="L7" s="425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10005.620000000001</v>
      </c>
      <c r="L8" s="42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514.82000000000005</v>
      </c>
      <c r="L9" s="425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210</f>
        <v>210</v>
      </c>
      <c r="L11" s="42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430</v>
      </c>
      <c r="K30" s="40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362</v>
      </c>
      <c r="K31" s="40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472</v>
      </c>
      <c r="K40" s="40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1" t="str">
        <f>AÑO!A13</f>
        <v>Gubernamental</v>
      </c>
      <c r="J50" s="404" t="s">
        <v>483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1" t="str">
        <f>AÑO!A14</f>
        <v>Mutualite/DKV</v>
      </c>
      <c r="J55" s="404" t="s">
        <v>477</v>
      </c>
      <c r="K55" s="40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7" t="s">
        <v>9</v>
      </c>
      <c r="E424" s="429"/>
      <c r="F424" s="429"/>
      <c r="G424" s="428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M5+2156.93</f>
        <v>1614.1099999999997</v>
      </c>
      <c r="L5" s="423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f>9234.42-58.2</f>
        <v>9176.2199999999993</v>
      </c>
      <c r="L7" s="425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v>169.67</v>
      </c>
      <c r="L9" s="425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190</v>
      </c>
      <c r="L11" s="42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626</v>
      </c>
      <c r="K30" s="40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430</v>
      </c>
      <c r="K31" s="40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 t="s">
        <v>359</v>
      </c>
      <c r="K35" s="40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160</v>
      </c>
      <c r="K45" s="40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1" t="str">
        <f>AÑO!A13</f>
        <v>Gubernamental</v>
      </c>
      <c r="J50" s="404" t="s">
        <v>639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627</v>
      </c>
      <c r="K60" s="40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9" ht="15" customHeight="1" thickBot="1">
      <c r="B283" s="417"/>
      <c r="C283" s="418"/>
      <c r="D283" s="418"/>
      <c r="E283" s="418"/>
      <c r="F283" s="418"/>
      <c r="G283" s="419"/>
    </row>
    <row r="284" spans="2:9">
      <c r="B284" s="427" t="s">
        <v>8</v>
      </c>
      <c r="C284" s="428"/>
      <c r="D284" s="427" t="s">
        <v>9</v>
      </c>
      <c r="E284" s="429"/>
      <c r="F284" s="429"/>
      <c r="G284" s="428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91" workbookViewId="0">
      <selection activeCell="E51" sqref="E5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2939.95</f>
        <v>2939.95</v>
      </c>
      <c r="L5" s="423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8049.26</v>
      </c>
      <c r="L7" s="425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169.67</v>
      </c>
      <c r="L9" s="425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260</v>
      </c>
      <c r="L11" s="42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430</v>
      </c>
      <c r="K30" s="40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626</v>
      </c>
      <c r="K31" s="40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688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675</v>
      </c>
      <c r="K40" s="40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60</v>
      </c>
      <c r="K41" s="407"/>
      <c r="L41" s="229">
        <v>0.02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01" t="str">
        <f>AÑO!A13</f>
        <v>Gubernamental</v>
      </c>
      <c r="J50" s="404" t="s">
        <v>639</v>
      </c>
      <c r="K50" s="40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689</v>
      </c>
      <c r="K55" s="40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 t="s">
        <v>689</v>
      </c>
      <c r="K56" s="40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689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704</v>
      </c>
      <c r="K60" s="40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5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76" workbookViewId="0">
      <selection activeCell="G90" sqref="G9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3508.76</v>
      </c>
      <c r="L5" s="423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7490.36</v>
      </c>
      <c r="L7" s="425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163.63</v>
      </c>
      <c r="L9" s="425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20+120</f>
        <v>140</v>
      </c>
      <c r="L11" s="42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328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 t="s">
        <v>397</v>
      </c>
      <c r="K35" s="40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776</v>
      </c>
      <c r="K45" s="40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02"/>
      <c r="J46" s="406" t="s">
        <v>777</v>
      </c>
      <c r="K46" s="407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02"/>
      <c r="J48" s="406"/>
      <c r="K48" s="407"/>
      <c r="L48" s="229"/>
      <c r="M48" s="1"/>
      <c r="R48" s="3"/>
    </row>
    <row r="49" spans="1:18" ht="15.75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01" t="str">
        <f>AÑO!A13</f>
        <v>Gubernamental</v>
      </c>
      <c r="J50" s="404" t="s">
        <v>639</v>
      </c>
      <c r="K50" s="40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41">
        <v>43692</v>
      </c>
      <c r="K55" s="40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42">
        <v>43696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39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2019-10-10T15:41:28Z</dcterms:modified>
</cp:coreProperties>
</file>