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D27EA1C5-9ED1-4EB3-9140-00C86CA48F78}" xr6:coauthVersionLast="41" xr6:coauthVersionMax="41" xr10:uidLastSave="{00000000-0000-0000-0000-000000000000}"/>
  <bookViews>
    <workbookView xWindow="-108" yWindow="12852" windowWidth="22164" windowHeight="13176" activeTab="1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9" l="1"/>
  <c r="D7" i="19"/>
  <c r="B3" i="19"/>
  <c r="B7" i="19" s="1"/>
  <c r="C5" i="19" l="1"/>
  <c r="C4" i="19"/>
  <c r="C6" i="19"/>
  <c r="D6" i="19" s="1"/>
  <c r="D5" i="19"/>
  <c r="D4" i="19"/>
  <c r="C3" i="19"/>
  <c r="C7" i="19" s="1"/>
  <c r="A31" i="2"/>
  <c r="A119" i="2"/>
  <c r="A299" i="2"/>
  <c r="A286" i="2"/>
  <c r="B299" i="2"/>
  <c r="B257" i="2"/>
  <c r="B256" i="2"/>
  <c r="A257" i="2"/>
  <c r="A256" i="2"/>
  <c r="A246" i="2"/>
  <c r="I257" i="2"/>
  <c r="A127" i="2"/>
  <c r="B130" i="2"/>
  <c r="A130" i="2" s="1"/>
  <c r="A129" i="2"/>
  <c r="A126" i="2"/>
  <c r="D3" i="19" l="1"/>
  <c r="A300" i="2"/>
  <c r="A260" i="2"/>
  <c r="A140" i="2"/>
  <c r="A14" i="2"/>
  <c r="A15" i="2"/>
  <c r="B299" i="13" l="1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P32" i="18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D74" i="1" l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A66" i="2" l="1"/>
  <c r="A66" i="3" s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2"/>
  <c r="A79" i="3" s="1"/>
  <c r="A79" i="4" s="1"/>
  <c r="A79" i="5" s="1"/>
  <c r="A80" i="5" l="1"/>
  <c r="A79" i="6"/>
  <c r="A80" i="2"/>
  <c r="D75" i="1"/>
  <c r="D76" i="1" s="1"/>
  <c r="A79" i="7" l="1"/>
  <c r="A80" i="6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BJ32" i="1" l="1"/>
  <c r="A300" i="9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286" i="13"/>
  <c r="A300" i="13" s="1"/>
  <c r="M11" i="14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<sst xmlns="http://schemas.openxmlformats.org/spreadsheetml/2006/main" count="5768" uniqueCount="866">
  <si>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</si>
  <si>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</si>
  <si>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</si>
  <si>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</si>
  <si>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</si>
  <si>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</si>
  <si>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</si>
  <si>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</si>
  <si>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</si>
  <si>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</si>
  <si>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</si>
  <si>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</si>
  <si>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</si>
  <si>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</si>
  <si>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</si>
  <si>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</si>
  <si>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</si>
  <si>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</si>
  <si>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</si>
  <si>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</si>
  <si>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</si>
  <si>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</si>
  <si>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</si>
  <si>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</si>
  <si>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</si>
  <si>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</si>
  <si>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</si>
  <si>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</si>
  <si>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</si>
  <si>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</si>
  <si>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</si>
  <si>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</si>
  <si>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</si>
  <si>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</si>
  <si>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</si>
  <si>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</si>
  <si>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</si>
  <si>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</si>
  <si>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</si>
  <si>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</si>
  <si>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</si>
  <si>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</si>
  <si>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</si>
  <si>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</si>
  <si>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</si>
  <si>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</si>
  <si>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</si>
  <si>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</si>
  <si>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</si>
  <si>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</si>
  <si>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</si>
  <si>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</si>
  <si>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</si>
  <si>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</si>
  <si>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</si>
  <si>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</si>
  <si>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</si>
  <si>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</si>
  <si>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</si>
  <si>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</si>
  <si>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</si>
  <si>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</si>
  <si>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</si>
  <si>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</si>
  <si>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</si>
  <si>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</si>
  <si>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</si>
  <si>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</si>
  <si>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</si>
  <si>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</si>
  <si>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</si>
  <si>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</si>
  <si>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</si>
  <si>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</si>
  <si>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</si>
  <si>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</si>
  <si>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</si>
  <si>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</si>
  <si>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</si>
  <si>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</si>
  <si>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</si>
  <si>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</si>
  <si>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</si>
  <si>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</si>
  <si>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</si>
  <si>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</si>
  <si>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</si>
  <si>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</si>
  <si>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</si>
  <si>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</si>
  <si>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</si>
  <si>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</si>
  <si>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</si>
  <si>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</si>
  <si>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</si>
  <si>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</si>
  <si>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</si>
  <si>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</si>
  <si>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</si>
  <si>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</si>
  <si>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</si>
  <si>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</si>
  <si>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</si>
  <si>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</si>
  <si>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</si>
  <si>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</si>
  <si>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</si>
  <si>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</si>
  <si>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</si>
  <si>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</si>
  <si>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</si>
  <si>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</si>
  <si>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</si>
  <si>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</si>
  <si>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</si>
  <si>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</si>
  <si>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</si>
  <si>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</si>
  <si>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</si>
  <si>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</si>
  <si>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</si>
  <si>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</si>
  <si>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</si>
  <si>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</si>
  <si>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</si>
  <si>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</si>
  <si>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</si>
  <si>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</si>
  <si>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</si>
  <si>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</si>
  <si>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</si>
  <si>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</si>
  <si>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</si>
  <si>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</si>
  <si>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</si>
  <si>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</si>
  <si>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</si>
  <si>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</si>
  <si>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</si>
  <si>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</si>
  <si>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</si>
  <si>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</si>
  <si>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</si>
  <si>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</si>
  <si>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</si>
  <si>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</si>
  <si>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</si>
  <si>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</si>
  <si>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</si>
  <si>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</si>
  <si>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</si>
  <si>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</si>
  <si>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</si>
  <si>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</si>
  <si>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</si>
  <si>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</si>
  <si>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</si>
  <si>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</si>
  <si>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</si>
  <si>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</si>
  <si>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</si>
  <si>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</si>
  <si>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</si>
  <si>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</si>
  <si>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</si>
  <si>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</si>
  <si>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</si>
  <si>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</si>
  <si>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</si>
  <si>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</si>
  <si>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</si>
  <si>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</si>
  <si>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</si>
  <si>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</si>
  <si>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</si>
  <si>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</si>
  <si>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</si>
  <si>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</si>
  <si>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</si>
  <si>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</si>
  <si>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</si>
  <si>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</si>
  <si>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</si>
  <si>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</si>
  <si>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</si>
  <si>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</si>
  <si>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</si>
  <si>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</si>
  <si>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</si>
  <si>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</si>
  <si>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</si>
  <si>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</si>
  <si>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</si>
  <si>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</si>
  <si>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</si>
  <si>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</si>
  <si>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</si>
  <si>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</si>
  <si>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</si>
  <si>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</si>
  <si>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</si>
  <si>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</si>
  <si>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</si>
  <si>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</si>
  <si>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</si>
  <si>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</si>
  <si>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</si>
  <si>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</si>
  <si>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</si>
  <si>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</si>
  <si>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</si>
  <si>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</si>
  <si>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</si>
  <si>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</si>
  <si>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</si>
  <si>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</si>
  <si>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</si>
  <si>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</si>
  <si>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</si>
  <si>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</si>
  <si>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</si>
  <si>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</si>
  <si>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</si>
  <si>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</si>
  <si>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</si>
  <si>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</si>
  <si>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</si>
  <si>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</si>
  <si>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</si>
  <si>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</si>
  <si>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Gb/dia</t>
  </si>
  <si>
    <t>dias</t>
  </si>
  <si>
    <t>allocations familier</t>
  </si>
  <si>
    <t>363-1450507-09-0 Custodia</t>
  </si>
  <si>
    <t>Fontanero</t>
  </si>
  <si>
    <t>01/02 Pescaderia Yasmina</t>
  </si>
  <si>
    <t>01/02 Colruyt</t>
  </si>
  <si>
    <t>Amotizacion de capital</t>
  </si>
  <si>
    <t>Fecha Ultima Cuota: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</si>
  <si>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</si>
  <si>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</si>
  <si>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</si>
  <si>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</si>
  <si>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</si>
  <si>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</si>
  <si>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</si>
  <si>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</si>
  <si>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</si>
  <si>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</si>
  <si>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</si>
  <si>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>06/02 sequoia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</si>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</sst>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0" zoomScaleNormal="100" workbookViewId="0">
      <pane xSplit="1" topLeftCell="B1" activePane="topRight" state="frozen"/>
      <selection pane="topRight" activeCell="C20" sqref="C2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69</v>
      </c>
      <c r="T4" s="354"/>
      <c r="U4" s="354"/>
      <c r="V4" s="355"/>
      <c r="W4" s="353" t="s">
        <v>68</v>
      </c>
      <c r="X4" s="354"/>
      <c r="Y4" s="354"/>
      <c r="Z4" s="355"/>
      <c r="AA4" s="353" t="s">
        <v>70</v>
      </c>
      <c r="AB4" s="354"/>
      <c r="AC4" s="354"/>
      <c r="AD4" s="355"/>
      <c r="AE4" s="353" t="s">
        <v>71</v>
      </c>
      <c r="AF4" s="354"/>
      <c r="AG4" s="354"/>
      <c r="AH4" s="355"/>
      <c r="AI4" s="353" t="s">
        <v>73</v>
      </c>
      <c r="AJ4" s="354"/>
      <c r="AK4" s="354"/>
      <c r="AL4" s="355"/>
      <c r="AM4" s="353" t="s">
        <v>75</v>
      </c>
      <c r="AN4" s="354"/>
      <c r="AO4" s="354"/>
      <c r="AP4" s="355"/>
      <c r="AQ4" s="353" t="s">
        <v>77</v>
      </c>
      <c r="AR4" s="354"/>
      <c r="AS4" s="354"/>
      <c r="AT4" s="355"/>
      <c r="AU4" s="353" t="s">
        <v>82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0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30103.380000000005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59" t="s">
        <v>223</v>
      </c>
      <c r="D7" s="360"/>
      <c r="E7" s="360"/>
      <c r="F7" s="361"/>
      <c r="G7" s="359" t="s">
        <v>223</v>
      </c>
      <c r="H7" s="360"/>
      <c r="I7" s="360"/>
      <c r="J7" s="361"/>
      <c r="K7" s="359" t="s">
        <v>223</v>
      </c>
      <c r="L7" s="360"/>
      <c r="M7" s="360"/>
      <c r="N7" s="361"/>
      <c r="O7" s="359" t="s">
        <v>223</v>
      </c>
      <c r="P7" s="360"/>
      <c r="Q7" s="360"/>
      <c r="R7" s="361"/>
      <c r="S7" s="359" t="s">
        <v>223</v>
      </c>
      <c r="T7" s="360"/>
      <c r="U7" s="360"/>
      <c r="V7" s="361"/>
      <c r="W7" s="359" t="s">
        <v>223</v>
      </c>
      <c r="X7" s="360"/>
      <c r="Y7" s="360"/>
      <c r="Z7" s="361"/>
      <c r="AA7" s="359" t="s">
        <v>223</v>
      </c>
      <c r="AB7" s="360"/>
      <c r="AC7" s="360"/>
      <c r="AD7" s="361"/>
      <c r="AE7" s="359" t="s">
        <v>223</v>
      </c>
      <c r="AF7" s="360"/>
      <c r="AG7" s="360"/>
      <c r="AH7" s="361"/>
      <c r="AI7" s="359" t="s">
        <v>223</v>
      </c>
      <c r="AJ7" s="360"/>
      <c r="AK7" s="360"/>
      <c r="AL7" s="361"/>
      <c r="AM7" s="359" t="s">
        <v>223</v>
      </c>
      <c r="AN7" s="360"/>
      <c r="AO7" s="360"/>
      <c r="AP7" s="361"/>
      <c r="AQ7" s="359" t="s">
        <v>223</v>
      </c>
      <c r="AR7" s="360"/>
      <c r="AS7" s="360"/>
      <c r="AT7" s="361"/>
      <c r="AU7" s="359" t="s">
        <v>223</v>
      </c>
      <c r="AV7" s="360"/>
      <c r="AW7" s="360"/>
      <c r="AX7" s="361"/>
      <c r="AZ7" s="9" t="s">
        <v>225</v>
      </c>
      <c r="BA7" s="13" t="s">
        <v>185</v>
      </c>
      <c r="BB7" s="1"/>
      <c r="BC7" s="1"/>
    </row>
    <row r="8" spans="1:55" ht="15.75">
      <c r="A8" s="206" t="s">
        <v>206</v>
      </c>
      <c r="B8" s="192">
        <v>33389.54</v>
      </c>
      <c r="C8" s="341">
        <f>SUM('01'!L25:'01'!L29)</f>
        <v>0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2588.0700000000002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27632.899999999998</v>
      </c>
      <c r="BA8" s="112">
        <f t="shared" ref="BA8:BA16" ca="1" si="0">AZ8/BC$17</f>
        <v>2302.7416666666663</v>
      </c>
      <c r="BB8" s="1"/>
      <c r="BC8" s="1"/>
    </row>
    <row r="9" spans="1:55" ht="15.75">
      <c r="A9" s="189" t="s">
        <v>207</v>
      </c>
      <c r="B9" s="193">
        <v>5835.74</v>
      </c>
      <c r="C9" s="344">
        <f>SUM('01'!L30:'01'!L34)</f>
        <v>0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302.78999999999996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5608.6400000000012</v>
      </c>
      <c r="BA9" s="112">
        <f t="shared" ca="1" si="0"/>
        <v>467.38666666666677</v>
      </c>
      <c r="BB9" s="1"/>
      <c r="BC9" s="1"/>
    </row>
    <row r="10" spans="1:55" ht="15.75">
      <c r="A10" s="190" t="s">
        <v>212</v>
      </c>
      <c r="B10" s="194">
        <v>2731.18</v>
      </c>
      <c r="C10" s="344">
        <f>SUM('01'!L35:'01'!L39)</f>
        <v>0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1035.6600000000001</v>
      </c>
      <c r="BA10" s="112">
        <f t="shared" ca="1" si="0"/>
        <v>86.305000000000007</v>
      </c>
      <c r="BB10" s="1"/>
      <c r="BC10" s="1"/>
    </row>
    <row r="11" spans="1:55" ht="15.75">
      <c r="A11" s="189" t="s">
        <v>208</v>
      </c>
      <c r="B11" s="193">
        <v>2906.88</v>
      </c>
      <c r="C11" s="344">
        <f>SUM('01'!L40:'01'!L44)</f>
        <v>0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42.84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499.28</v>
      </c>
      <c r="BA11" s="112">
        <f t="shared" ca="1" si="0"/>
        <v>41.606666666666662</v>
      </c>
      <c r="BB11" s="1"/>
      <c r="BC11" s="1"/>
    </row>
    <row r="12" spans="1:55" ht="15.75">
      <c r="A12" s="190" t="s">
        <v>22</v>
      </c>
      <c r="B12" s="194">
        <v>3325.31</v>
      </c>
      <c r="C12" s="344">
        <f>SUM('01'!L45:'01'!L49)</f>
        <v>0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430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2075.4300000000003</v>
      </c>
      <c r="BA12" s="112">
        <f t="shared" ca="1" si="0"/>
        <v>172.95250000000001</v>
      </c>
      <c r="BB12" s="1"/>
      <c r="BC12" s="1"/>
    </row>
    <row r="13" spans="1:55" ht="15.75">
      <c r="A13" s="189" t="s">
        <v>209</v>
      </c>
      <c r="B13" s="195">
        <v>3443.8099999999995</v>
      </c>
      <c r="C13" s="344">
        <f>SUM('01'!L50:'01'!L54)</f>
        <v>0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95.8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6377.7000000000007</v>
      </c>
      <c r="BA13" s="112">
        <f t="shared" ca="1" si="0"/>
        <v>531.47500000000002</v>
      </c>
      <c r="BB13" s="1"/>
      <c r="BC13" s="1"/>
    </row>
    <row r="14" spans="1:55" ht="15.75">
      <c r="A14" s="190" t="s">
        <v>210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393.02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594.04999999999995</v>
      </c>
      <c r="BA14" s="112">
        <f t="shared" ca="1" si="0"/>
        <v>49.504166666666663</v>
      </c>
      <c r="BB14" s="3"/>
      <c r="BC14" s="3"/>
    </row>
    <row r="15" spans="1:55" ht="15.75">
      <c r="A15" s="189" t="s">
        <v>211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647.88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6135.670000000001</v>
      </c>
      <c r="BA15" s="112">
        <f t="shared" ca="1" si="0"/>
        <v>511.3058333333334</v>
      </c>
      <c r="BB15" s="1"/>
      <c r="BC15" s="1"/>
    </row>
    <row r="16" spans="1:55" ht="16.5" thickBot="1">
      <c r="A16" s="191" t="s">
        <v>40</v>
      </c>
      <c r="B16" s="196">
        <v>2018.96</v>
      </c>
      <c r="C16" s="344">
        <f>SUM('01'!L65:'01'!L69)</f>
        <v>0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0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4500.4000000000005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49959.33</v>
      </c>
      <c r="BA17" s="112">
        <f ca="1">AZ17/BC$17</f>
        <v>4163.2775000000001</v>
      </c>
      <c r="BB17" s="1" t="s">
        <v>81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171</v>
      </c>
      <c r="AV18" s="367"/>
      <c r="AW18" s="367"/>
      <c r="AX18" s="367"/>
      <c r="AZ18" s="131">
        <f>(2500*13)+(600*12)+(550*12)+(95*12)</f>
        <v>47440</v>
      </c>
      <c r="BA18" s="131">
        <f ca="1">12*BA17</f>
        <v>49959.33</v>
      </c>
      <c r="BB18" s="1"/>
      <c r="BC18" s="1"/>
    </row>
    <row r="19" spans="1:62" ht="17.25" thickTop="1" thickBot="1">
      <c r="A19" s="24" t="s">
        <v>7</v>
      </c>
      <c r="B19" s="24" t="s">
        <v>204</v>
      </c>
      <c r="C19" s="178" t="s">
        <v>52</v>
      </c>
      <c r="D19" s="179" t="s">
        <v>205</v>
      </c>
      <c r="E19" s="179" t="s">
        <v>9</v>
      </c>
      <c r="F19" s="180" t="s">
        <v>10</v>
      </c>
      <c r="G19" s="178" t="s">
        <v>52</v>
      </c>
      <c r="H19" s="179" t="s">
        <v>205</v>
      </c>
      <c r="I19" s="179" t="s">
        <v>9</v>
      </c>
      <c r="J19" s="180" t="s">
        <v>10</v>
      </c>
      <c r="K19" s="178" t="s">
        <v>52</v>
      </c>
      <c r="L19" s="179" t="s">
        <v>205</v>
      </c>
      <c r="M19" s="179" t="s">
        <v>9</v>
      </c>
      <c r="N19" s="180" t="s">
        <v>10</v>
      </c>
      <c r="O19" s="178" t="s">
        <v>52</v>
      </c>
      <c r="P19" s="179" t="s">
        <v>205</v>
      </c>
      <c r="Q19" s="179" t="s">
        <v>9</v>
      </c>
      <c r="R19" s="180" t="s">
        <v>10</v>
      </c>
      <c r="S19" s="178" t="s">
        <v>52</v>
      </c>
      <c r="T19" s="179" t="s">
        <v>205</v>
      </c>
      <c r="U19" s="179" t="s">
        <v>9</v>
      </c>
      <c r="V19" s="180" t="s">
        <v>10</v>
      </c>
      <c r="W19" s="178" t="s">
        <v>52</v>
      </c>
      <c r="X19" s="179" t="s">
        <v>205</v>
      </c>
      <c r="Y19" s="179" t="s">
        <v>9</v>
      </c>
      <c r="Z19" s="180" t="s">
        <v>10</v>
      </c>
      <c r="AA19" s="178" t="s">
        <v>52</v>
      </c>
      <c r="AB19" s="179" t="s">
        <v>205</v>
      </c>
      <c r="AC19" s="179" t="s">
        <v>9</v>
      </c>
      <c r="AD19" s="180" t="s">
        <v>10</v>
      </c>
      <c r="AE19" s="178" t="s">
        <v>52</v>
      </c>
      <c r="AF19" s="179" t="s">
        <v>205</v>
      </c>
      <c r="AG19" s="179" t="s">
        <v>9</v>
      </c>
      <c r="AH19" s="180" t="s">
        <v>10</v>
      </c>
      <c r="AI19" s="178" t="s">
        <v>52</v>
      </c>
      <c r="AJ19" s="179" t="s">
        <v>205</v>
      </c>
      <c r="AK19" s="179" t="s">
        <v>9</v>
      </c>
      <c r="AL19" s="180" t="s">
        <v>10</v>
      </c>
      <c r="AM19" s="178" t="s">
        <v>52</v>
      </c>
      <c r="AN19" s="179" t="s">
        <v>205</v>
      </c>
      <c r="AO19" s="179" t="s">
        <v>9</v>
      </c>
      <c r="AP19" s="180" t="s">
        <v>10</v>
      </c>
      <c r="AQ19" s="178" t="s">
        <v>52</v>
      </c>
      <c r="AR19" s="179" t="s">
        <v>205</v>
      </c>
      <c r="AS19" s="179" t="s">
        <v>9</v>
      </c>
      <c r="AT19" s="180" t="s">
        <v>10</v>
      </c>
      <c r="AU19" s="178" t="s">
        <v>52</v>
      </c>
      <c r="AV19" s="179" t="s">
        <v>205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186</v>
      </c>
      <c r="BF19" s="13" t="s">
        <v>189</v>
      </c>
      <c r="BG19" s="13" t="s">
        <v>187</v>
      </c>
      <c r="BH19" s="13" t="s">
        <v>188</v>
      </c>
      <c r="BJ19" s="12" t="s">
        <v>224</v>
      </c>
    </row>
    <row r="20" spans="1:62" ht="15.75">
      <c r="A20" s="141" t="s">
        <v>858</v>
      </c>
      <c r="B20" s="142">
        <v>448.77999999999963</v>
      </c>
      <c r="C20" s="143" t="s">
        <v>0</v>
      </c>
      <c r="D20" s="144">
        <f>'01'!B20</f>
        <v>586.53</v>
      </c>
      <c r="E20" s="144">
        <f>SUM('01'!D20:F20)</f>
        <v>0</v>
      </c>
      <c r="F20" s="145">
        <f t="shared" ref="F20:F45" si="2">B20+D20-E20</f>
        <v>1035.3099999999995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995.1599999999994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393.9099999999994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390.14999999999941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591.26999999999953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590.9399999999996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788.72999999999956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783.64999999999964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986.00999999999965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961.8099999999996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1522.6399999999994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1764.7799999999993</v>
      </c>
      <c r="AZ20" s="123">
        <f t="shared" ref="AZ20:AZ27" si="14">E20+I20+M20+Q20+U20+Y20+AC20+AG20+AK20+AO20+AS20+AW20</f>
        <v>5282.4199999999992</v>
      </c>
      <c r="BA20" s="21">
        <f t="shared" ref="BA20:BA45" si="15">AZ20/AZ$46</f>
        <v>0.1216518183566335</v>
      </c>
      <c r="BB20" s="22">
        <f>_xlfn.RANK.EQ(BA20,$BA$20:$BA$45,)</f>
        <v>2</v>
      </c>
      <c r="BC20" s="22">
        <f t="shared" ref="BC20:BC45" ca="1" si="16">AZ20/BC$17</f>
        <v>440.2016666666666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6598.420000000001</v>
      </c>
      <c r="BF20" s="21">
        <f t="shared" ref="BF20:BF45" ca="1" si="18">BE20/BE$46</f>
        <v>0.13228095958915376</v>
      </c>
      <c r="BG20" s="22">
        <f ca="1">_xlfn.RANK.EQ(BF20,$BF$20:$BF$45,)</f>
        <v>2</v>
      </c>
      <c r="BH20" s="22">
        <f t="shared" ref="BH20:BH45" ca="1" si="19">BE20/BC$17</f>
        <v>549.86833333333345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1315.9999999999995</v>
      </c>
    </row>
    <row r="21" spans="1:62" ht="15.75">
      <c r="A21" s="146" t="s">
        <v>47</v>
      </c>
      <c r="B21" s="147">
        <v>652.85999999999967</v>
      </c>
      <c r="C21" s="148" t="s">
        <v>0</v>
      </c>
      <c r="D21" s="149">
        <f>'01'!B40</f>
        <v>1163</v>
      </c>
      <c r="E21" s="150">
        <f>SUM('01'!D40:F40)</f>
        <v>0</v>
      </c>
      <c r="F21" s="151">
        <f t="shared" si="2"/>
        <v>1815.8599999999997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1858.9099999999996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1491.6799999999998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1535.7399999999998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1411.9799999999998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1456.0399999999995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1500.0999999999995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1439.9699999999993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1484.0299999999993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1423.8999999999992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1467.2899999999993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2620.2899999999991</v>
      </c>
      <c r="AZ21" s="152">
        <f t="shared" si="14"/>
        <v>11788.57</v>
      </c>
      <c r="BA21" s="21">
        <f t="shared" si="15"/>
        <v>0.27148560249364101</v>
      </c>
      <c r="BB21" s="22">
        <f t="shared" ref="BB21:BB45" si="20">_xlfn.RANK.EQ(BA21,$BA$20:$BA$45,)</f>
        <v>1</v>
      </c>
      <c r="BC21" s="22">
        <f t="shared" ca="1" si="16"/>
        <v>982.38083333333327</v>
      </c>
      <c r="BE21" s="224">
        <f t="shared" ca="1" si="17"/>
        <v>13756</v>
      </c>
      <c r="BF21" s="21">
        <f t="shared" ca="1" si="18"/>
        <v>0.27577160594633243</v>
      </c>
      <c r="BG21" s="22">
        <f t="shared" ref="BG21:BG45" ca="1" si="21">_xlfn.RANK.EQ(BF21,$BF$20:$BF$45,)</f>
        <v>1</v>
      </c>
      <c r="BH21" s="22">
        <f t="shared" ca="1" si="19"/>
        <v>1146.3333333333333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1967.4299999999994</v>
      </c>
    </row>
    <row r="22" spans="1:62" ht="15.75">
      <c r="A22" s="153" t="s">
        <v>859</v>
      </c>
      <c r="B22" s="154">
        <v>246.07000000000016</v>
      </c>
      <c r="C22" s="143" t="s">
        <v>0</v>
      </c>
      <c r="D22" s="155">
        <f>'01'!B60</f>
        <v>315</v>
      </c>
      <c r="E22" s="155">
        <f>SUM('01'!D60:F60)</f>
        <v>0</v>
      </c>
      <c r="F22" s="156">
        <f t="shared" si="2"/>
        <v>561.07000000000016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614.81000000000017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708.93000000000006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867.5200000000001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836.26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843.04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843.04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843.03999999999974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858.33999999999969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831.12999999999965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734.92999999999961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1049.9299999999996</v>
      </c>
      <c r="AZ22" s="157">
        <f t="shared" si="14"/>
        <v>2842.37</v>
      </c>
      <c r="BA22" s="21">
        <f t="shared" si="15"/>
        <v>6.5458535849543281E-2</v>
      </c>
      <c r="BB22" s="22">
        <f t="shared" si="20"/>
        <v>6</v>
      </c>
      <c r="BC22" s="22">
        <f t="shared" ca="1" si="16"/>
        <v>236.86416666666665</v>
      </c>
      <c r="BE22" s="225">
        <f t="shared" ca="1" si="17"/>
        <v>3646.23</v>
      </c>
      <c r="BF22" s="21">
        <f t="shared" ca="1" si="18"/>
        <v>7.3097317734057546E-2</v>
      </c>
      <c r="BG22" s="22">
        <f t="shared" ca="1" si="21"/>
        <v>6</v>
      </c>
      <c r="BH22" s="22">
        <f t="shared" ca="1" si="19"/>
        <v>303.85250000000002</v>
      </c>
      <c r="BJ22" s="225">
        <f t="shared" ca="1" si="22"/>
        <v>803.85999999999945</v>
      </c>
    </row>
    <row r="23" spans="1:62" ht="15.75">
      <c r="A23" s="146" t="s">
        <v>15</v>
      </c>
      <c r="B23" s="147">
        <v>42.130000000000024</v>
      </c>
      <c r="C23" s="148" t="s">
        <v>0</v>
      </c>
      <c r="D23" s="149">
        <f>'01'!B80</f>
        <v>185</v>
      </c>
      <c r="E23" s="150">
        <f>SUM('01'!D80:F80)</f>
        <v>0</v>
      </c>
      <c r="F23" s="151">
        <f t="shared" si="2"/>
        <v>227.13000000000002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231.49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254.97000000000003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323.97000000000003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281.12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283.47000000000003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311.27000000000004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304.62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311.71999999999997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328.34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360.13999999999993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545.13999999999987</v>
      </c>
      <c r="AZ23" s="152">
        <f t="shared" si="14"/>
        <v>1791.99</v>
      </c>
      <c r="BA23" s="21">
        <f t="shared" si="15"/>
        <v>4.1268744624036652E-2</v>
      </c>
      <c r="BB23" s="22">
        <f t="shared" si="20"/>
        <v>8</v>
      </c>
      <c r="BC23" s="22">
        <f t="shared" ca="1" si="16"/>
        <v>149.33250000000001</v>
      </c>
      <c r="BE23" s="224">
        <f t="shared" ca="1" si="17"/>
        <v>2295</v>
      </c>
      <c r="BF23" s="21">
        <f t="shared" ca="1" si="18"/>
        <v>4.6008711518379826E-2</v>
      </c>
      <c r="BG23" s="22">
        <f t="shared" ca="1" si="21"/>
        <v>9</v>
      </c>
      <c r="BH23" s="22">
        <f t="shared" ca="1" si="19"/>
        <v>191.25</v>
      </c>
      <c r="BJ23" s="224">
        <f t="shared" ca="1" si="22"/>
        <v>503.00999999999988</v>
      </c>
    </row>
    <row r="24" spans="1:62" ht="15.75">
      <c r="A24" s="153" t="s">
        <v>16</v>
      </c>
      <c r="B24" s="154">
        <v>0</v>
      </c>
      <c r="C24" s="143" t="s">
        <v>0</v>
      </c>
      <c r="D24" s="155">
        <f>'01'!B100</f>
        <v>150</v>
      </c>
      <c r="E24" s="155">
        <f>SUM('01'!D100:F100)</f>
        <v>0</v>
      </c>
      <c r="F24" s="156">
        <f t="shared" si="2"/>
        <v>150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162.84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226.75000000000003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273.36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257.88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225.01999999999998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329.91999999999996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346.09999999999997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341.43999999999994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281.26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387.98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537.98</v>
      </c>
      <c r="AZ24" s="157">
        <f t="shared" si="14"/>
        <v>1362.0200000000002</v>
      </c>
      <c r="BA24" s="21">
        <f t="shared" si="15"/>
        <v>3.1366723895127992E-2</v>
      </c>
      <c r="BB24" s="22">
        <f t="shared" si="20"/>
        <v>10</v>
      </c>
      <c r="BC24" s="22">
        <f t="shared" ca="1" si="16"/>
        <v>113.50166666666668</v>
      </c>
      <c r="BE24" s="225">
        <f t="shared" ca="1" si="17"/>
        <v>1900</v>
      </c>
      <c r="BF24" s="21">
        <f t="shared" ca="1" si="18"/>
        <v>3.8090000821316632E-2</v>
      </c>
      <c r="BG24" s="22">
        <f t="shared" ca="1" si="21"/>
        <v>11</v>
      </c>
      <c r="BH24" s="22">
        <f t="shared" ca="1" si="19"/>
        <v>158.33333333333334</v>
      </c>
      <c r="BJ24" s="225">
        <f t="shared" ca="1" si="22"/>
        <v>537.98</v>
      </c>
    </row>
    <row r="25" spans="1:62" ht="15.75">
      <c r="A25" s="146" t="s">
        <v>48</v>
      </c>
      <c r="B25" s="147">
        <v>3162.5499999999984</v>
      </c>
      <c r="C25" s="148" t="s">
        <v>0</v>
      </c>
      <c r="D25" s="149">
        <f>'01'!B120</f>
        <v>440</v>
      </c>
      <c r="E25" s="150">
        <f>SUM('01'!D120:F120)</f>
        <v>0</v>
      </c>
      <c r="F25" s="151">
        <f t="shared" si="2"/>
        <v>3602.5499999999984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3680.1699999999983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2487.7899999999981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4029.7599999999975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3217.3799999999974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3334.9999999999973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3652.6199999999972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4320.2399999999971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4437.8599999999969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4871.8115974244947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5001.9015974244949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5459.3715974244951</v>
      </c>
      <c r="AZ25" s="152">
        <f t="shared" si="14"/>
        <v>3337.8000000000006</v>
      </c>
      <c r="BA25" s="21">
        <f t="shared" si="15"/>
        <v>7.6868071700238044E-2</v>
      </c>
      <c r="BB25" s="22">
        <f t="shared" si="20"/>
        <v>4</v>
      </c>
      <c r="BC25" s="22">
        <f t="shared" ca="1" si="16"/>
        <v>278.15000000000003</v>
      </c>
      <c r="BE25" s="224">
        <f t="shared" ca="1" si="17"/>
        <v>5634.6215974244988</v>
      </c>
      <c r="BF25" s="21">
        <f t="shared" ca="1" si="18"/>
        <v>0.11295933751247768</v>
      </c>
      <c r="BG25" s="22">
        <f t="shared" ca="1" si="21"/>
        <v>3</v>
      </c>
      <c r="BH25" s="22">
        <f t="shared" ca="1" si="19"/>
        <v>469.5517997853749</v>
      </c>
      <c r="BJ25" s="224">
        <f t="shared" ca="1" si="22"/>
        <v>2296.8215974244968</v>
      </c>
    </row>
    <row r="26" spans="1:62" ht="15.75">
      <c r="A26" s="153" t="s">
        <v>49</v>
      </c>
      <c r="B26" s="154">
        <v>19.539999999999949</v>
      </c>
      <c r="C26" s="143" t="s">
        <v>0</v>
      </c>
      <c r="D26" s="155">
        <f>'01'!B140</f>
        <v>68</v>
      </c>
      <c r="E26" s="155">
        <f>SUM('01'!D140:F140)</f>
        <v>0</v>
      </c>
      <c r="F26" s="156">
        <f t="shared" si="2"/>
        <v>87.539999999999949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80.489999999999952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87.989999999999952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85.499999999999943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103.00999999999993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100.51999999999992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108.02999999999992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105.53999999999991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113.0499999999999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55.559999999999903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63.069999999999901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131.06999999999991</v>
      </c>
      <c r="AZ26" s="157">
        <f t="shared" si="14"/>
        <v>554.92000000000007</v>
      </c>
      <c r="BA26" s="21">
        <f t="shared" si="15"/>
        <v>1.2779564487954968E-2</v>
      </c>
      <c r="BB26" s="22">
        <f t="shared" si="20"/>
        <v>15</v>
      </c>
      <c r="BC26" s="22">
        <f t="shared" ca="1" si="16"/>
        <v>46.243333333333339</v>
      </c>
      <c r="BE26" s="225">
        <f t="shared" ca="1" si="17"/>
        <v>666.45</v>
      </c>
      <c r="BF26" s="21">
        <f t="shared" ca="1" si="18"/>
        <v>1.3360568972298143E-2</v>
      </c>
      <c r="BG26" s="22">
        <f t="shared" ca="1" si="21"/>
        <v>17</v>
      </c>
      <c r="BH26" s="22">
        <f t="shared" ca="1" si="19"/>
        <v>55.537500000000001</v>
      </c>
      <c r="BJ26" s="225">
        <f t="shared" ca="1" si="22"/>
        <v>111.52999999999996</v>
      </c>
    </row>
    <row r="27" spans="1:62" ht="16.5" thickBot="1">
      <c r="A27" s="183" t="s">
        <v>17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353.95000000000005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350.48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296.82000000000005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330.24000000000007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296.37000000000006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253.21000000000006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303.21000000000004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315.92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365.92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369.16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402.58000000000004</v>
      </c>
      <c r="AU27" s="185" t="s">
        <v>82</v>
      </c>
      <c r="AV27" s="186">
        <f>'12'!B160</f>
        <v>50</v>
      </c>
      <c r="AW27" s="186">
        <f>SUM('12'!D160:F160)</f>
        <v>0</v>
      </c>
      <c r="AX27" s="187">
        <f t="shared" si="13"/>
        <v>452.58000000000004</v>
      </c>
      <c r="AZ27" s="188">
        <f t="shared" si="14"/>
        <v>391.37</v>
      </c>
      <c r="BA27" s="21">
        <f t="shared" si="15"/>
        <v>9.0130796396794763E-3</v>
      </c>
      <c r="BB27" s="22">
        <f t="shared" si="20"/>
        <v>18</v>
      </c>
      <c r="BC27" s="22">
        <f t="shared" ca="1" si="16"/>
        <v>32.614166666666669</v>
      </c>
      <c r="BE27" s="224">
        <f t="shared" ca="1" si="17"/>
        <v>540</v>
      </c>
      <c r="BF27" s="21">
        <f t="shared" ca="1" si="18"/>
        <v>1.0825579180795254E-2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148.63</v>
      </c>
    </row>
    <row r="28" spans="1:62" ht="15.75">
      <c r="A28" s="163" t="s">
        <v>18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809.05000000000007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928.54000000000019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1318.5400000000002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627.68000000000018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1677.6800000000003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1877.6800000000003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714.40000000000032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914.40000000000032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1070.4000000000003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1270.4000000000003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1470.4000000000003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1670.4000000000003</v>
      </c>
      <c r="AZ28" s="182">
        <f t="shared" ref="AZ28:AZ45" si="23">E28+I28+M28+Q28+U28+Y28+AC28+AG28+AK28+AO28+AS28+AW28</f>
        <v>3018.6899999999996</v>
      </c>
      <c r="BA28" s="21">
        <f t="shared" si="15"/>
        <v>6.9519108203245097E-2</v>
      </c>
      <c r="BB28" s="22">
        <f t="shared" si="20"/>
        <v>5</v>
      </c>
      <c r="BC28" s="22">
        <f t="shared" ca="1" si="16"/>
        <v>251.55749999999998</v>
      </c>
      <c r="BE28" s="223">
        <f t="shared" ca="1" si="17"/>
        <v>4080.04</v>
      </c>
      <c r="BF28" s="21">
        <f t="shared" ca="1" si="18"/>
        <v>8.1794066816318275E-2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1061.3500000000004</v>
      </c>
    </row>
    <row r="29" spans="1:62" ht="15.75">
      <c r="A29" s="146" t="s">
        <v>19</v>
      </c>
      <c r="B29" s="147">
        <v>-46.669999999999931</v>
      </c>
      <c r="C29" s="148" t="s">
        <v>0</v>
      </c>
      <c r="D29" s="149">
        <f>'01'!B200</f>
        <v>80</v>
      </c>
      <c r="E29" s="150">
        <f>SUM('01'!D200:F200)</f>
        <v>0</v>
      </c>
      <c r="F29" s="160">
        <f t="shared" si="2"/>
        <v>33.330000000000069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88.890000000000072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128.39000000000007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132.40000000000006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158.77000000000007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100.99000000000007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69.950000000000074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89.750000000000071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55.970000000000027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-7.8199999999999932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-1.9799999999999898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103.02000000000001</v>
      </c>
      <c r="AZ29" s="152">
        <f t="shared" si="23"/>
        <v>975.96999999999991</v>
      </c>
      <c r="BA29" s="21">
        <f t="shared" si="15"/>
        <v>2.2476161524741238E-2</v>
      </c>
      <c r="BB29" s="22">
        <f t="shared" si="20"/>
        <v>12</v>
      </c>
      <c r="BC29" s="22">
        <f t="shared" ca="1" si="16"/>
        <v>81.330833333333331</v>
      </c>
      <c r="BE29" s="224">
        <f t="shared" ca="1" si="17"/>
        <v>1125.6600000000001</v>
      </c>
      <c r="BF29" s="21">
        <f t="shared" ca="1" si="18"/>
        <v>2.2566521223433309E-2</v>
      </c>
      <c r="BG29" s="22">
        <f t="shared" ca="1" si="21"/>
        <v>14</v>
      </c>
      <c r="BH29" s="22">
        <f t="shared" ca="1" si="19"/>
        <v>93.805000000000007</v>
      </c>
      <c r="BJ29" s="224">
        <f t="shared" ca="1" si="22"/>
        <v>149.68999999999994</v>
      </c>
    </row>
    <row r="30" spans="1:62" ht="15.75">
      <c r="A30" s="153" t="s">
        <v>20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8.1699999999999733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43.169999999999973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76.039999999999978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76.70999999999998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99.149999999999977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134.14999999999998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92.979999999999976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104.97999999999998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127.47999999999996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138.97999999999996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173.97999999999996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208.97999999999996</v>
      </c>
      <c r="AZ30" s="157">
        <f t="shared" si="23"/>
        <v>224.19</v>
      </c>
      <c r="BA30" s="21">
        <f t="shared" si="15"/>
        <v>5.162997481717408E-3</v>
      </c>
      <c r="BB30" s="22">
        <f t="shared" si="20"/>
        <v>19</v>
      </c>
      <c r="BC30" s="22">
        <f t="shared" ca="1" si="16"/>
        <v>18.682500000000001</v>
      </c>
      <c r="BE30" s="225">
        <f t="shared" ca="1" si="17"/>
        <v>460</v>
      </c>
      <c r="BF30" s="21">
        <f t="shared" ca="1" si="18"/>
        <v>9.2217896725292903E-3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235.81</v>
      </c>
    </row>
    <row r="31" spans="1:62" ht="15.75">
      <c r="A31" s="146" t="s">
        <v>21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96.04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91.56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69.599999999999994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89.6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67.639999999999986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66.659999999999982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65.679999999999978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64.699999999999974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63.71999999999997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62.739999999999966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82.739999999999966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102.73999999999997</v>
      </c>
      <c r="AZ31" s="152">
        <f t="shared" si="23"/>
        <v>213.29999999999995</v>
      </c>
      <c r="BA31" s="21">
        <f t="shared" si="15"/>
        <v>4.912205552657669E-3</v>
      </c>
      <c r="BB31" s="22">
        <f t="shared" si="20"/>
        <v>20</v>
      </c>
      <c r="BC31" s="22">
        <f t="shared" ca="1" si="16"/>
        <v>17.774999999999995</v>
      </c>
      <c r="BE31" s="224">
        <f t="shared" ca="1" si="17"/>
        <v>240</v>
      </c>
      <c r="BF31" s="21">
        <f t="shared" ca="1" si="18"/>
        <v>4.8113685247978908E-3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26.69999999999996</v>
      </c>
    </row>
    <row r="32" spans="1:62" ht="15.75">
      <c r="A32" s="153" t="s">
        <v>150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35.750000000000028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121.75000000000003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206.47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475.6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980.3599999999999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875.04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650.63999999999987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692.86999999999989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536.52999999999975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459.32999999999976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554.3299999999997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804.3299999999997</v>
      </c>
      <c r="AZ32" s="157">
        <f t="shared" si="23"/>
        <v>1763.7500000000002</v>
      </c>
      <c r="BA32" s="21">
        <f t="shared" si="15"/>
        <v>4.0618389796061728E-2</v>
      </c>
      <c r="BB32" s="22">
        <f t="shared" si="20"/>
        <v>9</v>
      </c>
      <c r="BC32" s="22">
        <f t="shared" ca="1" si="16"/>
        <v>146.97916666666669</v>
      </c>
      <c r="BE32" s="225">
        <f t="shared" ca="1" si="17"/>
        <v>2582.33</v>
      </c>
      <c r="BF32" s="21">
        <f t="shared" ca="1" si="18"/>
        <v>5.1768922011005566E-2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818.5799999999997</v>
      </c>
    </row>
    <row r="33" spans="1:62" ht="15.75">
      <c r="A33" s="146" t="s">
        <v>83</v>
      </c>
      <c r="B33" s="147">
        <v>420</v>
      </c>
      <c r="C33" s="148" t="s">
        <v>0</v>
      </c>
      <c r="D33" s="149">
        <f>'01'!B280</f>
        <v>40</v>
      </c>
      <c r="E33" s="150">
        <f>SUM('01'!D280:F280)</f>
        <v>0</v>
      </c>
      <c r="F33" s="160">
        <f t="shared" si="2"/>
        <v>460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426.59000000000003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1120.9299999999998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1160.4799999999998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1117.5899999999997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976.08999999999969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1026.0899999999997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1095.0899999999997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1100.0899999999997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1138.0899999999997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1198.0899999999997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1238.0899999999997</v>
      </c>
      <c r="AZ33" s="152">
        <f t="shared" si="23"/>
        <v>3843.8499999999995</v>
      </c>
      <c r="BA33" s="21">
        <f t="shared" si="15"/>
        <v>8.852218149828027E-2</v>
      </c>
      <c r="BB33" s="22">
        <f t="shared" si="20"/>
        <v>3</v>
      </c>
      <c r="BC33" s="22">
        <f t="shared" ca="1" si="16"/>
        <v>320.32083333333327</v>
      </c>
      <c r="BE33" s="224">
        <f t="shared" ca="1" si="17"/>
        <v>4661.9400000000005</v>
      </c>
      <c r="BF33" s="21">
        <f t="shared" ca="1" si="18"/>
        <v>9.345963075206784E-2</v>
      </c>
      <c r="BG33" s="22">
        <f t="shared" ca="1" si="21"/>
        <v>4</v>
      </c>
      <c r="BH33" s="22">
        <f t="shared" ca="1" si="19"/>
        <v>388.49500000000006</v>
      </c>
      <c r="BJ33" s="224">
        <f t="shared" ca="1" si="22"/>
        <v>818.08999999999969</v>
      </c>
    </row>
    <row r="34" spans="1:62" ht="15.75">
      <c r="A34" s="153" t="s">
        <v>22</v>
      </c>
      <c r="B34" s="154">
        <v>101.59999999999991</v>
      </c>
      <c r="C34" s="143" t="s">
        <v>0</v>
      </c>
      <c r="D34" s="155">
        <f>'01'!B300</f>
        <v>95</v>
      </c>
      <c r="E34" s="155">
        <f>SUM('01'!D300:F300)</f>
        <v>0</v>
      </c>
      <c r="F34" s="161">
        <f t="shared" si="2"/>
        <v>196.59999999999991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286.59999999999991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376.59999999999991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422.59999999999991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186.95999999999987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286.95999999999987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193.69999999999987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269.40999999999985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288.40999999999985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332.50999999999988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422.50999999999988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517.50999999999988</v>
      </c>
      <c r="AZ34" s="152">
        <f t="shared" si="23"/>
        <v>961.5</v>
      </c>
      <c r="BA34" s="21">
        <f t="shared" si="15"/>
        <v>2.2142923764089779E-2</v>
      </c>
      <c r="BB34" s="22">
        <f t="shared" si="20"/>
        <v>13</v>
      </c>
      <c r="BC34" s="22">
        <f t="shared" ca="1" si="16"/>
        <v>80.125</v>
      </c>
      <c r="BE34" s="225">
        <f t="shared" ca="1" si="17"/>
        <v>1377.4099999999999</v>
      </c>
      <c r="BF34" s="21">
        <f t="shared" ca="1" si="18"/>
        <v>2.7613446332257756E-2</v>
      </c>
      <c r="BG34" s="22">
        <f t="shared" ca="1" si="21"/>
        <v>12</v>
      </c>
      <c r="BH34" s="22">
        <f t="shared" ca="1" si="19"/>
        <v>114.78416666666665</v>
      </c>
      <c r="BJ34" s="225">
        <f t="shared" ca="1" si="22"/>
        <v>415.90999999999997</v>
      </c>
    </row>
    <row r="35" spans="1:62" ht="16.5" thickBot="1">
      <c r="A35" s="183" t="s">
        <v>84</v>
      </c>
      <c r="B35" s="184">
        <v>1489.6000000000004</v>
      </c>
      <c r="C35" s="185" t="s">
        <v>0</v>
      </c>
      <c r="D35" s="186">
        <f>'01'!B320</f>
        <v>130</v>
      </c>
      <c r="E35" s="186">
        <f>SUM('01'!D320:F320)</f>
        <v>0</v>
      </c>
      <c r="F35" s="187">
        <f t="shared" si="2"/>
        <v>1619.6000000000004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1755.9900000000005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1744.0100000000004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1716.5900000000004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1843.0800000000004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1820.4800000000005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1864.0100000000004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1906.7900000000004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1840.2800000000004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1522.5900000000004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1576.5600000000004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1706.5600000000004</v>
      </c>
      <c r="AZ35" s="188">
        <f t="shared" si="23"/>
        <v>2177.5700000000002</v>
      </c>
      <c r="BA35" s="21">
        <f t="shared" si="15"/>
        <v>5.0148483100331757E-2</v>
      </c>
      <c r="BB35" s="22">
        <f t="shared" si="20"/>
        <v>7</v>
      </c>
      <c r="BC35" s="22">
        <f t="shared" ca="1" si="16"/>
        <v>181.46416666666667</v>
      </c>
      <c r="BE35" s="224">
        <f t="shared" ca="1" si="17"/>
        <v>2394.5299999999997</v>
      </c>
      <c r="BF35" s="21">
        <f t="shared" ca="1" si="18"/>
        <v>4.8004026140351215E-2</v>
      </c>
      <c r="BG35" s="22">
        <f t="shared" ca="1" si="21"/>
        <v>8</v>
      </c>
      <c r="BH35" s="22">
        <f t="shared" ca="1" si="19"/>
        <v>199.54416666666665</v>
      </c>
      <c r="BJ35" s="224">
        <f t="shared" ca="1" si="22"/>
        <v>216.96000000000004</v>
      </c>
    </row>
    <row r="36" spans="1:62" ht="15.75">
      <c r="A36" s="163" t="s">
        <v>486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190.99000000000007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275.99000000000007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466.90000000000009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556.92000000000007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472.92000000000007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480.92000000000007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655.92000000000007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318.37000000000012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576.49000000000012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661.49000000000012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1166.4900000000002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1256.4900000000002</v>
      </c>
      <c r="AZ36" s="182">
        <f t="shared" si="23"/>
        <v>1013.47</v>
      </c>
      <c r="BA36" s="21">
        <f t="shared" si="15"/>
        <v>2.3339770095883589E-2</v>
      </c>
      <c r="BB36" s="22">
        <f t="shared" si="20"/>
        <v>11</v>
      </c>
      <c r="BC36" s="22">
        <f t="shared" ca="1" si="16"/>
        <v>84.455833333333331</v>
      </c>
      <c r="BE36" s="223">
        <f t="shared" ca="1" si="17"/>
        <v>2168.9700000000003</v>
      </c>
      <c r="BF36" s="21">
        <f t="shared" ca="1" si="18"/>
        <v>4.3482141621795339E-2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1155.5000000000002</v>
      </c>
    </row>
    <row r="37" spans="1:62" ht="15.75">
      <c r="A37" s="146" t="s">
        <v>860</v>
      </c>
      <c r="B37" s="147">
        <v>273.38</v>
      </c>
      <c r="C37" s="148" t="s">
        <v>0</v>
      </c>
      <c r="D37" s="165">
        <f>'01'!B360</f>
        <v>0</v>
      </c>
      <c r="E37" s="165">
        <f>SUM('01'!D360:F360)</f>
        <v>0</v>
      </c>
      <c r="F37" s="151">
        <f t="shared" si="2"/>
        <v>273.38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2.7300000000000182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5.7300000000000182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50.730000000000018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95.730000000000018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180.73000000000002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185.73000000000002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230.73000000000002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275.73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320.73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300.73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345.73</v>
      </c>
      <c r="AZ37" s="152">
        <f t="shared" si="23"/>
        <v>496.95</v>
      </c>
      <c r="BA37" s="21">
        <f t="shared" si="15"/>
        <v>1.1444540784778382E-2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569.29999999999995</v>
      </c>
      <c r="BF37" s="21">
        <f t="shared" ca="1" si="18"/>
        <v>1.1412967088197662E-2</v>
      </c>
      <c r="BG37" s="22">
        <f t="shared" ca="1" si="21"/>
        <v>18</v>
      </c>
      <c r="BH37" s="22">
        <f t="shared" ca="1" si="19"/>
        <v>47.441666666666663</v>
      </c>
      <c r="BJ37" s="224">
        <f t="shared" ca="1" si="22"/>
        <v>72.350000000000023</v>
      </c>
    </row>
    <row r="38" spans="1:62" ht="15.75">
      <c r="A38" s="153" t="s">
        <v>23</v>
      </c>
      <c r="B38" s="154">
        <v>39.200000000000031</v>
      </c>
      <c r="C38" s="143" t="s">
        <v>0</v>
      </c>
      <c r="D38" s="166">
        <f>'01'!B380</f>
        <v>60</v>
      </c>
      <c r="E38" s="166">
        <f>SUM('01'!D380:F380)</f>
        <v>0</v>
      </c>
      <c r="F38" s="156">
        <f t="shared" si="2"/>
        <v>99.200000000000031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62.82000000000005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88.220000000000056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133.92000000000004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121.63000000000005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122.53000000000006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148.93000000000006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177.63000000000005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199.63000000000005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247.13000000000005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229.10000000000005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289.10000000000002</v>
      </c>
      <c r="AZ38" s="157">
        <f t="shared" si="23"/>
        <v>585.1</v>
      </c>
      <c r="BA38" s="21">
        <f t="shared" si="15"/>
        <v>1.3474596666010329E-2</v>
      </c>
      <c r="BB38" s="22">
        <f t="shared" si="20"/>
        <v>14</v>
      </c>
      <c r="BC38" s="22">
        <f t="shared" ca="1" si="16"/>
        <v>48.758333333333333</v>
      </c>
      <c r="BE38" s="225">
        <f t="shared" ca="1" si="17"/>
        <v>835</v>
      </c>
      <c r="BF38" s="21">
        <f t="shared" ca="1" si="18"/>
        <v>1.6739552992525993E-2</v>
      </c>
      <c r="BG38" s="22">
        <f t="shared" ca="1" si="21"/>
        <v>16</v>
      </c>
      <c r="BH38" s="22">
        <f t="shared" ca="1" si="19"/>
        <v>69.583333333333329</v>
      </c>
      <c r="BJ38" s="225">
        <f t="shared" ca="1" si="22"/>
        <v>249.89999999999998</v>
      </c>
    </row>
    <row r="39" spans="1:62" ht="15.75">
      <c r="A39" s="146" t="s">
        <v>24</v>
      </c>
      <c r="B39" s="147">
        <v>1180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1190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1210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-10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1341.26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6.2599999999999909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26.259999999999991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-13.740000000000009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1.2599999999999909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16.259999999999991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1449.2807879809902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1464.2807879809902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1474.2807879809902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5.8995555031019073E-3</v>
      </c>
      <c r="BG39" s="22">
        <f t="shared" ca="1" si="21"/>
        <v>21</v>
      </c>
      <c r="BH39" s="22">
        <f t="shared" ca="1" si="19"/>
        <v>24.523398998415853</v>
      </c>
      <c r="BJ39" s="224">
        <f t="shared" ca="1" si="22"/>
        <v>294.28078798099023</v>
      </c>
    </row>
    <row r="40" spans="1:62" ht="15.75">
      <c r="A40" s="153" t="s">
        <v>50</v>
      </c>
      <c r="B40" s="154">
        <v>804.51000000000045</v>
      </c>
      <c r="C40" s="143" t="s">
        <v>0</v>
      </c>
      <c r="D40" s="166">
        <f>'01'!B420</f>
        <v>50</v>
      </c>
      <c r="E40" s="166">
        <f>SUM('01'!D420:F420)</f>
        <v>0</v>
      </c>
      <c r="F40" s="156">
        <f t="shared" si="2"/>
        <v>854.51000000000045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932.3300000000005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-4.0599999999995475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1095.8200000000006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99.960000000000605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146.98000000000062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44.940000000000623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91.830000000000624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138.74000000000061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1446.7761040380199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1537.3061040380198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1587.3061040380198</v>
      </c>
      <c r="AZ40" s="157">
        <f t="shared" si="23"/>
        <v>136.91000000000003</v>
      </c>
      <c r="BA40" s="21">
        <f t="shared" si="15"/>
        <v>3.1529773193359669E-3</v>
      </c>
      <c r="BB40" s="22">
        <f t="shared" si="20"/>
        <v>22</v>
      </c>
      <c r="BC40" s="22">
        <f t="shared" ca="1" si="16"/>
        <v>11.409166666666669</v>
      </c>
      <c r="BE40" s="225">
        <f t="shared" ca="1" si="17"/>
        <v>919.70610403801925</v>
      </c>
      <c r="BF40" s="21">
        <f t="shared" ca="1" si="18"/>
        <v>1.8437687504304249E-2</v>
      </c>
      <c r="BG40" s="22">
        <f t="shared" ca="1" si="21"/>
        <v>15</v>
      </c>
      <c r="BH40" s="22">
        <f t="shared" ca="1" si="19"/>
        <v>76.642175336501609</v>
      </c>
      <c r="BJ40" s="225">
        <f t="shared" ca="1" si="22"/>
        <v>782.79610403801939</v>
      </c>
    </row>
    <row r="41" spans="1:62" ht="15.75">
      <c r="A41" s="146" t="s">
        <v>25</v>
      </c>
      <c r="B41" s="147">
        <v>8549.9999999999982</v>
      </c>
      <c r="C41" s="148" t="s">
        <v>0</v>
      </c>
      <c r="D41" s="165">
        <f>'01'!B440</f>
        <v>-3900</v>
      </c>
      <c r="E41" s="165">
        <f>SUM('01'!D440:F440)</f>
        <v>0</v>
      </c>
      <c r="F41" s="151">
        <f t="shared" si="2"/>
        <v>4649.9999999999982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4770.0699999999979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4650.9099999999962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4650.909999999998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4651.1899999999996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4650.3600000000006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5115.8100000000004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4814.9100000000017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4814.9100000000017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4777.4500000000016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4414.1100000000015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514.11000000000149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-8035.8899999999976</v>
      </c>
      <c r="BF41" s="21">
        <f t="shared" ca="1" si="18"/>
        <v>-0.16109845089474212</v>
      </c>
      <c r="BG41" s="22">
        <f t="shared" ca="1" si="21"/>
        <v>26</v>
      </c>
      <c r="BH41" s="22">
        <f t="shared" ca="1" si="19"/>
        <v>-669.6574999999998</v>
      </c>
      <c r="BJ41" s="224">
        <f t="shared" ca="1" si="22"/>
        <v>-8035.8899999999967</v>
      </c>
    </row>
    <row r="42" spans="1:62" ht="15" customHeight="1">
      <c r="A42" s="153" t="s">
        <v>153</v>
      </c>
      <c r="B42" s="154">
        <v>6892.12</v>
      </c>
      <c r="C42" s="143" t="s">
        <v>0</v>
      </c>
      <c r="D42" s="166">
        <f>'01'!B460</f>
        <v>0</v>
      </c>
      <c r="E42" s="166">
        <f>SUM('01'!D460:F460)</f>
        <v>0</v>
      </c>
      <c r="F42" s="156">
        <f t="shared" si="2"/>
        <v>6892.12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6892.12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10976.32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6892.12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10936.380000000001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10936.380000000001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10936.380000000001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10936.380000000001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10936.380000000001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6892.1200000000008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6892.1200000000008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6892.1200000000008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24</v>
      </c>
      <c r="BH42" s="22">
        <f t="shared" ca="1" si="19"/>
        <v>0</v>
      </c>
      <c r="BJ42" s="225">
        <f t="shared" ca="1" si="22"/>
        <v>0</v>
      </c>
    </row>
    <row r="43" spans="1:62" ht="15.75">
      <c r="A43" s="162" t="s">
        <v>27</v>
      </c>
      <c r="B43" s="158">
        <v>963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963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700.42000000000007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295.42000000000007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918.61000000000013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518.61000000000013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528.61000000000013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593.61000000000013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108.61000000000013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173.61000000000013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1374.1191905564924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1460.4691905564923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1604.8591905564922</v>
      </c>
      <c r="AZ43" s="152">
        <f t="shared" si="23"/>
        <v>500</v>
      </c>
      <c r="BA43" s="21">
        <f t="shared" si="15"/>
        <v>1.1514780948564628E-2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1141.8591905564922</v>
      </c>
      <c r="BF43" s="21">
        <f t="shared" ca="1" si="18"/>
        <v>2.2891272371644598E-2</v>
      </c>
      <c r="BG43" s="22">
        <f t="shared" ca="1" si="21"/>
        <v>13</v>
      </c>
      <c r="BH43" s="22">
        <f t="shared" ca="1" si="19"/>
        <v>95.154932546374354</v>
      </c>
      <c r="BJ43" s="224">
        <f t="shared" ca="1" si="22"/>
        <v>641.85919055649219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95.92000000000003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100.92000000000003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87.53000000000003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61.590000000000032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61.590000000000032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61.590000000000032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61.590000000000032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61.590000000000032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58.160000000000032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53.160000000000032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-28.819999999999972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-38.819999999999972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-33.819999999999972</v>
      </c>
      <c r="AZ45" s="177">
        <f t="shared" si="23"/>
        <v>159.74</v>
      </c>
      <c r="BA45" s="21">
        <f t="shared" si="15"/>
        <v>3.6787422174474273E-3</v>
      </c>
      <c r="BB45" s="22">
        <f t="shared" si="20"/>
        <v>21</v>
      </c>
      <c r="BC45" s="22">
        <f t="shared" ca="1" si="16"/>
        <v>13.311666666666667</v>
      </c>
      <c r="BE45" s="226">
        <f t="shared" ca="1" si="17"/>
        <v>30</v>
      </c>
      <c r="BF45" s="21">
        <f t="shared" ca="1" si="18"/>
        <v>6.0142106559973635E-4</v>
      </c>
      <c r="BG45" s="22">
        <f t="shared" ca="1" si="21"/>
        <v>23</v>
      </c>
      <c r="BH45" s="22">
        <f t="shared" ca="1" si="19"/>
        <v>2.5</v>
      </c>
      <c r="BJ45" s="226">
        <f t="shared" ca="1" si="22"/>
        <v>-129.74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-77.470000000000255</v>
      </c>
      <c r="E46" s="219">
        <f>SUM(E20:E45)</f>
        <v>0</v>
      </c>
      <c r="F46" s="220">
        <f>SUM(F20:F45)</f>
        <v>26306.069999999996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26651.44999999999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27520.449999999993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28239.779999999992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30090.769999999997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30359.649999999998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30243.54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30334.949999999997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31166.159999999996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31180.067679999993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32842.947679999997</v>
      </c>
      <c r="AU46" s="218"/>
      <c r="AV46" s="219">
        <f>SUM(AV20:AV45)</f>
        <v>-3.4106051316484809E-13</v>
      </c>
      <c r="AW46" s="219">
        <f>SUM(AW20:AW45)</f>
        <v>0</v>
      </c>
      <c r="AX46" s="220">
        <f>SUM(AX20:AX45)</f>
        <v>32842.94767999999</v>
      </c>
      <c r="AZ46" s="227">
        <f>SUM(AZ20:AZ45)</f>
        <v>43422.44999999999</v>
      </c>
      <c r="BA46" s="1"/>
      <c r="BB46" s="1"/>
      <c r="BC46" s="124">
        <f ca="1">SUM(BC20:BC45)</f>
        <v>3618.5374999999995</v>
      </c>
      <c r="BE46" s="227">
        <f ca="1">SUM(BE20:BE45)</f>
        <v>49881.857680000016</v>
      </c>
      <c r="BF46" s="1"/>
      <c r="BG46" s="1"/>
      <c r="BH46" s="124">
        <f ca="1">SUM(BH20:BH45)</f>
        <v>4156.8214733333334</v>
      </c>
      <c r="BJ46" s="227">
        <f ca="1">SUM(BJ20:BJ45)</f>
        <v>6459.4076800000039</v>
      </c>
    </row>
    <row r="47" spans="1:62" s="29" customFormat="1" ht="12.75">
      <c r="A47" s="207" t="s">
        <v>159</v>
      </c>
      <c r="B47" s="125"/>
      <c r="C47" s="125">
        <f>C5-B46</f>
        <v>-26383.539999999994</v>
      </c>
      <c r="D47" s="125">
        <f>C17-D46</f>
        <v>77.470000000000255</v>
      </c>
      <c r="E47" s="125">
        <f>C17-E46</f>
        <v>0</v>
      </c>
      <c r="F47" s="125"/>
      <c r="G47" s="125">
        <f>G5-F46</f>
        <v>-1076.6899999999987</v>
      </c>
      <c r="H47" s="125">
        <f>G17-H46</f>
        <v>0</v>
      </c>
      <c r="I47" s="125">
        <f>G17-I46</f>
        <v>345.38000000000011</v>
      </c>
      <c r="J47" s="125"/>
      <c r="K47" s="125">
        <f>K5-J46</f>
        <v>-1076.6899999999878</v>
      </c>
      <c r="L47" s="125">
        <f>K17-L46</f>
        <v>0</v>
      </c>
      <c r="M47" s="125">
        <f>K17-M46</f>
        <v>868.99999999999818</v>
      </c>
      <c r="N47" s="125"/>
      <c r="O47" s="125">
        <f>O5-N46</f>
        <v>-1076.6899999999951</v>
      </c>
      <c r="P47" s="125">
        <f>O17-P46</f>
        <v>0</v>
      </c>
      <c r="Q47" s="125">
        <f>O17-Q46</f>
        <v>719.33000000000084</v>
      </c>
      <c r="R47" s="125"/>
      <c r="S47" s="125">
        <f>S5-R46</f>
        <v>-1076.6899999999878</v>
      </c>
      <c r="T47" s="125">
        <f>S17-T46</f>
        <v>0</v>
      </c>
      <c r="U47" s="125">
        <f>S17-U46</f>
        <v>1850.9900000000016</v>
      </c>
      <c r="V47" s="125"/>
      <c r="W47" s="125">
        <f>W5-V46</f>
        <v>-1076.6899999999987</v>
      </c>
      <c r="X47" s="125">
        <f>W17-X46</f>
        <v>0</v>
      </c>
      <c r="Y47" s="125">
        <f>W17-Y46</f>
        <v>268.88000000000056</v>
      </c>
      <c r="Z47" s="125"/>
      <c r="AA47" s="125">
        <f>AA5-Z46</f>
        <v>-1076.6899999999987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-1076.6899999999987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-1076.6899999999951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-1076.6899999999951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-1076.6876799999882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-2739.5676799999928</v>
      </c>
      <c r="AV47" s="125">
        <f>AU17-AV46</f>
        <v>3.4106051316484809E-13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192</v>
      </c>
      <c r="AW48" s="5"/>
      <c r="AX48" s="5"/>
      <c r="AZ48" s="112">
        <f>4000*12</f>
        <v>48000</v>
      </c>
      <c r="BA48" s="112"/>
      <c r="BB48" s="1" t="s">
        <v>193</v>
      </c>
      <c r="BC48" s="112">
        <f ca="1">12*BC46</f>
        <v>43422.45</v>
      </c>
    </row>
    <row r="49" spans="1:62">
      <c r="C49" s="38"/>
      <c r="AZ49" s="38"/>
      <c r="BE49" s="111"/>
      <c r="BJ49" s="111"/>
    </row>
    <row r="50" spans="1:62">
      <c r="A50" s="208" t="s">
        <v>152</v>
      </c>
      <c r="B50" s="119"/>
      <c r="C50" s="119"/>
      <c r="D50" s="119"/>
      <c r="E50" s="119">
        <f>E22-121.4+30.35</f>
        <v>-91.050000000000011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331.26</v>
      </c>
      <c r="V50" s="119" t="s">
        <v>527</v>
      </c>
      <c r="W50" s="119"/>
      <c r="X50" s="119"/>
      <c r="Y50" s="119">
        <f>Y22+(N59/2)</f>
        <v>293.22000000000003</v>
      </c>
      <c r="Z50" s="119" t="s">
        <v>569</v>
      </c>
      <c r="AA50" s="119"/>
      <c r="AB50" s="119"/>
      <c r="AC50" s="119">
        <f>AC22</f>
        <v>108.36</v>
      </c>
      <c r="AD50" s="119" t="s">
        <v>642</v>
      </c>
      <c r="AE50" s="119"/>
      <c r="AF50" s="119"/>
      <c r="AG50" s="119">
        <f>AG22</f>
        <v>323.87000000000006</v>
      </c>
      <c r="AH50" s="119" t="s">
        <v>527</v>
      </c>
      <c r="AI50" s="119"/>
      <c r="AJ50" s="119"/>
      <c r="AK50" s="119">
        <f>AK22</f>
        <v>284.70000000000005</v>
      </c>
      <c r="AL50" s="119" t="s">
        <v>527</v>
      </c>
      <c r="AM50" s="119"/>
      <c r="AN50" s="119"/>
      <c r="AO50" s="119">
        <f>AO22</f>
        <v>327.21000000000004</v>
      </c>
      <c r="AP50" s="119" t="s">
        <v>751</v>
      </c>
      <c r="AQ50" s="119"/>
      <c r="AR50" s="119"/>
      <c r="AS50" s="119">
        <f>AS22</f>
        <v>396.2</v>
      </c>
      <c r="AT50" s="119" t="s">
        <v>829</v>
      </c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147</v>
      </c>
      <c r="D52" s="369"/>
      <c r="E52" s="369"/>
      <c r="F52" s="370"/>
      <c r="G52" s="368" t="s">
        <v>147</v>
      </c>
      <c r="H52" s="369"/>
      <c r="I52" s="369"/>
      <c r="J52" s="370"/>
      <c r="K52" s="368" t="s">
        <v>147</v>
      </c>
      <c r="L52" s="369"/>
      <c r="M52" s="369"/>
      <c r="N52" s="370"/>
      <c r="O52" s="368" t="s">
        <v>147</v>
      </c>
      <c r="P52" s="369"/>
      <c r="Q52" s="369"/>
      <c r="R52" s="370"/>
      <c r="S52" s="368" t="s">
        <v>147</v>
      </c>
      <c r="T52" s="369"/>
      <c r="U52" s="369"/>
      <c r="V52" s="370"/>
      <c r="W52" s="368" t="s">
        <v>147</v>
      </c>
      <c r="X52" s="369"/>
      <c r="Y52" s="369"/>
      <c r="Z52" s="370"/>
      <c r="AA52" s="368" t="s">
        <v>147</v>
      </c>
      <c r="AB52" s="369"/>
      <c r="AC52" s="369"/>
      <c r="AD52" s="370"/>
      <c r="AE52" s="368" t="s">
        <v>147</v>
      </c>
      <c r="AF52" s="369"/>
      <c r="AG52" s="369"/>
      <c r="AH52" s="370"/>
      <c r="AI52" s="368" t="s">
        <v>147</v>
      </c>
      <c r="AJ52" s="369"/>
      <c r="AK52" s="369"/>
      <c r="AL52" s="370"/>
      <c r="AM52" s="368" t="s">
        <v>147</v>
      </c>
      <c r="AN52" s="369"/>
      <c r="AO52" s="369"/>
      <c r="AP52" s="370"/>
      <c r="AQ52" s="368" t="s">
        <v>147</v>
      </c>
      <c r="AR52" s="369"/>
      <c r="AS52" s="369"/>
      <c r="AT52" s="370"/>
      <c r="AU52" s="368" t="s">
        <v>147</v>
      </c>
      <c r="AV52" s="369"/>
      <c r="AW52" s="369"/>
      <c r="AX52" s="370"/>
    </row>
    <row r="53" spans="1:62" ht="15.75" thickBot="1">
      <c r="C53" s="93" t="s">
        <v>148</v>
      </c>
      <c r="D53" s="371" t="s">
        <v>29</v>
      </c>
      <c r="E53" s="372"/>
      <c r="F53" s="94" t="s">
        <v>86</v>
      </c>
      <c r="G53" s="93" t="s">
        <v>148</v>
      </c>
      <c r="H53" s="371" t="s">
        <v>29</v>
      </c>
      <c r="I53" s="372"/>
      <c r="J53" s="94" t="s">
        <v>86</v>
      </c>
      <c r="K53" s="93" t="s">
        <v>148</v>
      </c>
      <c r="L53" s="371" t="s">
        <v>29</v>
      </c>
      <c r="M53" s="372"/>
      <c r="N53" s="94" t="s">
        <v>86</v>
      </c>
      <c r="O53" s="93" t="s">
        <v>148</v>
      </c>
      <c r="P53" s="371" t="s">
        <v>29</v>
      </c>
      <c r="Q53" s="372"/>
      <c r="R53" s="94" t="s">
        <v>86</v>
      </c>
      <c r="S53" s="93" t="s">
        <v>148</v>
      </c>
      <c r="T53" s="371" t="s">
        <v>29</v>
      </c>
      <c r="U53" s="372"/>
      <c r="V53" s="94" t="s">
        <v>86</v>
      </c>
      <c r="W53" s="93" t="s">
        <v>148</v>
      </c>
      <c r="X53" s="371" t="s">
        <v>29</v>
      </c>
      <c r="Y53" s="372"/>
      <c r="Z53" s="94" t="s">
        <v>86</v>
      </c>
      <c r="AA53" s="93" t="s">
        <v>148</v>
      </c>
      <c r="AB53" s="371" t="s">
        <v>29</v>
      </c>
      <c r="AC53" s="372"/>
      <c r="AD53" s="94" t="s">
        <v>86</v>
      </c>
      <c r="AE53" s="93" t="s">
        <v>148</v>
      </c>
      <c r="AF53" s="371" t="s">
        <v>29</v>
      </c>
      <c r="AG53" s="372"/>
      <c r="AH53" s="94" t="s">
        <v>86</v>
      </c>
      <c r="AI53" s="93" t="s">
        <v>148</v>
      </c>
      <c r="AJ53" s="371" t="s">
        <v>29</v>
      </c>
      <c r="AK53" s="372"/>
      <c r="AL53" s="94" t="s">
        <v>86</v>
      </c>
      <c r="AM53" s="93" t="s">
        <v>148</v>
      </c>
      <c r="AN53" s="371" t="s">
        <v>29</v>
      </c>
      <c r="AO53" s="372"/>
      <c r="AP53" s="94" t="s">
        <v>86</v>
      </c>
      <c r="AQ53" s="93" t="s">
        <v>148</v>
      </c>
      <c r="AR53" s="371" t="s">
        <v>29</v>
      </c>
      <c r="AS53" s="372"/>
      <c r="AT53" s="94" t="s">
        <v>86</v>
      </c>
      <c r="AU53" s="93" t="s">
        <v>148</v>
      </c>
      <c r="AV53" s="371" t="s">
        <v>29</v>
      </c>
      <c r="AW53" s="372"/>
      <c r="AX53" s="94" t="s">
        <v>86</v>
      </c>
    </row>
    <row r="54" spans="1:62">
      <c r="C54" s="95"/>
      <c r="D54" s="373"/>
      <c r="E54" s="374"/>
      <c r="F54" s="98"/>
      <c r="G54" s="95"/>
      <c r="H54" s="373"/>
      <c r="I54" s="374"/>
      <c r="J54" s="100"/>
      <c r="K54" s="95"/>
      <c r="L54" s="379"/>
      <c r="M54" s="380"/>
      <c r="N54" s="100"/>
      <c r="O54" s="95"/>
      <c r="P54" s="384"/>
      <c r="Q54" s="385"/>
      <c r="R54" s="102"/>
      <c r="S54" s="95"/>
      <c r="T54" s="379"/>
      <c r="U54" s="380"/>
      <c r="V54" s="103"/>
      <c r="W54" s="95"/>
      <c r="X54" s="379"/>
      <c r="Y54" s="380"/>
      <c r="Z54" s="104"/>
      <c r="AA54" s="95"/>
      <c r="AB54" s="386"/>
      <c r="AC54" s="387"/>
      <c r="AD54" s="239"/>
      <c r="AE54" s="95"/>
      <c r="AF54" s="386"/>
      <c r="AG54" s="387"/>
      <c r="AH54" s="239"/>
      <c r="AI54" s="95"/>
      <c r="AJ54" s="386"/>
      <c r="AK54" s="387"/>
      <c r="AL54" s="239"/>
      <c r="AM54" s="95"/>
      <c r="AN54" s="386"/>
      <c r="AO54" s="387"/>
      <c r="AP54" s="239"/>
      <c r="AQ54" s="95"/>
      <c r="AR54" s="386"/>
      <c r="AS54" s="387"/>
      <c r="AT54" s="239"/>
      <c r="AU54" s="95"/>
      <c r="AV54" s="373"/>
      <c r="AW54" s="374"/>
      <c r="AX54" s="100"/>
    </row>
    <row r="55" spans="1:62">
      <c r="C55" s="96"/>
      <c r="D55" s="377"/>
      <c r="E55" s="378"/>
      <c r="F55" s="98"/>
      <c r="G55" s="96"/>
      <c r="H55" s="377"/>
      <c r="I55" s="378"/>
      <c r="J55" s="100"/>
      <c r="K55" s="96"/>
      <c r="L55" s="377"/>
      <c r="M55" s="378"/>
      <c r="N55" s="100"/>
      <c r="O55" s="96"/>
      <c r="P55" s="377"/>
      <c r="Q55" s="378"/>
      <c r="R55" s="100"/>
      <c r="S55" s="96"/>
      <c r="T55" s="377"/>
      <c r="U55" s="378"/>
      <c r="V55" s="100"/>
      <c r="W55" s="96"/>
      <c r="X55" s="377"/>
      <c r="Y55" s="378"/>
      <c r="Z55" s="100"/>
      <c r="AA55" s="96"/>
      <c r="AB55" s="377"/>
      <c r="AC55" s="378"/>
      <c r="AD55" s="100"/>
      <c r="AE55" s="96"/>
      <c r="AF55" s="377"/>
      <c r="AG55" s="378"/>
      <c r="AH55" s="100"/>
      <c r="AI55" s="96"/>
      <c r="AJ55" s="377"/>
      <c r="AK55" s="378"/>
      <c r="AL55" s="100"/>
      <c r="AM55" s="96"/>
      <c r="AN55" s="388"/>
      <c r="AO55" s="389"/>
      <c r="AP55" s="100"/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/>
      <c r="D56" s="377"/>
      <c r="E56" s="378"/>
      <c r="F56" s="98"/>
      <c r="G56" s="96"/>
      <c r="H56" s="377"/>
      <c r="I56" s="378"/>
      <c r="J56" s="100"/>
      <c r="K56" s="96"/>
      <c r="L56" s="377"/>
      <c r="M56" s="378"/>
      <c r="N56" s="100"/>
      <c r="O56" s="96"/>
      <c r="P56" s="386"/>
      <c r="Q56" s="387"/>
      <c r="R56" s="102"/>
      <c r="S56" s="96"/>
      <c r="T56" s="377"/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/>
      <c r="AF56" s="377"/>
      <c r="AG56" s="378"/>
      <c r="AH56" s="100"/>
      <c r="AI56" s="96"/>
      <c r="AJ56" s="388"/>
      <c r="AK56" s="389"/>
      <c r="AL56" s="100"/>
      <c r="AM56" s="96"/>
      <c r="AN56" s="388"/>
      <c r="AO56" s="389"/>
      <c r="AP56" s="100"/>
      <c r="AQ56" s="96"/>
      <c r="AR56" s="377"/>
      <c r="AS56" s="378"/>
      <c r="AT56" s="100"/>
      <c r="AU56" s="96"/>
      <c r="AV56" s="377"/>
      <c r="AW56" s="378"/>
      <c r="AX56" s="100"/>
    </row>
    <row r="57" spans="1:62">
      <c r="C57" s="96"/>
      <c r="D57" s="377"/>
      <c r="E57" s="378"/>
      <c r="F57" s="98"/>
      <c r="G57" s="96"/>
      <c r="H57" s="377"/>
      <c r="I57" s="378"/>
      <c r="J57" s="100"/>
      <c r="K57" s="96"/>
      <c r="L57" s="377"/>
      <c r="M57" s="378"/>
      <c r="N57" s="100"/>
      <c r="O57" s="96"/>
      <c r="P57" s="381"/>
      <c r="Q57" s="382"/>
      <c r="R57" s="100"/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/>
      <c r="AJ57" s="388"/>
      <c r="AK57" s="389"/>
      <c r="AL57" s="100"/>
      <c r="AM57" s="96"/>
      <c r="AN57" s="388"/>
      <c r="AO57" s="389"/>
      <c r="AP57" s="100"/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/>
      <c r="D58" s="377"/>
      <c r="E58" s="378"/>
      <c r="F58" s="98"/>
      <c r="G58" s="96"/>
      <c r="H58" s="377"/>
      <c r="I58" s="378"/>
      <c r="J58" s="100"/>
      <c r="K58" s="96"/>
      <c r="L58" s="377"/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/>
      <c r="AN58" s="388"/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/>
      <c r="D59" s="377"/>
      <c r="E59" s="378"/>
      <c r="F59" s="98"/>
      <c r="G59" s="96"/>
      <c r="H59" s="377"/>
      <c r="I59" s="378"/>
      <c r="J59" s="100"/>
      <c r="K59" s="96"/>
      <c r="L59" s="377"/>
      <c r="M59" s="378"/>
      <c r="N59" s="100"/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/>
      <c r="AO59" s="399"/>
      <c r="AP59" s="100"/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/>
      <c r="D60" s="377"/>
      <c r="E60" s="378"/>
      <c r="F60" s="98"/>
      <c r="G60" s="96"/>
      <c r="H60" s="377"/>
      <c r="I60" s="378"/>
      <c r="J60" s="100"/>
      <c r="K60" s="235"/>
      <c r="L60" s="381"/>
      <c r="M60" s="382"/>
      <c r="N60" s="236"/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/>
      <c r="D61" s="377"/>
      <c r="E61" s="378"/>
      <c r="F61" s="98"/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/>
      <c r="U70" s="378"/>
      <c r="V70" s="100"/>
      <c r="W70" s="96"/>
      <c r="X70" s="377"/>
      <c r="Y70" s="378"/>
      <c r="Z70" s="100"/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/>
      <c r="U71" s="393"/>
      <c r="V71" s="101"/>
      <c r="W71" s="97"/>
      <c r="X71" s="392"/>
      <c r="Y71" s="393"/>
      <c r="Z71" s="101"/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D73">
        <v>71</v>
      </c>
      <c r="L73" s="119"/>
    </row>
    <row r="74" spans="1:50">
      <c r="A74" t="s">
        <v>230</v>
      </c>
      <c r="C74">
        <v>30</v>
      </c>
      <c r="D74">
        <f>100/C74</f>
        <v>3.3333333333333335</v>
      </c>
    </row>
    <row r="75" spans="1:50">
      <c r="A75" t="s">
        <v>231</v>
      </c>
      <c r="C75">
        <v>25</v>
      </c>
      <c r="D75">
        <f>C75*D74</f>
        <v>83.333333333333343</v>
      </c>
      <c r="Z75" s="111"/>
    </row>
    <row r="76" spans="1:50">
      <c r="D76">
        <f>D75-D73</f>
        <v>12.333333333333343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3839.35</v>
      </c>
      <c r="L5" s="431"/>
      <c r="M5" s="1"/>
      <c r="N5" s="1"/>
      <c r="R5" s="3"/>
    </row>
    <row r="6" spans="1:22" ht="15.75">
      <c r="A6" s="112">
        <f>'08'!A6+(B6-SUM(D6:F6))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620.12</v>
      </c>
      <c r="L6" s="415"/>
      <c r="M6" s="1" t="s">
        <v>163</v>
      </c>
      <c r="N6" s="1"/>
      <c r="R6" s="3"/>
    </row>
    <row r="7" spans="1:22" ht="15.75">
      <c r="A7" s="112">
        <f>'08'!A7+(B7-SUM(D7:F7))</f>
        <v>301.39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7236.18</v>
      </c>
      <c r="L7" s="415"/>
      <c r="M7" s="1"/>
      <c r="N7" s="1"/>
      <c r="R7" s="3"/>
    </row>
    <row r="8" spans="1:22" ht="15.75">
      <c r="A8" s="112">
        <f>'08'!A8+(B8-SUM(D8:F8))</f>
        <v>-115.76999999999994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155</v>
      </c>
      <c r="K9" s="414">
        <v>163.63</v>
      </c>
      <c r="L9" s="415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'08'!A11+(B11-SUM(D11:F11))</f>
        <v>30.240000000000002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105+50</f>
        <v>155</v>
      </c>
      <c r="L11" s="415"/>
      <c r="M11" s="1"/>
      <c r="N11" s="1"/>
      <c r="R11" s="3"/>
    </row>
    <row r="12" spans="1:22" ht="15.75">
      <c r="A12" s="112">
        <f>'08'!A12+(B12-SUM(D12:F12))</f>
        <v>244.54000000000002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'08'!A13+(B13-SUM(D13:F13))</f>
        <v>37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29258.260000000002</v>
      </c>
      <c r="L19" s="439"/>
      <c r="M19" s="1"/>
      <c r="N19" s="1"/>
      <c r="R19" s="3"/>
    </row>
    <row r="20" spans="1:18" ht="16.5" thickBot="1">
      <c r="A20" s="112">
        <f>SUM(A6:A15)</f>
        <v>916.66000000000008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'08'!A27+(B27-SUM(D27:F27))</f>
        <v>229.05999999999995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253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 t="s">
        <v>716</v>
      </c>
      <c r="K35" s="423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1474.03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706</v>
      </c>
      <c r="K45" s="423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712</v>
      </c>
      <c r="H46" s="1"/>
      <c r="I46" s="420"/>
      <c r="J46" s="424" t="s">
        <v>748</v>
      </c>
      <c r="K46" s="425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717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703</v>
      </c>
      <c r="D48" s="137">
        <v>67.47</v>
      </c>
      <c r="E48" s="138"/>
      <c r="F48" s="138"/>
      <c r="G48" s="16" t="s">
        <v>721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722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723</v>
      </c>
      <c r="H50" s="1"/>
      <c r="I50" s="419" t="str">
        <f>AÑO!A13</f>
        <v>Gubernamental</v>
      </c>
      <c r="J50" s="422" t="s">
        <v>714</v>
      </c>
      <c r="K50" s="423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731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732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740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715</v>
      </c>
      <c r="K60" s="423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'08'!A66+(B66-SUM(D66:F78))</f>
        <v>219.67000000000007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700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701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710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724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727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72.05</v>
      </c>
      <c r="B79" s="233">
        <f>5+100</f>
        <v>105</v>
      </c>
      <c r="C79" s="17" t="s">
        <v>747</v>
      </c>
      <c r="D79" s="135">
        <v>122.95</v>
      </c>
      <c r="E79" s="139"/>
      <c r="F79" s="139"/>
      <c r="G79" s="17" t="s">
        <v>741</v>
      </c>
      <c r="H79" s="1"/>
      <c r="M79" s="1"/>
      <c r="R79" s="3"/>
    </row>
    <row r="80" spans="1:18" ht="16.5" thickBot="1">
      <c r="A80" s="112">
        <f>SUM(A66:A79)</f>
        <v>291.72000000000008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51.07</v>
      </c>
      <c r="E86" s="138"/>
      <c r="F86" s="138"/>
      <c r="G86" s="16" t="s">
        <v>711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737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D127+D128+'08'!I127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608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/>
      <c r="E186" s="138">
        <f>55.89+95.49</f>
        <v>151.38</v>
      </c>
      <c r="F186" s="138"/>
      <c r="G186" s="16" t="s">
        <v>702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209</v>
      </c>
      <c r="D187" s="137">
        <v>20.98</v>
      </c>
      <c r="E187" s="138"/>
      <c r="F187" s="138"/>
      <c r="G187" s="16" t="s">
        <v>707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729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738</v>
      </c>
      <c r="H189" s="89">
        <f>9.99+8.99+6.99+3.99+7.99</f>
        <v>37.950000000000003</v>
      </c>
      <c r="I189" s="1" t="s">
        <v>736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742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743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746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609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324</v>
      </c>
      <c r="D246" s="137">
        <v>105.14</v>
      </c>
      <c r="E246" s="138"/>
      <c r="F246" s="138"/>
      <c r="G246" s="16" t="s">
        <v>704</v>
      </c>
    </row>
    <row r="247" spans="1:9" ht="15" customHeight="1">
      <c r="A247" s="112"/>
      <c r="B247" s="134">
        <v>343.08</v>
      </c>
      <c r="C247" s="16" t="s">
        <v>209</v>
      </c>
      <c r="D247" s="137">
        <v>203.92</v>
      </c>
      <c r="E247" s="138"/>
      <c r="F247" s="138"/>
      <c r="G247" s="16" t="s">
        <v>728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744</v>
      </c>
      <c r="H248" s="89">
        <f>33.98+1.99</f>
        <v>35.97</v>
      </c>
      <c r="I248" s="89" t="s">
        <v>736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746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653</v>
      </c>
      <c r="D257" s="137"/>
      <c r="E257" s="138">
        <f>100.67+100.67</f>
        <v>201.34</v>
      </c>
      <c r="F257" s="138"/>
      <c r="G257" s="16" t="s">
        <v>327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699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'08'!A286+(SUM(B286:B298)-SUM(D286:F298))</f>
        <v>228.40999999999988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608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726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745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288.40999999999985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/>
      <c r="E306" s="138"/>
      <c r="F306" s="138">
        <v>60</v>
      </c>
      <c r="G306" s="16" t="s">
        <v>719</v>
      </c>
    </row>
    <row r="307" spans="2:7">
      <c r="B307" s="134"/>
      <c r="C307" s="27"/>
      <c r="D307" s="137">
        <v>35.96</v>
      </c>
      <c r="E307" s="138"/>
      <c r="F307" s="138"/>
      <c r="G307" s="16" t="s">
        <v>720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725</v>
      </c>
    </row>
    <row r="309" spans="2:7">
      <c r="B309" s="134"/>
      <c r="C309" s="16"/>
      <c r="D309" s="137"/>
      <c r="E309" s="138"/>
      <c r="F309" s="138">
        <v>60</v>
      </c>
      <c r="G309" s="16" t="s">
        <v>749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705</v>
      </c>
    </row>
    <row r="327" spans="2:9">
      <c r="B327" s="134">
        <v>100</v>
      </c>
      <c r="C327" s="16" t="s">
        <v>706</v>
      </c>
      <c r="D327" s="137">
        <v>15</v>
      </c>
      <c r="E327" s="138"/>
      <c r="F327" s="138"/>
      <c r="G327" s="16" t="s">
        <v>733</v>
      </c>
    </row>
    <row r="328" spans="2:9">
      <c r="B328" s="134">
        <v>155.97</v>
      </c>
      <c r="C328" s="16" t="s">
        <v>209</v>
      </c>
      <c r="D328" s="137"/>
      <c r="E328" s="138">
        <v>46.98</v>
      </c>
      <c r="F328" s="138"/>
      <c r="G328" s="16" t="s">
        <v>746</v>
      </c>
      <c r="H328" s="89">
        <f>9.99+34.99+2</f>
        <v>46.980000000000004</v>
      </c>
      <c r="I328" s="89" t="s">
        <v>736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'08'!A346+(B346-SUM(D346:F357))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708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227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'08'!A467+(B467-SUM(D467:F467))</f>
        <v>-407.79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-789.39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730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4">
        <v>3984.38</v>
      </c>
      <c r="L5" s="415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750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620.12</v>
      </c>
      <c r="L6" s="415"/>
      <c r="M6" s="1" t="s">
        <v>163</v>
      </c>
      <c r="N6" s="1"/>
      <c r="R6" s="3"/>
    </row>
    <row r="7" spans="1:22" ht="15.75">
      <c r="A7" s="112">
        <f>'09'!A7+(B7-SUM(D7:F7))</f>
        <v>368.57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8003.5599999999995</v>
      </c>
      <c r="L7" s="415"/>
      <c r="M7" s="1"/>
      <c r="N7" s="1"/>
      <c r="R7" s="3"/>
    </row>
    <row r="8" spans="1:22" ht="15.75">
      <c r="A8" s="112">
        <f>'09'!A8+(B8-SUM(D8:F8))</f>
        <v>-213.64999999999992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157.43</v>
      </c>
      <c r="L9" s="415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'09'!A11+(B11-SUM(D11:F11))</f>
        <v>30.240000000000002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60+20</f>
        <v>80</v>
      </c>
      <c r="L11" s="415"/>
      <c r="M11" s="1"/>
      <c r="N11" s="1"/>
      <c r="R11" s="3"/>
    </row>
    <row r="12" spans="1:22" ht="15.75">
      <c r="A12" s="112">
        <f>'09'!A12+(B12-SUM(D12:F12))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'09'!A13+(B13-SUM(D13:F13))</f>
        <v>43.5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30089.47</v>
      </c>
      <c r="L19" s="439"/>
      <c r="M19" s="1"/>
      <c r="N19" s="1"/>
      <c r="R19" s="3"/>
    </row>
    <row r="20" spans="1:18" ht="16.5" thickBot="1">
      <c r="A20" s="112">
        <f>SUM(A6:A15)</f>
        <v>892.46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'09'!A27+(B27-SUM(D27:F27))</f>
        <v>233.06999999999994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352</v>
      </c>
      <c r="K30" s="423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543</v>
      </c>
      <c r="K31" s="425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777</v>
      </c>
      <c r="K32" s="425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253</v>
      </c>
      <c r="K33" s="425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1413.9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346</v>
      </c>
      <c r="K40" s="423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58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 t="s">
        <v>780</v>
      </c>
      <c r="K42" s="425"/>
      <c r="L42" s="229">
        <v>52.06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755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758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759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766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773</v>
      </c>
      <c r="H50" s="1"/>
      <c r="I50" s="419" t="str">
        <f>AÑO!A13</f>
        <v>Gubernamental</v>
      </c>
      <c r="J50" s="422" t="s">
        <v>714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774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775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776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778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786</v>
      </c>
      <c r="H55" s="1"/>
      <c r="I55" s="419" t="str">
        <f>AÑO!A14</f>
        <v>Mutualite/DKV</v>
      </c>
      <c r="J55" s="422" t="s">
        <v>388</v>
      </c>
      <c r="K55" s="423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787</v>
      </c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37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'09'!A66+(B66-SUM(D66:F78))+B67</f>
        <v>274.5200000000001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757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767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772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804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33.819999999999993</v>
      </c>
      <c r="B79" s="233">
        <v>10</v>
      </c>
      <c r="C79" s="17" t="s">
        <v>228</v>
      </c>
      <c r="D79" s="135">
        <f>22.3+25.93</f>
        <v>48.230000000000004</v>
      </c>
      <c r="E79" s="139"/>
      <c r="F79" s="139"/>
      <c r="G79" s="17" t="s">
        <v>799</v>
      </c>
      <c r="H79" s="1"/>
      <c r="M79" s="1"/>
      <c r="R79" s="3"/>
    </row>
    <row r="80" spans="1:18" ht="16.5" thickBot="1">
      <c r="A80" s="112">
        <f>SUM(A66:A79)</f>
        <v>308.34000000000009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1</v>
      </c>
      <c r="E86" s="138"/>
      <c r="F86" s="138"/>
      <c r="G86" s="16" t="s">
        <v>754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763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765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784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785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788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808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810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334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780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D127+D128+'09'!I127</f>
        <v>125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802</v>
      </c>
      <c r="D130" s="137">
        <v>65</v>
      </c>
      <c r="E130" s="138"/>
      <c r="F130" s="138"/>
      <c r="G130" s="16" t="s">
        <v>803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29.38+32.98-7.35-8.25</f>
        <v>46.76</v>
      </c>
      <c r="E146" s="138"/>
      <c r="F146" s="138"/>
      <c r="G146" s="16" t="s">
        <v>755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38</f>
        <v>38</v>
      </c>
      <c r="E186" s="138"/>
      <c r="F186" s="138"/>
      <c r="G186" s="16" t="s">
        <v>760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771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795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796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800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324</v>
      </c>
      <c r="D246" s="137">
        <f>2.99+15.99-2.4</f>
        <v>16.580000000000002</v>
      </c>
      <c r="E246" s="138"/>
      <c r="F246" s="138"/>
      <c r="G246" s="16" t="s">
        <v>755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776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783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797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713</v>
      </c>
      <c r="D257" s="137"/>
      <c r="E257" s="138">
        <v>100.67</v>
      </c>
      <c r="F257" s="138"/>
      <c r="G257" s="16" t="s">
        <v>327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753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'09'!A286+(SUM(B286:B298)-SUM(D286:F298))</f>
        <v>232.50999999999988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761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762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798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801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332.50999999999988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>
        <f>37.5+37.5</f>
        <v>75</v>
      </c>
      <c r="E306" s="138"/>
      <c r="F306" s="138"/>
      <c r="G306" s="16" t="s">
        <v>764</v>
      </c>
    </row>
    <row r="307" spans="2:7">
      <c r="B307" s="134">
        <f>28.54*2</f>
        <v>57.08</v>
      </c>
      <c r="C307" s="27" t="s">
        <v>388</v>
      </c>
      <c r="D307" s="137"/>
      <c r="E307" s="138"/>
      <c r="F307" s="138">
        <v>50</v>
      </c>
      <c r="G307" s="16" t="s">
        <v>769</v>
      </c>
    </row>
    <row r="308" spans="2:7">
      <c r="B308" s="134"/>
      <c r="C308" s="27"/>
      <c r="D308" s="137">
        <v>35.96</v>
      </c>
      <c r="E308" s="138"/>
      <c r="F308" s="138"/>
      <c r="G308" s="16" t="s">
        <v>770</v>
      </c>
    </row>
    <row r="309" spans="2:7">
      <c r="B309" s="134"/>
      <c r="C309" s="16"/>
      <c r="D309" s="137">
        <v>16.21</v>
      </c>
      <c r="E309" s="138"/>
      <c r="F309" s="138"/>
      <c r="G309" s="16" t="s">
        <v>790</v>
      </c>
    </row>
    <row r="310" spans="2:7">
      <c r="B310" s="134"/>
      <c r="C310" s="16"/>
      <c r="D310" s="137"/>
      <c r="E310" s="138"/>
      <c r="F310" s="138">
        <v>50</v>
      </c>
      <c r="G310" s="16" t="s">
        <v>789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791</v>
      </c>
    </row>
    <row r="312" spans="2:7">
      <c r="B312" s="134"/>
      <c r="C312" s="16"/>
      <c r="D312" s="137"/>
      <c r="E312" s="138"/>
      <c r="F312" s="138">
        <v>60</v>
      </c>
      <c r="G312" s="16" t="s">
        <v>792</v>
      </c>
    </row>
    <row r="313" spans="2:7">
      <c r="B313" s="134"/>
      <c r="C313" s="16"/>
      <c r="D313" s="137">
        <v>5.3</v>
      </c>
      <c r="E313" s="138"/>
      <c r="F313" s="138"/>
      <c r="G313" s="16" t="s">
        <v>794</v>
      </c>
    </row>
    <row r="314" spans="2:7">
      <c r="B314" s="134"/>
      <c r="C314" s="16"/>
      <c r="D314" s="137">
        <v>12.95</v>
      </c>
      <c r="E314" s="138"/>
      <c r="F314" s="138"/>
      <c r="G314" s="16" t="s">
        <v>807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805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806</v>
      </c>
    </row>
    <row r="317" spans="2:7">
      <c r="B317" s="134"/>
      <c r="C317" s="16"/>
      <c r="D317" s="137"/>
      <c r="E317" s="138"/>
      <c r="F317" s="138">
        <v>4.5</v>
      </c>
      <c r="G317" s="16" t="s">
        <v>811</v>
      </c>
    </row>
    <row r="318" spans="2:7">
      <c r="B318" s="134"/>
      <c r="C318" s="16"/>
      <c r="D318" s="137"/>
      <c r="E318" s="138"/>
      <c r="F318" s="138">
        <v>84.93</v>
      </c>
      <c r="G318" s="16" t="s">
        <v>812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756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'09'!A346+(B346-SUM(D346:F357))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334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780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752</v>
      </c>
    </row>
    <row r="407" spans="2:7">
      <c r="B407" s="134">
        <v>0.89</v>
      </c>
      <c r="C407" s="16" t="s">
        <v>346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334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780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227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334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227.71919055649221</v>
      </c>
      <c r="B467" s="134">
        <v>71.349999999999994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1100</v>
      </c>
      <c r="C469" s="16" t="s">
        <v>334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780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411.11919055649219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809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191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4501.8900000000003</v>
      </c>
      <c r="L5" s="431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4">
        <v>620.14</v>
      </c>
      <c r="L6" s="415"/>
      <c r="M6" s="1" t="s">
        <v>163</v>
      </c>
      <c r="N6" s="1"/>
      <c r="R6" s="3"/>
    </row>
    <row r="7" spans="1:22" ht="15.75">
      <c r="A7" s="112">
        <f>'10'!A7+(B7-SUM(D7:F7))</f>
        <v>435.75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'10'!A8+(B8-SUM(D8:F8))</f>
        <v>-115.76999999999992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6307.51</v>
      </c>
      <c r="L8" s="41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'10'!A11+(B11-SUM(D11:F11))</f>
        <v>30.25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'10'!A12+(B12-SUM(D12:F12))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'10'!A13+(B13-SUM(D13:F13))</f>
        <v>50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1453.29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'10'!A27+(B27-SUM(D27:F27))</f>
        <v>237.07999999999993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'10'!A29+(B29-SUM(D29:F29))</f>
        <v>19.010000000000005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352</v>
      </c>
      <c r="K30" s="423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605</v>
      </c>
      <c r="K31" s="425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1457.29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815</v>
      </c>
      <c r="K40" s="423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821</v>
      </c>
      <c r="K45" s="423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820</v>
      </c>
      <c r="H46" s="1"/>
      <c r="I46" s="420"/>
      <c r="J46" s="424" t="s">
        <v>836</v>
      </c>
      <c r="K46" s="425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832</v>
      </c>
      <c r="H47" s="1"/>
      <c r="I47" s="420"/>
      <c r="J47" s="424" t="s">
        <v>837</v>
      </c>
      <c r="K47" s="425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834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840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845</v>
      </c>
      <c r="H50" s="1"/>
      <c r="I50" s="419" t="str">
        <f>AÑO!A13</f>
        <v>Gubernamental</v>
      </c>
      <c r="J50" s="422" t="s">
        <v>826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849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851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853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825</v>
      </c>
      <c r="K55" s="423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606</v>
      </c>
      <c r="K56" s="425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818</v>
      </c>
      <c r="K60" s="423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'10'!A66+(B66-SUM(D66:F78))+B67</f>
        <v>296.32000000000011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819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835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839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847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846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854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43.819999999999993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340.1400000000001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43.28</v>
      </c>
      <c r="E86" s="138"/>
      <c r="F86" s="138"/>
      <c r="G86" s="16" t="s">
        <v>855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D127+D128+'10'!I127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802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842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64.16</v>
      </c>
      <c r="E186" s="138"/>
      <c r="F186" s="138"/>
      <c r="G186" s="16" t="s">
        <v>848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782</v>
      </c>
      <c r="D257" s="137"/>
      <c r="E257" s="138"/>
      <c r="F257" s="138"/>
      <c r="G257" s="16" t="s">
        <v>327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'10'!A286+(SUM(B286:B298)-SUM(D286:F298))</f>
        <v>282.50999999999988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422.50999999999988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8">
      <c r="B306" s="133">
        <v>130</v>
      </c>
      <c r="C306" s="19" t="s">
        <v>639</v>
      </c>
      <c r="D306" s="137"/>
      <c r="E306" s="138"/>
      <c r="F306" s="138">
        <v>80</v>
      </c>
      <c r="G306" s="16" t="s">
        <v>824</v>
      </c>
    </row>
    <row r="307" spans="2:8">
      <c r="B307" s="134">
        <v>300</v>
      </c>
      <c r="C307" s="27" t="s">
        <v>828</v>
      </c>
      <c r="D307" s="137">
        <v>82.87</v>
      </c>
      <c r="E307" s="138"/>
      <c r="F307" s="138"/>
      <c r="G307" s="16" t="s">
        <v>827</v>
      </c>
    </row>
    <row r="308" spans="2:8">
      <c r="B308" s="134">
        <f>L56</f>
        <v>93.02</v>
      </c>
      <c r="C308" s="27" t="s">
        <v>388</v>
      </c>
      <c r="D308" s="137">
        <v>33</v>
      </c>
      <c r="E308" s="138"/>
      <c r="F308" s="138"/>
      <c r="G308" s="16" t="s">
        <v>831</v>
      </c>
    </row>
    <row r="309" spans="2:8">
      <c r="B309" s="134"/>
      <c r="C309" s="16"/>
      <c r="D309" s="137">
        <v>40.18</v>
      </c>
      <c r="E309" s="138"/>
      <c r="F309" s="138"/>
      <c r="G309" s="16" t="s">
        <v>833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838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841</v>
      </c>
    </row>
    <row r="312" spans="2:8">
      <c r="B312" s="134"/>
      <c r="C312" s="16"/>
      <c r="D312" s="137">
        <v>50</v>
      </c>
      <c r="E312" s="138"/>
      <c r="F312" s="138"/>
      <c r="G312" s="16" t="s">
        <v>844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823</v>
      </c>
    </row>
    <row r="327" spans="2:7">
      <c r="B327" s="134">
        <v>30</v>
      </c>
      <c r="C327" s="16" t="s">
        <v>822</v>
      </c>
      <c r="D327" s="137"/>
      <c r="E327" s="138"/>
      <c r="F327" s="138"/>
      <c r="G327" s="16"/>
    </row>
    <row r="328" spans="2:7">
      <c r="B328" s="134">
        <v>250</v>
      </c>
      <c r="C328" s="16" t="s">
        <v>836</v>
      </c>
      <c r="D328" s="137"/>
      <c r="E328" s="138"/>
      <c r="F328" s="138"/>
      <c r="G328" s="16"/>
    </row>
    <row r="329" spans="2:7">
      <c r="B329" s="134">
        <v>150</v>
      </c>
      <c r="C329" s="16" t="s">
        <v>837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'10'!A346+(B346-SUM(D346:F357))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781</v>
      </c>
      <c r="D359" s="135">
        <v>65</v>
      </c>
      <c r="E359" s="139"/>
      <c r="F359" s="139"/>
      <c r="G359" s="17" t="s">
        <v>814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843</v>
      </c>
    </row>
    <row r="368" spans="1:7">
      <c r="B368" s="134"/>
      <c r="C368" s="16"/>
      <c r="D368" s="137">
        <v>34</v>
      </c>
      <c r="E368" s="138"/>
      <c r="F368" s="138"/>
      <c r="G368" s="16" t="s">
        <v>850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813</v>
      </c>
    </row>
    <row r="407" spans="2:7">
      <c r="B407" s="134">
        <v>42.84</v>
      </c>
      <c r="C407" s="16" t="s">
        <v>815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227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'10'!A467+(B467-SUM(D467:F467))</f>
        <v>299.06919055649223</v>
      </c>
      <c r="B467" s="134">
        <v>71.349999999999994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497.46919055649221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97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4501.8900000000003</v>
      </c>
      <c r="L5" s="431"/>
      <c r="M5" s="1"/>
      <c r="N5" s="1"/>
      <c r="R5" s="3"/>
    </row>
    <row r="6" spans="1:22" ht="15.75">
      <c r="A6" s="112">
        <f>'11'!A6+(B6-SUM(D6:F6))</f>
        <v>1173.78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4">
        <v>620.14</v>
      </c>
      <c r="L6" s="415"/>
      <c r="M6" s="1" t="s">
        <v>163</v>
      </c>
      <c r="N6" s="1"/>
      <c r="R6" s="3"/>
    </row>
    <row r="7" spans="1:22" ht="15.75">
      <c r="A7" s="112">
        <f>'11'!A7+(B7-SUM(D7:F7))</f>
        <v>502.93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'11'!A8+(B8-SUM(D8:F8))</f>
        <v>-115.76999999999992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6307.51</v>
      </c>
      <c r="L8" s="41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'11'!A11+(B11-SUM(D11:F11))</f>
        <v>60.489999999999995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'11'!A12+(B12-SUM(D12:F12))</f>
        <v>-18.5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'11'!A13+(B13-SUM(D13:F13))</f>
        <v>56.5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1695.43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'11'!A27+(B27-SUM(D27:F27))</f>
        <v>427.07999999999993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'11'!A29+(B29-SUM(D29:F29))</f>
        <v>37.010000000000005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'11'!A30+(B30-SUM(D30:F30))</f>
        <v>196.27999999999997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352</v>
      </c>
      <c r="K30" s="423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2610.29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826</v>
      </c>
      <c r="K50" s="423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37</v>
      </c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'11'!A66+(B66-SUM(D66:F78))+B67</f>
        <v>471.32000000000011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53.819999999999993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525.1400000000001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140.29000000000005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1390.33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D127+D128+'11'!I127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802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857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830</v>
      </c>
      <c r="D257" s="137"/>
      <c r="E257" s="138"/>
      <c r="F257" s="138"/>
      <c r="G257" s="16" t="s">
        <v>327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'11'!A286+(SUM(B286:B298)-SUM(D286:F298))</f>
        <v>332.50999999999988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517.50999999999988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'11'!A346+(B346-SUM(D346:F357))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781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'11'!A467+(B467-SUM(D467:F467))</f>
        <v>433.45919055649222</v>
      </c>
      <c r="B467" s="134">
        <f>71.35+63.04</f>
        <v>134.38999999999999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641.85919055649219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856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F27" sqref="F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177</v>
      </c>
      <c r="B3" s="114">
        <f>Historico!I25</f>
        <v>43739</v>
      </c>
      <c r="D3" s="44"/>
      <c r="E3" s="45"/>
    </row>
    <row r="4" spans="1:14" ht="12.75" customHeight="1">
      <c r="A4" t="s">
        <v>176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681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180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238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179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E16" workbookViewId="0">
      <selection activeCell="L28" sqref="L2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422</v>
      </c>
      <c r="B1" s="240"/>
      <c r="C1" s="241"/>
      <c r="D1" s="320"/>
      <c r="E1" s="242"/>
      <c r="F1" s="243" t="s">
        <v>423</v>
      </c>
      <c r="G1" s="244"/>
      <c r="H1" s="244"/>
      <c r="I1" s="244"/>
      <c r="J1" s="244"/>
      <c r="K1" s="245" t="s">
        <v>424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425</v>
      </c>
      <c r="B2" s="252" t="s">
        <v>426</v>
      </c>
      <c r="C2" s="252" t="s">
        <v>427</v>
      </c>
      <c r="D2" s="321" t="s">
        <v>482</v>
      </c>
      <c r="E2" s="252" t="s">
        <v>428</v>
      </c>
      <c r="F2" s="253" t="s">
        <v>429</v>
      </c>
      <c r="G2" s="254" t="s">
        <v>430</v>
      </c>
      <c r="H2" s="254" t="s">
        <v>431</v>
      </c>
      <c r="I2" s="254" t="s">
        <v>432</v>
      </c>
      <c r="J2" s="254" t="s">
        <v>7</v>
      </c>
      <c r="K2" s="255" t="s">
        <v>429</v>
      </c>
      <c r="L2" s="256" t="s">
        <v>430</v>
      </c>
      <c r="M2" s="256" t="s">
        <v>432</v>
      </c>
      <c r="N2" s="257" t="s">
        <v>7</v>
      </c>
      <c r="O2" s="258" t="s">
        <v>7</v>
      </c>
      <c r="P2" s="259" t="s">
        <v>433</v>
      </c>
      <c r="Q2" s="259" t="s">
        <v>779</v>
      </c>
      <c r="R2" s="259" t="s">
        <v>93</v>
      </c>
      <c r="S2" s="260" t="s">
        <v>434</v>
      </c>
      <c r="T2" s="261"/>
    </row>
    <row r="3" spans="1:27">
      <c r="A3" s="262" t="s">
        <v>435</v>
      </c>
      <c r="B3" s="262" t="s">
        <v>436</v>
      </c>
      <c r="C3" s="263">
        <v>5600</v>
      </c>
      <c r="D3" s="322">
        <f ca="1">_xlfn.DAYS(K3,F3)</f>
        <v>1595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43804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456</v>
      </c>
    </row>
    <row r="4" spans="1:27">
      <c r="A4" s="262" t="s">
        <v>437</v>
      </c>
      <c r="B4" s="262" t="s">
        <v>334</v>
      </c>
      <c r="C4" s="263">
        <v>4090</v>
      </c>
      <c r="D4" s="322">
        <f ca="1">_xlfn.DAYS(K4,F4)</f>
        <v>199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43804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456</v>
      </c>
      <c r="T4" s="340"/>
    </row>
    <row r="5" spans="1:27">
      <c r="A5" s="262" t="s">
        <v>437</v>
      </c>
      <c r="B5" s="262" t="s">
        <v>438</v>
      </c>
      <c r="C5" s="263">
        <v>5100</v>
      </c>
      <c r="D5" s="322">
        <f ca="1">_xlfn.DAYS(K5,F5)</f>
        <v>650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43804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456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</row>
    <row r="11" spans="1:27">
      <c r="A11" s="445" t="s">
        <v>439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</row>
    <row r="12" spans="1:27">
      <c r="A12" s="290" t="s">
        <v>425</v>
      </c>
      <c r="B12" s="290" t="s">
        <v>426</v>
      </c>
      <c r="C12" s="290" t="s">
        <v>427</v>
      </c>
      <c r="D12" s="324" t="s">
        <v>482</v>
      </c>
      <c r="E12" s="290" t="s">
        <v>428</v>
      </c>
      <c r="F12" s="291" t="s">
        <v>429</v>
      </c>
      <c r="G12" s="292" t="s">
        <v>430</v>
      </c>
      <c r="H12" s="292" t="s">
        <v>431</v>
      </c>
      <c r="I12" s="292" t="s">
        <v>432</v>
      </c>
      <c r="J12" s="292" t="s">
        <v>7</v>
      </c>
      <c r="K12" s="293" t="s">
        <v>429</v>
      </c>
      <c r="L12" s="294" t="s">
        <v>430</v>
      </c>
      <c r="M12" s="294" t="s">
        <v>432</v>
      </c>
      <c r="N12" s="295" t="s">
        <v>7</v>
      </c>
      <c r="O12" s="296" t="s">
        <v>7</v>
      </c>
      <c r="P12" s="297" t="s">
        <v>433</v>
      </c>
      <c r="Q12" s="297" t="s">
        <v>779</v>
      </c>
      <c r="R12" s="297" t="s">
        <v>93</v>
      </c>
      <c r="S12" s="298" t="s">
        <v>434</v>
      </c>
      <c r="T12" s="339" t="s">
        <v>521</v>
      </c>
      <c r="U12" s="339" t="s">
        <v>697</v>
      </c>
      <c r="X12" s="330" t="s">
        <v>452</v>
      </c>
      <c r="Y12" s="330" t="s">
        <v>453</v>
      </c>
      <c r="Z12" s="330" t="s">
        <v>454</v>
      </c>
      <c r="AA12" s="330" t="s">
        <v>455</v>
      </c>
    </row>
    <row r="13" spans="1:27">
      <c r="A13" s="262" t="s">
        <v>435</v>
      </c>
      <c r="B13" s="262" t="s">
        <v>440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440</v>
      </c>
      <c r="T13" s="59">
        <f>R13+R14</f>
        <v>-4.7120556421087471E-2</v>
      </c>
      <c r="X13" s="39">
        <f t="shared" ref="X13:X41" ca="1" si="1">D13/D$43</f>
        <v>3.5838150289017344E-2</v>
      </c>
      <c r="Y13" s="119">
        <f ca="1">X13*E13</f>
        <v>144.04316468208094</v>
      </c>
      <c r="Z13" s="38"/>
    </row>
    <row r="14" spans="1:27">
      <c r="A14" s="262" t="s">
        <v>435</v>
      </c>
      <c r="B14" s="262" t="s">
        <v>440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441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435</v>
      </c>
      <c r="B15" s="262" t="s">
        <v>442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442</v>
      </c>
      <c r="X15" s="39">
        <f t="shared" ca="1" si="1"/>
        <v>3.1791907514450865E-2</v>
      </c>
      <c r="Y15" s="119">
        <f t="shared" ca="1" si="3"/>
        <v>0</v>
      </c>
    </row>
    <row r="16" spans="1:27">
      <c r="A16" s="262" t="s">
        <v>435</v>
      </c>
      <c r="B16" s="262" t="s">
        <v>443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443</v>
      </c>
      <c r="X16" s="39">
        <f t="shared" ca="1" si="1"/>
        <v>8.0924855491329474E-3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444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445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435</v>
      </c>
      <c r="B19" s="262" t="s">
        <v>443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443</v>
      </c>
      <c r="T19" s="59">
        <f>R19+R21+R24</f>
        <v>0.24013324659263452</v>
      </c>
      <c r="X19" s="39">
        <f t="shared" ca="1" si="1"/>
        <v>0.5023121387283237</v>
      </c>
      <c r="Y19" s="119">
        <f t="shared" ca="1" si="3"/>
        <v>2221.9274742658963</v>
      </c>
    </row>
    <row r="20" spans="1:25">
      <c r="A20" s="262" t="s">
        <v>435</v>
      </c>
      <c r="B20" s="262" t="s">
        <v>443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483</v>
      </c>
      <c r="X20" s="39">
        <f t="shared" ca="1" si="1"/>
        <v>0.36531791907514449</v>
      </c>
      <c r="Y20" s="119">
        <f t="shared" ca="1" si="3"/>
        <v>219.4099421965318</v>
      </c>
    </row>
    <row r="21" spans="1:25">
      <c r="A21" s="262" t="s">
        <v>435</v>
      </c>
      <c r="B21" s="262" t="s">
        <v>443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446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444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447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435</v>
      </c>
      <c r="B24" s="262" t="s">
        <v>443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448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435</v>
      </c>
      <c r="B25" s="262" t="s">
        <v>443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443</v>
      </c>
      <c r="X25" s="39">
        <f t="shared" ca="1" si="1"/>
        <v>0.16647398843930636</v>
      </c>
      <c r="Y25" s="119">
        <f t="shared" ca="1" si="3"/>
        <v>101.2100630566474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449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449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437</v>
      </c>
      <c r="B28" s="262" t="s">
        <v>438</v>
      </c>
      <c r="C28" s="263">
        <v>5100</v>
      </c>
      <c r="D28" s="322">
        <f t="shared" ca="1" si="2"/>
        <v>650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43804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438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0.37572254335260113</v>
      </c>
      <c r="Y28" s="119">
        <f t="shared" ca="1" si="3"/>
        <v>1934.2545502890173</v>
      </c>
    </row>
    <row r="29" spans="1:25">
      <c r="A29" s="262" t="s">
        <v>437</v>
      </c>
      <c r="B29" s="262" t="s">
        <v>438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394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437</v>
      </c>
      <c r="B30" s="262" t="s">
        <v>438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394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437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450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437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451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437</v>
      </c>
      <c r="B33" s="262" t="s">
        <v>334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334</v>
      </c>
      <c r="X33" s="39">
        <f t="shared" ca="1" si="1"/>
        <v>1.2716763005780347E-2</v>
      </c>
      <c r="Y33" s="119">
        <f t="shared" ca="1" si="3"/>
        <v>52.509119306358379</v>
      </c>
    </row>
    <row r="34" spans="1:27">
      <c r="A34" s="262" t="s">
        <v>437</v>
      </c>
      <c r="B34" s="262" t="s">
        <v>438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394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437</v>
      </c>
      <c r="B35" s="262" t="s">
        <v>334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334</v>
      </c>
      <c r="U35" s="59"/>
      <c r="X35" s="39">
        <f t="shared" ca="1" si="1"/>
        <v>8.6127167630057802E-2</v>
      </c>
      <c r="Y35" s="119">
        <f t="shared" ca="1" si="3"/>
        <v>352.15218620809247</v>
      </c>
    </row>
    <row r="36" spans="1:27">
      <c r="A36" s="262" t="s">
        <v>437</v>
      </c>
      <c r="B36" s="262" t="s">
        <v>438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394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2741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1.584393063583815</v>
      </c>
      <c r="Y42" s="328">
        <f ca="1">SUM(Y13:Y41)</f>
        <v>5025.5065000046243</v>
      </c>
      <c r="Z42" s="329">
        <f ca="1">P42/Y42</f>
        <v>0.83847260430289428</v>
      </c>
      <c r="AA42" s="329">
        <f ca="1">Z42/(D$43/365)</f>
        <v>0.17690317952055282</v>
      </c>
    </row>
    <row r="43" spans="1:27">
      <c r="C43" s="119" t="s">
        <v>485</v>
      </c>
      <c r="D43" s="46">
        <f ca="1">_xlfn.DAYS(TODAY(),F13)</f>
        <v>1730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457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458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459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460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461</v>
      </c>
      <c r="U62" s="41" t="s">
        <v>462</v>
      </c>
      <c r="V62" s="38"/>
    </row>
    <row r="63" spans="3:29" ht="15.75">
      <c r="G63" s="38"/>
      <c r="S63" t="s">
        <v>463</v>
      </c>
      <c r="T63" s="309" t="s">
        <v>464</v>
      </c>
      <c r="U63" s="310"/>
      <c r="V63" s="38"/>
    </row>
    <row r="64" spans="3:29">
      <c r="F64" s="38"/>
      <c r="G64" s="38"/>
      <c r="S64" t="s">
        <v>465</v>
      </c>
      <c r="T64" s="309" t="s">
        <v>466</v>
      </c>
      <c r="U64" t="s">
        <v>467</v>
      </c>
    </row>
    <row r="65" spans="6:22">
      <c r="F65" s="38"/>
      <c r="G65" s="38"/>
      <c r="H65" s="38"/>
      <c r="K65" t="s">
        <v>468</v>
      </c>
      <c r="T65" s="38"/>
      <c r="U65" t="s">
        <v>469</v>
      </c>
      <c r="V65" s="38"/>
    </row>
    <row r="66" spans="6:22">
      <c r="K66" s="311">
        <v>43587</v>
      </c>
      <c r="T66" s="306"/>
    </row>
    <row r="67" spans="6:22">
      <c r="K67" t="s">
        <v>470</v>
      </c>
      <c r="T67" s="312"/>
    </row>
    <row r="68" spans="6:22">
      <c r="K68" t="s">
        <v>471</v>
      </c>
      <c r="M68" t="s">
        <v>146</v>
      </c>
      <c r="T68" s="309"/>
      <c r="U68">
        <f>5000/12</f>
        <v>416.66666666666669</v>
      </c>
    </row>
    <row r="69" spans="6:22">
      <c r="K69" t="s">
        <v>472</v>
      </c>
      <c r="U69">
        <f>2.2/U68</f>
        <v>5.28E-3</v>
      </c>
    </row>
    <row r="70" spans="6:22">
      <c r="K70" t="s">
        <v>473</v>
      </c>
      <c r="U70">
        <f>100*U69</f>
        <v>0.52800000000000002</v>
      </c>
    </row>
    <row r="71" spans="6:22">
      <c r="K71" t="s">
        <v>474</v>
      </c>
      <c r="U71">
        <f>2.2*12</f>
        <v>26.400000000000002</v>
      </c>
    </row>
    <row r="72" spans="6:22">
      <c r="K72" t="s">
        <v>475</v>
      </c>
    </row>
    <row r="73" spans="6:22">
      <c r="K73" t="s">
        <v>476</v>
      </c>
    </row>
    <row r="74" spans="6:22">
      <c r="K74" t="s">
        <v>477</v>
      </c>
    </row>
    <row r="75" spans="6:22">
      <c r="K75" t="s">
        <v>478</v>
      </c>
    </row>
    <row r="76" spans="6:22">
      <c r="K76" t="s">
        <v>479</v>
      </c>
    </row>
    <row r="77" spans="6:22">
      <c r="K77" t="s">
        <v>480</v>
      </c>
    </row>
    <row r="78" spans="6:22">
      <c r="K78" t="s">
        <v>481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I19" sqref="I1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7" t="s">
        <v>491</v>
      </c>
      <c r="B1" s="447"/>
      <c r="C1" s="447"/>
      <c r="D1" s="447"/>
      <c r="E1" s="447"/>
    </row>
    <row r="2" spans="1:5">
      <c r="A2" s="332" t="s">
        <v>487</v>
      </c>
      <c r="B2" s="333" t="s">
        <v>86</v>
      </c>
      <c r="C2" s="333" t="s">
        <v>488</v>
      </c>
      <c r="D2" s="333" t="s">
        <v>489</v>
      </c>
      <c r="E2" s="270"/>
    </row>
    <row r="3" spans="1:5">
      <c r="A3" s="334" t="s">
        <v>50</v>
      </c>
      <c r="B3" s="335">
        <f>1520</f>
        <v>1520</v>
      </c>
      <c r="C3" s="305">
        <f>B3/B$7</f>
        <v>0.42768711311198648</v>
      </c>
      <c r="D3" s="335">
        <f>D$7*C3</f>
        <v>0</v>
      </c>
      <c r="E3" s="275"/>
    </row>
    <row r="4" spans="1:5">
      <c r="A4" s="334" t="s">
        <v>24</v>
      </c>
      <c r="B4" s="335">
        <v>1484</v>
      </c>
      <c r="C4" s="305">
        <f t="shared" ref="C4:C6" si="0">B4/B$7</f>
        <v>0.41755768148564998</v>
      </c>
      <c r="D4" s="335">
        <f t="shared" ref="D4:D6" si="1">D$7*C4</f>
        <v>0</v>
      </c>
      <c r="E4" s="275"/>
    </row>
    <row r="5" spans="1:5">
      <c r="A5" s="334" t="s">
        <v>169</v>
      </c>
      <c r="B5" s="335">
        <v>550</v>
      </c>
      <c r="C5" s="305">
        <f t="shared" si="0"/>
        <v>0.15475520540236354</v>
      </c>
      <c r="D5" s="335">
        <f t="shared" si="1"/>
        <v>0</v>
      </c>
      <c r="E5" s="275"/>
    </row>
    <row r="6" spans="1:5">
      <c r="A6" s="334" t="s">
        <v>48</v>
      </c>
      <c r="B6" s="335">
        <v>0</v>
      </c>
      <c r="C6" s="305">
        <f t="shared" si="0"/>
        <v>0</v>
      </c>
      <c r="D6" s="335">
        <f t="shared" si="1"/>
        <v>0</v>
      </c>
      <c r="E6" s="275"/>
    </row>
    <row r="7" spans="1:5">
      <c r="A7" s="334" t="s">
        <v>5</v>
      </c>
      <c r="B7" s="335">
        <f>SUM(B3:B6)</f>
        <v>3554</v>
      </c>
      <c r="C7" s="305">
        <f>SUM(C3:C6)</f>
        <v>1</v>
      </c>
      <c r="D7" s="276">
        <f>0</f>
        <v>0</v>
      </c>
      <c r="E7" s="275" t="s">
        <v>490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153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5" t="s">
        <v>520</v>
      </c>
      <c r="B15" s="445"/>
      <c r="C15" s="445"/>
      <c r="D15" s="445"/>
      <c r="E15" s="445"/>
    </row>
    <row r="17" spans="1:4">
      <c r="A17" s="331" t="s">
        <v>492</v>
      </c>
    </row>
    <row r="19" spans="1:4">
      <c r="A19" t="s">
        <v>493</v>
      </c>
    </row>
    <row r="20" spans="1:4">
      <c r="A20" t="s">
        <v>494</v>
      </c>
    </row>
    <row r="21" spans="1:4">
      <c r="A21" t="s">
        <v>495</v>
      </c>
    </row>
    <row r="22" spans="1:4">
      <c r="A22" t="s">
        <v>496</v>
      </c>
    </row>
    <row r="23" spans="1:4">
      <c r="A23" t="s">
        <v>497</v>
      </c>
    </row>
    <row r="24" spans="1:4">
      <c r="A24" t="s">
        <v>498</v>
      </c>
    </row>
    <row r="25" spans="1:4">
      <c r="A25" t="s">
        <v>499</v>
      </c>
    </row>
    <row r="30" spans="1:4">
      <c r="A30" s="331" t="s">
        <v>500</v>
      </c>
      <c r="B30" s="331" t="s">
        <v>501</v>
      </c>
      <c r="C30" s="331" t="s">
        <v>502</v>
      </c>
      <c r="D30" s="331" t="s">
        <v>503</v>
      </c>
    </row>
    <row r="32" spans="1:4">
      <c r="A32" t="s">
        <v>504</v>
      </c>
      <c r="B32" t="s">
        <v>505</v>
      </c>
      <c r="C32" t="s">
        <v>506</v>
      </c>
      <c r="D32" t="s">
        <v>507</v>
      </c>
    </row>
    <row r="33" spans="1:4">
      <c r="A33" t="s">
        <v>508</v>
      </c>
      <c r="B33" t="s">
        <v>509</v>
      </c>
      <c r="C33" t="s">
        <v>510</v>
      </c>
      <c r="D33" t="s">
        <v>505</v>
      </c>
    </row>
    <row r="34" spans="1:4">
      <c r="A34" t="s">
        <v>511</v>
      </c>
      <c r="B34" t="s">
        <v>512</v>
      </c>
      <c r="C34" t="s">
        <v>513</v>
      </c>
      <c r="D34" t="s">
        <v>507</v>
      </c>
    </row>
    <row r="35" spans="1:4">
      <c r="A35" t="s">
        <v>514</v>
      </c>
      <c r="B35" t="s">
        <v>505</v>
      </c>
      <c r="C35" t="s">
        <v>510</v>
      </c>
      <c r="D35" t="s">
        <v>515</v>
      </c>
    </row>
    <row r="36" spans="1:4">
      <c r="A36" t="s">
        <v>346</v>
      </c>
      <c r="B36" t="s">
        <v>505</v>
      </c>
      <c r="C36" t="s">
        <v>506</v>
      </c>
      <c r="D36" t="s">
        <v>515</v>
      </c>
    </row>
    <row r="37" spans="1:4">
      <c r="A37" t="s">
        <v>516</v>
      </c>
      <c r="B37" t="s">
        <v>507</v>
      </c>
      <c r="C37" t="s">
        <v>513</v>
      </c>
      <c r="D37" t="s">
        <v>512</v>
      </c>
    </row>
    <row r="38" spans="1:4">
      <c r="A38" t="s">
        <v>517</v>
      </c>
      <c r="B38" t="s">
        <v>505</v>
      </c>
      <c r="C38" t="s">
        <v>513</v>
      </c>
      <c r="D38" t="s">
        <v>505</v>
      </c>
    </row>
    <row r="39" spans="1:4">
      <c r="A39" t="s">
        <v>518</v>
      </c>
      <c r="B39" t="s">
        <v>507</v>
      </c>
      <c r="C39" t="s">
        <v>506</v>
      </c>
      <c r="D39" t="s">
        <v>505</v>
      </c>
    </row>
    <row r="40" spans="1:4">
      <c r="A40" t="s">
        <v>519</v>
      </c>
      <c r="B40" t="s">
        <v>507</v>
      </c>
      <c r="C40" t="s">
        <v>506</v>
      </c>
      <c r="D40" t="s">
        <v>512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37" workbookViewId="0">
      <selection activeCell="I55" sqref="I55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262</v>
      </c>
      <c r="I7" t="s">
        <v>263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278</v>
      </c>
      <c r="I10" t="s">
        <v>279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164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161</v>
      </c>
      <c r="B45" t="s">
        <v>59</v>
      </c>
    </row>
    <row r="47" spans="1:9">
      <c r="A47" t="s">
        <v>175</v>
      </c>
      <c r="B47" t="s">
        <v>166</v>
      </c>
    </row>
    <row r="48" spans="1:9">
      <c r="A48" t="s">
        <v>165</v>
      </c>
      <c r="B48" t="s">
        <v>166</v>
      </c>
    </row>
    <row r="49" spans="1:2">
      <c r="A49" t="s">
        <v>46</v>
      </c>
      <c r="B49" t="s">
        <v>166</v>
      </c>
    </row>
    <row r="50" spans="1:2">
      <c r="A50" t="s">
        <v>168</v>
      </c>
      <c r="B50" t="s">
        <v>167</v>
      </c>
    </row>
    <row r="51" spans="1:2">
      <c r="A51" t="s">
        <v>190</v>
      </c>
      <c r="B51" t="s">
        <v>166</v>
      </c>
    </row>
    <row r="52" spans="1:2">
      <c r="A52" t="s">
        <v>199</v>
      </c>
      <c r="B52" t="s">
        <v>198</v>
      </c>
    </row>
    <row r="53" spans="1:2">
      <c r="A53" t="s">
        <v>202</v>
      </c>
      <c r="B53" t="s">
        <v>203</v>
      </c>
    </row>
    <row r="54" spans="1:2">
      <c r="A54" t="s">
        <v>33</v>
      </c>
      <c r="B54" t="s">
        <v>167</v>
      </c>
    </row>
    <row r="55" spans="1:2">
      <c r="A55" t="s">
        <v>734</v>
      </c>
      <c r="B55" t="s">
        <v>735</v>
      </c>
    </row>
    <row r="56" spans="1:2">
      <c r="A56" t="s">
        <v>864</v>
      </c>
      <c r="B56" t="s">
        <v>167</v>
      </c>
    </row>
    <row r="58" spans="1:2">
      <c r="A58" t="s">
        <v>816</v>
      </c>
      <c r="B58" t="s">
        <v>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abSelected="1" topLeftCell="A455" workbookViewId="0">
      <selection activeCell="E157" sqref="E15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2019</v>
      </c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181</v>
      </c>
      <c r="I5" s="106" t="s">
        <v>58</v>
      </c>
      <c r="J5" s="107" t="s">
        <v>59</v>
      </c>
      <c r="K5" s="430"/>
      <c r="L5" s="431"/>
      <c r="M5" s="1"/>
      <c r="N5" s="1"/>
      <c r="R5" s="3"/>
    </row>
    <row r="6" spans="1:22" ht="15.75">
      <c r="A6" s="112">
        <f>H6+(B6-SUM(D6:F6))</f>
        <v>395.26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4"/>
      <c r="L6" s="415"/>
      <c r="M6" s="1" t="s">
        <v>163</v>
      </c>
      <c r="N6" s="1"/>
      <c r="R6" s="3"/>
    </row>
    <row r="7" spans="1:22" ht="15.75">
      <c r="A7" s="112">
        <f t="shared" ref="A7:A15" si="0">H7+(B7-SUM(D7:F7))</f>
        <v>506.45999999999992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>
        <v>439.27999999999992</v>
      </c>
      <c r="I7" s="108" t="s">
        <v>61</v>
      </c>
      <c r="J7" s="107" t="s">
        <v>62</v>
      </c>
      <c r="K7" s="414"/>
      <c r="L7" s="415"/>
      <c r="M7" s="1"/>
      <c r="N7" s="1"/>
      <c r="R7" s="3"/>
    </row>
    <row r="8" spans="1:22" ht="15.75">
      <c r="A8" s="112">
        <f t="shared" si="0"/>
        <v>-115.77</v>
      </c>
      <c r="B8" s="134">
        <v>0</v>
      </c>
      <c r="C8" s="16" t="s">
        <v>33</v>
      </c>
      <c r="D8" s="137"/>
      <c r="F8" s="138"/>
      <c r="G8" s="16" t="s">
        <v>33</v>
      </c>
      <c r="H8" s="112">
        <v>-115.77</v>
      </c>
      <c r="I8" s="108" t="s">
        <v>61</v>
      </c>
      <c r="J8" s="107" t="s">
        <v>63</v>
      </c>
      <c r="K8" s="414"/>
      <c r="L8" s="41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155</v>
      </c>
      <c r="K9" s="414"/>
      <c r="L9" s="415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0</v>
      </c>
      <c r="I10" s="108" t="s">
        <v>61</v>
      </c>
      <c r="J10" s="107" t="s">
        <v>79</v>
      </c>
      <c r="K10" s="414"/>
      <c r="L10" s="415"/>
      <c r="M10" s="1" t="s">
        <v>154</v>
      </c>
      <c r="N10" s="1"/>
      <c r="R10" s="3"/>
    </row>
    <row r="11" spans="1:22" ht="15.75">
      <c r="A11" s="112">
        <f t="shared" si="0"/>
        <v>60.47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12">
        <v>30.23</v>
      </c>
      <c r="I11" s="108" t="s">
        <v>66</v>
      </c>
      <c r="J11" s="107" t="s">
        <v>67</v>
      </c>
      <c r="K11" s="414"/>
      <c r="L11" s="415"/>
      <c r="M11" s="1"/>
      <c r="N11" s="1"/>
      <c r="R11" s="3"/>
    </row>
    <row r="12" spans="1:22" ht="15.75">
      <c r="A12" s="112">
        <f t="shared" si="0"/>
        <v>44.54000000000002</v>
      </c>
      <c r="B12" s="134">
        <v>6.5</v>
      </c>
      <c r="C12" s="16" t="s">
        <v>251</v>
      </c>
      <c r="D12" s="137"/>
      <c r="E12" s="138"/>
      <c r="F12" s="138"/>
      <c r="G12" s="16"/>
      <c r="H12" s="112">
        <v>38.04000000000002</v>
      </c>
      <c r="I12" s="108" t="s">
        <v>156</v>
      </c>
      <c r="J12" s="107" t="s">
        <v>157</v>
      </c>
      <c r="K12" s="414"/>
      <c r="L12" s="415"/>
      <c r="M12" s="92"/>
      <c r="N12" s="1"/>
      <c r="R12" s="3"/>
    </row>
    <row r="13" spans="1:22" ht="15.75">
      <c r="A13" s="112">
        <f t="shared" si="0"/>
        <v>63</v>
      </c>
      <c r="B13" s="134">
        <v>0</v>
      </c>
      <c r="C13" s="16" t="s">
        <v>273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75">
      <c r="A14" s="112">
        <f t="shared" si="0"/>
        <v>71.349999999999994</v>
      </c>
      <c r="B14" s="134">
        <v>71.349999999999994</v>
      </c>
      <c r="C14" s="16" t="s">
        <v>375</v>
      </c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75">
      <c r="A15" s="112">
        <f t="shared" si="0"/>
        <v>10</v>
      </c>
      <c r="B15" s="134">
        <v>10</v>
      </c>
      <c r="C15" s="16" t="s">
        <v>183</v>
      </c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16">
        <f>SUM(K5:K18)</f>
        <v>0</v>
      </c>
      <c r="L19" s="417"/>
      <c r="M19" s="1"/>
      <c r="N19" s="1"/>
      <c r="R19" s="3"/>
    </row>
    <row r="20" spans="1:18" ht="16.5" thickBot="1">
      <c r="A20" s="112">
        <f>SUM(A6:A15)</f>
        <v>1047.31</v>
      </c>
      <c r="B20" s="135">
        <f>SUM(B6:B19)</f>
        <v>586.53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12">
        <v>460.78</v>
      </c>
      <c r="I20" s="89" t="s">
        <v>80</v>
      </c>
      <c r="K20" s="113"/>
      <c r="L20" s="113">
        <f>K19-K10-K12</f>
        <v>0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181</v>
      </c>
      <c r="I25" s="419" t="str">
        <f>AÑO!A8</f>
        <v>Manolo Salario</v>
      </c>
      <c r="J25" s="422" t="s">
        <v>323</v>
      </c>
      <c r="K25" s="423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20"/>
      <c r="J26" s="424"/>
      <c r="K26" s="425"/>
      <c r="L26" s="229"/>
      <c r="M26" s="1"/>
      <c r="R26" s="3"/>
    </row>
    <row r="27" spans="1:18" ht="15.75">
      <c r="A27" s="112">
        <f t="shared" ref="A27:A30" si="1">H27+(B27-SUM(D27:F27))</f>
        <v>202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12</v>
      </c>
      <c r="I27" s="420"/>
      <c r="J27" s="424"/>
      <c r="K27" s="425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75">
      <c r="A29" s="112">
        <f t="shared" si="1"/>
        <v>19.18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598.55999999999995</v>
      </c>
      <c r="B30" s="134">
        <v>5</v>
      </c>
      <c r="C30" s="27" t="s">
        <v>40</v>
      </c>
      <c r="D30" s="137"/>
      <c r="E30" s="138"/>
      <c r="F30" s="138"/>
      <c r="G30" s="16"/>
      <c r="H30" s="112">
        <v>593.55999999999995</v>
      </c>
      <c r="I30" s="419" t="str">
        <f>AÑO!A9</f>
        <v>Rocío Salario</v>
      </c>
      <c r="J30" s="422" t="s">
        <v>352</v>
      </c>
      <c r="K30" s="423"/>
      <c r="L30" s="231"/>
      <c r="M30" s="1"/>
      <c r="R30" s="3"/>
    </row>
    <row r="31" spans="1:18" ht="15.75">
      <c r="A31" s="112">
        <f>H31+(B31-SUM(D31:F31))</f>
        <v>10</v>
      </c>
      <c r="B31" s="134">
        <v>10</v>
      </c>
      <c r="C31" s="16" t="s">
        <v>781</v>
      </c>
      <c r="D31" s="137"/>
      <c r="E31" s="138"/>
      <c r="F31" s="138"/>
      <c r="G31" s="16"/>
      <c r="H31" s="112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9" t="s">
        <v>212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1815.86</v>
      </c>
      <c r="B40" s="135">
        <f>SUM(B26:B39)</f>
        <v>1163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652.8599999999999</v>
      </c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12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12"/>
      <c r="I45" s="419" t="str">
        <f>AÑO!A12</f>
        <v>Regalos</v>
      </c>
      <c r="J45" s="422"/>
      <c r="K45" s="423"/>
      <c r="L45" s="231"/>
      <c r="M45" s="112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12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12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21"/>
      <c r="J49" s="426"/>
      <c r="K49" s="427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19" t="str">
        <f>AÑO!A13</f>
        <v>Gubernamental</v>
      </c>
      <c r="J50" s="422" t="s">
        <v>826</v>
      </c>
      <c r="K50" s="423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21"/>
      <c r="J54" s="426"/>
      <c r="K54" s="427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5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19" t="str">
        <f>AÑO!A15</f>
        <v>Alquiler Cartama</v>
      </c>
      <c r="J60" s="422" t="s">
        <v>37</v>
      </c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12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H66+(B66-SUM(D66:F78))</f>
        <v>217.13</v>
      </c>
      <c r="B66" s="133">
        <v>175</v>
      </c>
      <c r="C66" s="19" t="s">
        <v>31</v>
      </c>
      <c r="D66" s="137"/>
      <c r="E66" s="138"/>
      <c r="F66" s="138"/>
      <c r="G66" s="19"/>
      <c r="H66" s="112">
        <v>42.13</v>
      </c>
      <c r="I66" s="420"/>
      <c r="J66" s="424"/>
      <c r="K66" s="425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20"/>
      <c r="J68" s="424"/>
      <c r="K68" s="425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34"/>
      <c r="J69" s="435"/>
      <c r="K69" s="436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10</v>
      </c>
      <c r="B79" s="233">
        <v>10</v>
      </c>
      <c r="C79" s="17" t="s">
        <v>228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227.13</v>
      </c>
      <c r="B80" s="135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12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12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181</v>
      </c>
      <c r="M105" s="1"/>
      <c r="R105" s="3"/>
    </row>
    <row r="106" spans="1:18" ht="15.75">
      <c r="A106" s="112">
        <f>H106+(B106-SUM(D106:F106))</f>
        <v>258.47000000000003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70.390000000000015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200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A119" s="112">
        <f>H119+(B119-SUM(D119:F119))</f>
        <v>35</v>
      </c>
      <c r="B119" s="135">
        <v>35</v>
      </c>
      <c r="C119" s="17" t="s">
        <v>650</v>
      </c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3567.5500000000006</v>
      </c>
      <c r="B120" s="135">
        <f>SUM(B106:B119)</f>
        <v>440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/>
      <c r="M125" s="1"/>
      <c r="R125" s="3"/>
    </row>
    <row r="126" spans="1:18" ht="15.75">
      <c r="A126" s="112">
        <f>H26+(B126-SUM(D126:F126))</f>
        <v>27.5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/>
      <c r="I126" s="89" t="s">
        <v>793</v>
      </c>
      <c r="M126" s="1"/>
      <c r="R126" s="3"/>
    </row>
    <row r="127" spans="1:18" ht="15.75">
      <c r="A127" s="112">
        <f>H27+(B127-SUM(D127:F128))</f>
        <v>27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/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 t="shared" ref="A129:A130" si="4">H29+(B129-SUM(D129:F129))</f>
        <v>9.18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12"/>
      <c r="M129" s="1"/>
      <c r="R129" s="3"/>
    </row>
    <row r="130" spans="1:18" ht="15.75">
      <c r="A130" s="112">
        <f t="shared" si="4"/>
        <v>611.05999999999995</v>
      </c>
      <c r="B130" s="134">
        <f>2.5+15</f>
        <v>17.5</v>
      </c>
      <c r="C130" s="16" t="s">
        <v>802</v>
      </c>
      <c r="D130" s="137"/>
      <c r="E130" s="138"/>
      <c r="F130" s="138"/>
      <c r="G130" s="16"/>
      <c r="H130" s="112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SUM(A126:A128)</f>
        <v>54.5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12"/>
      <c r="M145" s="1"/>
      <c r="R145" s="3"/>
    </row>
    <row r="146" spans="1:22" ht="15.75">
      <c r="A146" s="1"/>
      <c r="B146" s="133">
        <v>50</v>
      </c>
      <c r="C146" s="19" t="s">
        <v>173</v>
      </c>
      <c r="D146" s="137" t="s">
        <v>865</v>
      </c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861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75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75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20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1:8" ht="15" customHeight="1" thickBot="1">
      <c r="B243" s="411"/>
      <c r="C243" s="412"/>
      <c r="D243" s="412"/>
      <c r="E243" s="412"/>
      <c r="F243" s="412"/>
      <c r="G243" s="413"/>
      <c r="H243" s="112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1:8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  <c r="H245" s="112"/>
    </row>
    <row r="246" spans="1:8" ht="15" customHeight="1">
      <c r="A246" s="112">
        <f>H246+(B246-SUM(D246:F255))</f>
        <v>50</v>
      </c>
      <c r="B246" s="134">
        <v>50</v>
      </c>
      <c r="C246" s="27" t="s">
        <v>324</v>
      </c>
      <c r="D246" s="137"/>
      <c r="E246" s="138"/>
      <c r="F246" s="138"/>
      <c r="G246" s="16"/>
      <c r="H246" s="112"/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0</v>
      </c>
      <c r="B256" s="134">
        <f>0</f>
        <v>0</v>
      </c>
      <c r="C256" s="16" t="s">
        <v>331</v>
      </c>
      <c r="D256" s="137"/>
      <c r="E256" s="138"/>
      <c r="F256" s="138"/>
      <c r="G256" s="16"/>
      <c r="H256" s="112"/>
    </row>
    <row r="257" spans="1:9" ht="15.75">
      <c r="A257" s="112">
        <f>H257+(B257-SUM(D257:F257))</f>
        <v>0</v>
      </c>
      <c r="B257" s="134">
        <f>0</f>
        <v>0</v>
      </c>
      <c r="C257" s="16" t="s">
        <v>862</v>
      </c>
      <c r="D257" s="137"/>
      <c r="E257" s="138"/>
      <c r="F257" s="138"/>
      <c r="G257" s="16" t="s">
        <v>327</v>
      </c>
      <c r="H257" s="112"/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50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1:9" ht="15" customHeight="1" thickBot="1">
      <c r="B263" s="411"/>
      <c r="C263" s="412"/>
      <c r="D263" s="412"/>
      <c r="E263" s="412"/>
      <c r="F263" s="412"/>
      <c r="G263" s="413"/>
      <c r="H263" s="112"/>
    </row>
    <row r="264" spans="1:9" ht="15.75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40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1:8" ht="15" customHeight="1" thickBot="1">
      <c r="B283" s="411"/>
      <c r="C283" s="412"/>
      <c r="D283" s="412"/>
      <c r="E283" s="412"/>
      <c r="F283" s="412"/>
      <c r="G283" s="413"/>
      <c r="H283" s="112"/>
    </row>
    <row r="284" spans="1:8" ht="15.75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  <c r="H285" s="112"/>
    </row>
    <row r="286" spans="1:8" ht="15.75">
      <c r="A286" s="112">
        <f>H286+(SUM(B286:B298)-SUM(D286:F298))</f>
        <v>50</v>
      </c>
      <c r="B286" s="133">
        <v>50</v>
      </c>
      <c r="C286" s="19" t="s">
        <v>31</v>
      </c>
      <c r="D286" s="137"/>
      <c r="E286" s="138"/>
      <c r="F286" s="138"/>
      <c r="G286" s="16"/>
      <c r="H286" s="112"/>
    </row>
    <row r="287" spans="1:8" ht="15.75">
      <c r="A287" s="112"/>
      <c r="B287" s="134"/>
      <c r="C287" s="16"/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45</v>
      </c>
      <c r="B299" s="135">
        <f>40+5</f>
        <v>45</v>
      </c>
      <c r="C299" s="17" t="s">
        <v>863</v>
      </c>
      <c r="D299" s="135"/>
      <c r="E299" s="139"/>
      <c r="F299" s="139"/>
      <c r="G299" s="17"/>
      <c r="H299" s="112"/>
    </row>
    <row r="300" spans="1:8" ht="16.5" thickBot="1">
      <c r="A300" s="112">
        <f>SUM(A286:A299)</f>
        <v>95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1:8" ht="15" customHeight="1" thickBot="1">
      <c r="B303" s="411"/>
      <c r="C303" s="412"/>
      <c r="D303" s="412"/>
      <c r="E303" s="412"/>
      <c r="F303" s="412"/>
      <c r="G303" s="413"/>
      <c r="H303" s="112"/>
    </row>
    <row r="304" spans="1:8" ht="15.75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  <c r="H305" s="112"/>
    </row>
    <row r="306" spans="2:8" ht="15.75">
      <c r="B306" s="133">
        <v>130</v>
      </c>
      <c r="C306" s="19" t="s">
        <v>226</v>
      </c>
      <c r="D306" s="137"/>
      <c r="E306" s="138"/>
      <c r="F306" s="138"/>
      <c r="G306" s="16"/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75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2" t="str">
        <f>AÑO!A37</f>
        <v>Imprevistos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75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  <c r="H345" s="112"/>
    </row>
    <row r="346" spans="2:8" ht="15.75">
      <c r="B346" s="133">
        <v>0</v>
      </c>
      <c r="C346" s="19" t="s">
        <v>195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75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  <c r="H365" s="112"/>
    </row>
    <row r="366" spans="2:8" ht="15.75">
      <c r="B366" s="133">
        <v>60</v>
      </c>
      <c r="C366" s="19" t="s">
        <v>31</v>
      </c>
      <c r="D366" s="137"/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75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75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v>50</v>
      </c>
      <c r="C406" s="19"/>
      <c r="D406" s="137"/>
      <c r="E406" s="138"/>
      <c r="F406" s="138"/>
      <c r="G406" s="16"/>
      <c r="H406" s="112"/>
    </row>
    <row r="407" spans="2:8" ht="15.75">
      <c r="B407" s="134"/>
      <c r="C407" s="16"/>
      <c r="D407" s="137"/>
      <c r="E407" s="138"/>
      <c r="F407" s="138"/>
      <c r="G407" s="16"/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75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75">
      <c r="A425" s="113">
        <f>AÑO!C17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3900</v>
      </c>
      <c r="B426" s="134">
        <f>A425-SUM(A426:A439)</f>
        <v>-3900</v>
      </c>
      <c r="C426" s="19" t="s">
        <v>227</v>
      </c>
      <c r="D426" s="137"/>
      <c r="E426" s="138"/>
      <c r="F426" s="138"/>
      <c r="G426" s="16"/>
      <c r="H426" s="112"/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75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2" t="str">
        <f>AÑO!A43</f>
        <v>NULO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75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75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75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856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f>2397.48-4.45</f>
        <v>2393.0300000000002</v>
      </c>
      <c r="L5" s="431"/>
      <c r="M5" s="1"/>
      <c r="N5" s="1"/>
      <c r="R5" s="3"/>
    </row>
    <row r="6" spans="1:22" ht="15.75">
      <c r="A6" s="112">
        <f>'01'!A6+(B6-SUM(D6:F6))</f>
        <v>395.26</v>
      </c>
      <c r="B6" s="133">
        <v>262.38</v>
      </c>
      <c r="C6" s="19" t="s">
        <v>178</v>
      </c>
      <c r="D6" s="137"/>
      <c r="E6" s="138">
        <v>262.38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620.08000000000004</v>
      </c>
      <c r="L6" s="415"/>
      <c r="M6" s="1" t="s">
        <v>163</v>
      </c>
      <c r="N6" s="1"/>
      <c r="R6" s="3"/>
    </row>
    <row r="7" spans="1:22" ht="15.75">
      <c r="A7" s="112">
        <f>'01'!A7+(B7-SUM(D7:F7))</f>
        <v>576.63999999999987</v>
      </c>
      <c r="B7" s="134">
        <v>70.180000000000007</v>
      </c>
      <c r="C7" s="16" t="s">
        <v>196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4">
        <f>7340.23-4.45</f>
        <v>7335.78</v>
      </c>
      <c r="L7" s="415"/>
      <c r="M7" s="1"/>
      <c r="N7" s="1"/>
      <c r="R7" s="3"/>
    </row>
    <row r="8" spans="1:22" ht="15.75">
      <c r="A8" s="112">
        <f>'01'!A8+(B8-SUM(D8:F8))</f>
        <v>-227.88</v>
      </c>
      <c r="B8" s="134">
        <v>0</v>
      </c>
      <c r="C8" s="16" t="s">
        <v>33</v>
      </c>
      <c r="D8" s="137"/>
      <c r="E8" s="113">
        <v>112.11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7001.87</v>
      </c>
      <c r="L8" s="41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155</v>
      </c>
      <c r="K9" s="414">
        <v>669.52</v>
      </c>
      <c r="L9" s="415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'01'!A11+(B11-SUM(D11:F11))</f>
        <v>30.25</v>
      </c>
      <c r="B11" s="134">
        <v>0.02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160+155</f>
        <v>315</v>
      </c>
      <c r="L11" s="415"/>
      <c r="M11" s="1"/>
      <c r="N11" s="1"/>
      <c r="R11" s="3"/>
    </row>
    <row r="12" spans="1:22" ht="15.75">
      <c r="A12" s="112">
        <f>'01'!A12+(B12-SUM(D12:F12))</f>
        <v>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v>5092.08</v>
      </c>
      <c r="L12" s="415"/>
      <c r="M12" s="92"/>
      <c r="N12" s="1"/>
      <c r="R12" s="3"/>
    </row>
    <row r="13" spans="1:22" ht="15.75">
      <c r="A13" s="112">
        <f>'01'!A13+(B13-SUM(D13:F13))</f>
        <v>70</v>
      </c>
      <c r="B13" s="134">
        <v>7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5" thickBot="1">
      <c r="A20" s="112">
        <f>SUM(A6:A15)</f>
        <v>925.81</v>
      </c>
      <c r="B20" s="135">
        <f>SUM(B6:B19)</f>
        <v>376.58</v>
      </c>
      <c r="C20" s="17" t="s">
        <v>51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198">
        <v>2592.42</v>
      </c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'01'!A27+(B27-SUM(D27:F27))</f>
        <v>205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598.55999999999995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241</v>
      </c>
      <c r="K30" s="423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246</v>
      </c>
      <c r="K31" s="425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253</v>
      </c>
      <c r="K32" s="425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241</v>
      </c>
      <c r="K33" s="425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 t="s">
        <v>283</v>
      </c>
      <c r="K35" s="423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1848.9099999999999</v>
      </c>
      <c r="B40" s="135">
        <f>SUM(B26:B39)</f>
        <v>1128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158</v>
      </c>
      <c r="K45" s="423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235</v>
      </c>
      <c r="H46" s="1"/>
      <c r="I46" s="420"/>
      <c r="J46" s="424"/>
      <c r="K46" s="425"/>
      <c r="L46" s="19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f>103.32-D146</f>
        <v>70.849999999999994</v>
      </c>
      <c r="E47" s="138"/>
      <c r="F47" s="138"/>
      <c r="G47" s="16" t="s">
        <v>236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239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240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250</v>
      </c>
      <c r="H50" s="1"/>
      <c r="I50" s="419" t="str">
        <f>AÑO!A13</f>
        <v>Gubernamental</v>
      </c>
      <c r="J50" s="422" t="s">
        <v>232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256</v>
      </c>
      <c r="H51" s="1"/>
      <c r="I51" s="420"/>
      <c r="J51" s="424"/>
      <c r="K51" s="425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257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270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274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275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51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51</v>
      </c>
      <c r="H60" s="1"/>
      <c r="I60" s="419" t="str">
        <f>AÑO!A15</f>
        <v>Alquiler Cartama</v>
      </c>
      <c r="J60" s="422" t="s">
        <v>242</v>
      </c>
      <c r="K60" s="423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'01'!A66+(B66-SUM(D66:F78))</f>
        <v>191.49</v>
      </c>
      <c r="B66" s="133">
        <v>150</v>
      </c>
      <c r="C66" s="19" t="s">
        <v>31</v>
      </c>
      <c r="D66" s="137">
        <v>21.6</v>
      </c>
      <c r="E66" s="138"/>
      <c r="F66" s="138"/>
      <c r="G66" s="19" t="s">
        <v>247</v>
      </c>
      <c r="H66" s="1"/>
      <c r="I66" s="420"/>
      <c r="J66" s="424"/>
      <c r="K66" s="425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259</v>
      </c>
      <c r="H67" s="1"/>
      <c r="I67" s="420"/>
      <c r="J67" s="424"/>
      <c r="K67" s="425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261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266</v>
      </c>
      <c r="H69" s="1"/>
      <c r="I69" s="434"/>
      <c r="J69" s="435"/>
      <c r="K69" s="436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277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30</v>
      </c>
      <c r="B79" s="233">
        <v>20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221.49</v>
      </c>
      <c r="B80" s="233">
        <f>SUM(B66:B79)</f>
        <v>180</v>
      </c>
      <c r="C80" s="17" t="s">
        <v>51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48.45</v>
      </c>
      <c r="E86" s="138"/>
      <c r="F86" s="138"/>
      <c r="G86" s="16" t="s">
        <v>254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269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268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281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'01'!A107+(B107-SUM(D107:F107))</f>
        <v>70.480000000000018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200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626.04999999999995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D127+D128+'01'!I127</f>
        <v>20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51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43.29-10.82</f>
        <v>32.47</v>
      </c>
      <c r="E146" s="138"/>
      <c r="F146" s="138"/>
      <c r="G146" s="16" t="s">
        <v>236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252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265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158</v>
      </c>
      <c r="D173" s="137">
        <v>225.14</v>
      </c>
      <c r="E173" s="138"/>
      <c r="F173" s="138"/>
      <c r="G173" s="16" t="s">
        <v>243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255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800.04</v>
      </c>
      <c r="C180" s="17" t="s">
        <v>51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</v>
      </c>
      <c r="E186" s="138"/>
      <c r="F186" s="138"/>
      <c r="G186" s="16" t="s">
        <v>249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256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>
        <v>3.5</v>
      </c>
      <c r="E227" s="138"/>
      <c r="F227" s="138"/>
      <c r="G227" s="16" t="s">
        <v>275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275</v>
      </c>
    </row>
    <row r="247" spans="2:7" ht="15" customHeight="1">
      <c r="B247" s="134">
        <v>40</v>
      </c>
      <c r="C247" s="16" t="s">
        <v>285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244</v>
      </c>
    </row>
    <row r="267" spans="2:7">
      <c r="B267" s="134"/>
      <c r="C267" s="16"/>
      <c r="D267" s="137">
        <v>10.45</v>
      </c>
      <c r="E267" s="138"/>
      <c r="F267" s="138"/>
      <c r="G267" s="16" t="s">
        <v>248</v>
      </c>
    </row>
    <row r="268" spans="2:7">
      <c r="B268" s="134"/>
      <c r="C268" s="16"/>
      <c r="D268" s="137"/>
      <c r="E268" s="138">
        <v>57.96</v>
      </c>
      <c r="F268" s="138"/>
      <c r="G268" s="16" t="s">
        <v>272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13.6</v>
      </c>
      <c r="E306" s="138"/>
      <c r="F306" s="138"/>
      <c r="G306" s="16" t="s">
        <v>258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271</v>
      </c>
    </row>
    <row r="308" spans="2:7">
      <c r="B308" s="134">
        <v>61.11</v>
      </c>
      <c r="C308" s="27" t="s">
        <v>284</v>
      </c>
      <c r="D308" s="137">
        <v>11.12</v>
      </c>
      <c r="E308" s="138"/>
      <c r="F308" s="138"/>
      <c r="G308" s="16" t="s">
        <v>276</v>
      </c>
    </row>
    <row r="309" spans="2:7">
      <c r="B309" s="134"/>
      <c r="C309" s="16"/>
      <c r="D309" s="137">
        <v>6</v>
      </c>
      <c r="E309" s="138"/>
      <c r="F309" s="138"/>
      <c r="G309" s="16" t="s">
        <v>275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256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285.64999999999998</v>
      </c>
      <c r="E346" s="138"/>
      <c r="F346" s="138"/>
      <c r="G346" s="16" t="s">
        <v>245</v>
      </c>
    </row>
    <row r="347" spans="2:7">
      <c r="B347" s="134"/>
      <c r="C347" s="16"/>
      <c r="D347" s="137"/>
      <c r="E347" s="138"/>
      <c r="F347" s="138">
        <v>30</v>
      </c>
      <c r="G347" s="16" t="s">
        <v>267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252</v>
      </c>
    </row>
    <row r="368" spans="2:7">
      <c r="B368" s="134"/>
      <c r="C368" s="16"/>
      <c r="D368" s="137">
        <v>60</v>
      </c>
      <c r="E368" s="138"/>
      <c r="F368" s="138"/>
      <c r="G368" s="16" t="s">
        <v>260</v>
      </c>
    </row>
    <row r="369" spans="2:7">
      <c r="B369" s="134"/>
      <c r="C369" s="16"/>
      <c r="D369" s="137">
        <v>26.58</v>
      </c>
      <c r="E369" s="138"/>
      <c r="F369" s="138"/>
      <c r="G369" s="16" t="s">
        <v>264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233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280</v>
      </c>
    </row>
    <row r="426" spans="1:8" ht="15.75">
      <c r="A426" s="112">
        <v>3900</v>
      </c>
      <c r="B426" s="134">
        <f>A425-SUM(A426:A439)</f>
        <v>120.06999999999971</v>
      </c>
      <c r="C426" s="19" t="s">
        <v>227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-3349.9300000000021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172</v>
      </c>
      <c r="D466" s="137"/>
      <c r="E466" s="138"/>
      <c r="F466" s="138"/>
      <c r="G466" s="16"/>
    </row>
    <row r="467" spans="1:7" ht="15.75">
      <c r="A467" s="112">
        <f>'01'!A467+(B467-SUM(D467:F467))</f>
        <v>-282.79000000000002</v>
      </c>
      <c r="B467" s="134">
        <f>399.59-B6+50+30</f>
        <v>217.20999999999998</v>
      </c>
      <c r="C467" s="16" t="s">
        <v>182</v>
      </c>
      <c r="D467" s="137"/>
      <c r="E467" s="138">
        <v>500</v>
      </c>
      <c r="F467" s="138"/>
      <c r="G467" s="16" t="s">
        <v>237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-262.58000000000004</v>
      </c>
      <c r="B480" s="135">
        <f>SUM(B466:B479)</f>
        <v>237.42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282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1559.34</v>
      </c>
      <c r="L5" s="431"/>
      <c r="M5" s="1"/>
      <c r="N5" s="1"/>
      <c r="R5" s="3"/>
    </row>
    <row r="6" spans="1:22" ht="15.75">
      <c r="A6" s="112">
        <f>'02'!A6+(B6-SUM(D6:F6))</f>
        <v>395.26</v>
      </c>
      <c r="B6" s="133">
        <v>399.59</v>
      </c>
      <c r="C6" s="19" t="s">
        <v>178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620.08000000000004</v>
      </c>
      <c r="L6" s="415"/>
      <c r="M6" s="1" t="s">
        <v>163</v>
      </c>
      <c r="N6" s="1"/>
      <c r="R6" s="3"/>
    </row>
    <row r="7" spans="1:22" ht="15.75">
      <c r="A7" s="112">
        <f>'02'!A7+(B7-SUM(D7:F7))</f>
        <v>-101.71000000000004</v>
      </c>
      <c r="B7" s="134">
        <v>70.180000000000007</v>
      </c>
      <c r="C7" s="16" t="s">
        <v>196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14">
        <v>8577.0300000000007</v>
      </c>
      <c r="L7" s="415"/>
      <c r="M7" s="1"/>
      <c r="N7" s="1"/>
      <c r="R7" s="3"/>
    </row>
    <row r="8" spans="1:22" ht="15.75">
      <c r="A8" s="112">
        <f>'02'!A8+(B8-SUM(D8:F8))</f>
        <v>-115.77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3501.87</v>
      </c>
      <c r="L8" s="41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155</v>
      </c>
      <c r="K9" s="414">
        <v>4167.34</v>
      </c>
      <c r="L9" s="415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'02'!A11+(B11-SUM(D11:F11))</f>
        <v>30.240000000000002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v>255</v>
      </c>
      <c r="L11" s="415"/>
      <c r="M11" s="1"/>
      <c r="N11" s="1"/>
      <c r="R11" s="3"/>
    </row>
    <row r="12" spans="1:22" ht="15.75">
      <c r="A12" s="112">
        <f>'02'!A12+(B12-SUM(D12:F12))</f>
        <v>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v>5092.08</v>
      </c>
      <c r="L12" s="415"/>
      <c r="M12" s="92"/>
      <c r="N12" s="1"/>
      <c r="R12" s="3"/>
    </row>
    <row r="13" spans="1:22" ht="15.75">
      <c r="A13" s="112">
        <f>'02'!A13+(B13-SUM(D13:F13))</f>
        <v>-2</v>
      </c>
      <c r="B13" s="134">
        <v>7</v>
      </c>
      <c r="C13" s="16" t="s">
        <v>251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5" thickBot="1">
      <c r="A20" s="112">
        <f>SUM(A6:A15)</f>
        <v>324.56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'02'!A27+(B27-SUM(D27:F27))</f>
        <v>205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'02'!A29+(B29-SUM(D29:F29))</f>
        <v>19.28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191.27999999999997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286</v>
      </c>
      <c r="K30" s="423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229</v>
      </c>
      <c r="K31" s="425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253</v>
      </c>
      <c r="K32" s="425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1481.6799999999998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303</v>
      </c>
      <c r="K45" s="423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287</v>
      </c>
      <c r="H46" s="1"/>
      <c r="I46" s="420"/>
      <c r="J46" s="424" t="s">
        <v>158</v>
      </c>
      <c r="K46" s="425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288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295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299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298</v>
      </c>
      <c r="H50" s="1"/>
      <c r="I50" s="419" t="str">
        <f>AÑO!A13</f>
        <v>Gubernamental</v>
      </c>
      <c r="J50" s="422" t="s">
        <v>232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305</v>
      </c>
      <c r="H51" s="1"/>
      <c r="I51" s="420"/>
      <c r="J51" s="424" t="s">
        <v>339</v>
      </c>
      <c r="K51" s="425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309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310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329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343</v>
      </c>
      <c r="H55" s="1"/>
      <c r="I55" s="419" t="str">
        <f>AÑO!A14</f>
        <v>Mutualite/DKV</v>
      </c>
      <c r="J55" s="437" t="str">
        <f>G306</f>
        <v>12/03 Chirec</v>
      </c>
      <c r="K55" s="423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290</v>
      </c>
      <c r="K60" s="423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'02'!A66+(B66-SUM(D66:F77))</f>
        <v>194.97000000000003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289</v>
      </c>
      <c r="H66" s="1"/>
      <c r="I66" s="420"/>
      <c r="J66" s="424"/>
      <c r="K66" s="425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297</v>
      </c>
      <c r="H67" s="1"/>
      <c r="I67" s="420"/>
      <c r="J67" s="424"/>
      <c r="K67" s="4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301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311</v>
      </c>
      <c r="H69" s="1"/>
      <c r="I69" s="434"/>
      <c r="J69" s="435"/>
      <c r="K69" s="436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312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342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344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158</v>
      </c>
      <c r="D78" s="137"/>
      <c r="E78" s="138"/>
      <c r="F78" s="138">
        <v>100</v>
      </c>
      <c r="G78" s="16" t="s">
        <v>291</v>
      </c>
      <c r="H78" s="1" t="s">
        <v>158</v>
      </c>
      <c r="M78" s="1"/>
      <c r="R78" s="3"/>
    </row>
    <row r="79" spans="1:18" ht="16.5" thickBot="1">
      <c r="A79" s="112">
        <f>'02'!A79+(B79-SUM(D79:F79))</f>
        <v>40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234.97000000000003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49.03</v>
      </c>
      <c r="E86" s="138"/>
      <c r="F86" s="138"/>
      <c r="G86" s="16" t="s">
        <v>314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315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316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320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70.570000000000022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336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676.14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793</v>
      </c>
      <c r="I127" s="113">
        <f>D127+D128+'02'!I127</f>
        <v>35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73.66</v>
      </c>
      <c r="E146" s="138"/>
      <c r="F146" s="138"/>
      <c r="G146" s="16" t="s">
        <v>296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309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400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158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40.5</v>
      </c>
      <c r="E186" s="138"/>
      <c r="F186" s="138"/>
      <c r="G186" s="16" t="s">
        <v>332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308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330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302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306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321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331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327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325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326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292</v>
      </c>
    </row>
    <row r="267" spans="1:7">
      <c r="B267" s="134">
        <v>4021.94</v>
      </c>
      <c r="C267" s="16" t="s">
        <v>339</v>
      </c>
      <c r="D267" s="137"/>
      <c r="E267" s="138"/>
      <c r="F267" s="138">
        <v>15</v>
      </c>
      <c r="G267" s="16" t="s">
        <v>345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45.36</v>
      </c>
      <c r="E306" s="138"/>
      <c r="F306" s="138"/>
      <c r="G306" s="16" t="s">
        <v>304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317</v>
      </c>
    </row>
    <row r="308" spans="2:7">
      <c r="B308" s="134">
        <f>L55</f>
        <v>9.44</v>
      </c>
      <c r="C308" s="27" t="s">
        <v>328</v>
      </c>
      <c r="D308" s="137">
        <v>8.27</v>
      </c>
      <c r="E308" s="138"/>
      <c r="F308" s="138"/>
      <c r="G308" s="16" t="s">
        <v>318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338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340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313</v>
      </c>
    </row>
    <row r="327" spans="2:7">
      <c r="B327" s="134">
        <v>100</v>
      </c>
      <c r="C327" s="16" t="s">
        <v>303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16</v>
      </c>
      <c r="E346" s="138"/>
      <c r="F346" s="138"/>
      <c r="G346" s="16" t="s">
        <v>293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294</v>
      </c>
    </row>
    <row r="348" spans="2:7">
      <c r="B348" s="134"/>
      <c r="C348" s="16"/>
      <c r="D348" s="137">
        <v>16</v>
      </c>
      <c r="E348" s="138"/>
      <c r="F348" s="138"/>
      <c r="G348" s="16" t="s">
        <v>307</v>
      </c>
    </row>
    <row r="349" spans="2:7">
      <c r="B349" s="134"/>
      <c r="C349" s="16"/>
      <c r="D349" s="137">
        <v>10</v>
      </c>
      <c r="E349" s="138"/>
      <c r="F349" s="138"/>
      <c r="G349" s="16" t="s">
        <v>308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319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233</v>
      </c>
    </row>
    <row r="407" spans="2:7">
      <c r="B407" s="134">
        <v>-984.2</v>
      </c>
      <c r="C407" s="16" t="s">
        <v>334</v>
      </c>
      <c r="D407" s="137">
        <v>44.93</v>
      </c>
      <c r="E407" s="138"/>
      <c r="F407" s="138"/>
      <c r="G407" s="16" t="s">
        <v>333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337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335</v>
      </c>
      <c r="D466" s="137"/>
      <c r="E466" s="138"/>
      <c r="F466" s="138"/>
      <c r="G466" s="16"/>
    </row>
    <row r="467" spans="1:9" ht="15.75">
      <c r="A467" s="112">
        <f>'02'!A467+(B467-SUM(D467:F467))</f>
        <v>-207.79000000000002</v>
      </c>
      <c r="B467" s="134">
        <f>35+40</f>
        <v>75</v>
      </c>
      <c r="C467" s="16" t="s">
        <v>182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183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-667.57999999999993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341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861.84</v>
      </c>
      <c r="L5" s="431"/>
      <c r="M5" s="1"/>
      <c r="N5" s="1"/>
      <c r="R5" s="3"/>
    </row>
    <row r="6" spans="1:22" ht="15.75">
      <c r="A6" s="112">
        <f>'03'!A6+(B6-SUM(D6:F6))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620.08000000000004</v>
      </c>
      <c r="L6" s="415"/>
      <c r="M6" s="1" t="s">
        <v>163</v>
      </c>
      <c r="N6" s="1"/>
      <c r="R6" s="3"/>
    </row>
    <row r="7" spans="1:22" ht="15.75">
      <c r="A7" s="112">
        <f>'03'!A7+(B7-SUM(D7:F7))</f>
        <v>-34.520000000000039</v>
      </c>
      <c r="B7" s="134">
        <v>67.19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10075.709999999999</v>
      </c>
      <c r="L7" s="415"/>
      <c r="M7" s="1"/>
      <c r="N7" s="1"/>
      <c r="R7" s="3"/>
    </row>
    <row r="8" spans="1:22" ht="15.75">
      <c r="A8" s="112">
        <f>'03'!A8+(B8-SUM(D8:F8))</f>
        <v>-218.20999999999998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3501.87</v>
      </c>
      <c r="L8" s="41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35.96</v>
      </c>
      <c r="L9" s="415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'03'!A11+(B11-SUM(D11:F11))</f>
        <v>30.230000000000004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v>370</v>
      </c>
      <c r="L11" s="415"/>
      <c r="M11" s="1"/>
      <c r="N11" s="1"/>
      <c r="R11" s="3"/>
    </row>
    <row r="12" spans="1:22" ht="15.75">
      <c r="A12" s="112">
        <f>'03'!A12+(B12-SUM(D12:F12))</f>
        <v>119.54000000000002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5092.08+4084.2</f>
        <v>9176.2799999999988</v>
      </c>
      <c r="L12" s="415"/>
      <c r="M12" s="92"/>
      <c r="N12" s="1"/>
      <c r="R12" s="3"/>
    </row>
    <row r="13" spans="1:22" ht="15.75">
      <c r="A13" s="112">
        <f>'03'!A13+(B13-SUM(D13:F13))</f>
        <v>4.5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26443.759999999998</v>
      </c>
      <c r="L19" s="439"/>
      <c r="M19" s="1"/>
      <c r="N19" s="1"/>
      <c r="R19" s="3"/>
    </row>
    <row r="20" spans="1:18" ht="16.5" thickBot="1">
      <c r="A20" s="112">
        <f>SUM(A6:A15)</f>
        <v>320.8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'03'!A27+(B27-SUM(D27:F27))</f>
        <v>209.01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286</v>
      </c>
      <c r="K30" s="423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352</v>
      </c>
      <c r="K31" s="425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253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1525.74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346</v>
      </c>
      <c r="K40" s="423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366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 t="s">
        <v>58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367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373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>
        <v>40</v>
      </c>
      <c r="C48" s="16" t="s">
        <v>351</v>
      </c>
      <c r="D48" s="137">
        <v>5.35</v>
      </c>
      <c r="E48" s="138"/>
      <c r="F48" s="138"/>
      <c r="G48" s="16" t="s">
        <v>378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 t="s">
        <v>383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386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355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7" t="str">
        <f>'03'!G307</f>
        <v>22/03 Chirec</v>
      </c>
      <c r="K55" s="423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0" t="str">
        <f>'03'!G309</f>
        <v>26/03 Ginecologa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370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'03'!A66+(B66+B67-SUM(D66:F78))</f>
        <v>253.97000000000003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374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-50</v>
      </c>
      <c r="C67" s="16" t="s">
        <v>386</v>
      </c>
      <c r="D67" s="137">
        <v>41</v>
      </c>
      <c r="E67" s="138"/>
      <c r="F67" s="138"/>
      <c r="G67" s="31" t="s">
        <v>380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50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303.97000000000003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57.56</v>
      </c>
      <c r="E86" s="138"/>
      <c r="F86" s="138"/>
      <c r="G86" s="16" t="s">
        <v>364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381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387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184</v>
      </c>
      <c r="D108" s="137">
        <v>50</v>
      </c>
      <c r="E108" s="138"/>
      <c r="F108" s="138"/>
      <c r="G108" s="34" t="s">
        <v>376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377</v>
      </c>
      <c r="D109" s="137">
        <v>11</v>
      </c>
      <c r="E109" s="138"/>
      <c r="F109" s="138">
        <v>3</v>
      </c>
      <c r="G109" s="31" t="s">
        <v>382</v>
      </c>
      <c r="H109" s="1"/>
      <c r="M109" s="1"/>
      <c r="R109" s="3"/>
    </row>
    <row r="110" spans="1:18" ht="15.75">
      <c r="B110" s="134">
        <v>1370</v>
      </c>
      <c r="C110" s="18" t="s">
        <v>365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366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662.23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D127+D128+'03'!I127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348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356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359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361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368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385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25.99</f>
        <v>25.99</v>
      </c>
      <c r="E186" s="138"/>
      <c r="F186" s="138"/>
      <c r="G186" s="16" t="s">
        <v>358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350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357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353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325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326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349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354</v>
      </c>
    </row>
    <row r="287" spans="2:8">
      <c r="B287" s="134"/>
      <c r="C287" s="16"/>
      <c r="D287" s="137">
        <v>9.65</v>
      </c>
      <c r="E287" s="138"/>
      <c r="F287" s="138"/>
      <c r="G287" s="16" t="s">
        <v>360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369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>
        <f>37.5+37.5</f>
        <v>75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363</v>
      </c>
    </row>
    <row r="308" spans="2:7">
      <c r="B308" s="134">
        <f>L55+L56+L57</f>
        <v>37.980000000000004</v>
      </c>
      <c r="C308" s="27" t="s">
        <v>388</v>
      </c>
      <c r="D308" s="137"/>
      <c r="E308" s="138"/>
      <c r="F308" s="138">
        <v>50</v>
      </c>
      <c r="G308" s="16" t="s">
        <v>370</v>
      </c>
    </row>
    <row r="309" spans="2:7">
      <c r="B309" s="134"/>
      <c r="C309" s="16"/>
      <c r="D309" s="137">
        <v>63.9</v>
      </c>
      <c r="E309" s="138"/>
      <c r="F309" s="138"/>
      <c r="G309" s="16" t="s">
        <v>390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365</v>
      </c>
      <c r="D387" s="137"/>
      <c r="E387" s="138"/>
      <c r="F387" s="138"/>
      <c r="G387" s="16"/>
    </row>
    <row r="388" spans="2:7">
      <c r="B388" s="134">
        <v>106.26</v>
      </c>
      <c r="C388" s="27" t="s">
        <v>366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347</v>
      </c>
    </row>
    <row r="407" spans="2:7">
      <c r="B407" s="134">
        <v>3.75</v>
      </c>
      <c r="C407" s="16" t="s">
        <v>346</v>
      </c>
      <c r="D407" s="137"/>
      <c r="E407" s="138">
        <f>10+10</f>
        <v>20</v>
      </c>
      <c r="F407" s="138"/>
      <c r="G407" s="16" t="s">
        <v>371</v>
      </c>
    </row>
    <row r="408" spans="2:7">
      <c r="B408" s="134">
        <v>984.2</v>
      </c>
      <c r="C408" s="18" t="s">
        <v>365</v>
      </c>
      <c r="D408" s="137"/>
      <c r="E408" s="138"/>
      <c r="F408" s="138"/>
      <c r="G408" s="16"/>
    </row>
    <row r="409" spans="2:7">
      <c r="B409" s="134">
        <v>85.02</v>
      </c>
      <c r="C409" s="27" t="s">
        <v>366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227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389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365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'03'!A467+(B467-SUM(D467:F467))</f>
        <v>-157.79000000000002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183</v>
      </c>
      <c r="D468" s="137"/>
      <c r="E468" s="138"/>
      <c r="F468" s="138"/>
      <c r="G468" s="16"/>
    </row>
    <row r="469" spans="1:7">
      <c r="B469" s="134">
        <v>500</v>
      </c>
      <c r="C469" s="18" t="s">
        <v>365</v>
      </c>
      <c r="D469" s="137"/>
      <c r="E469" s="138"/>
      <c r="F469" s="138"/>
      <c r="G469" s="16"/>
    </row>
    <row r="470" spans="1:7">
      <c r="B470" s="134">
        <v>43.19</v>
      </c>
      <c r="C470" s="27" t="s">
        <v>366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-44.390000000000015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1773.93</v>
      </c>
      <c r="L5" s="431"/>
      <c r="M5" s="1"/>
      <c r="N5" s="1"/>
      <c r="R5" s="3"/>
    </row>
    <row r="6" spans="1:22" ht="15.75">
      <c r="A6" s="112">
        <f>'04'!A6+(B6-SUM(D6:F6))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</v>
      </c>
      <c r="L6" s="415"/>
      <c r="M6" s="1" t="s">
        <v>163</v>
      </c>
      <c r="N6" s="1"/>
      <c r="R6" s="3"/>
    </row>
    <row r="7" spans="1:22" ht="15.75">
      <c r="A7" s="112">
        <f>'04'!A7+(B7-SUM(D7:F7))</f>
        <v>32.669999999999959</v>
      </c>
      <c r="B7" s="134">
        <v>67.19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7144.52</v>
      </c>
      <c r="L7" s="415"/>
      <c r="M7" s="1"/>
      <c r="N7" s="1"/>
      <c r="R7" s="3"/>
    </row>
    <row r="8" spans="1:22" ht="15.75">
      <c r="A8" s="112">
        <f>'04'!A8+(B8-SUM(D8:F8))</f>
        <v>-115.76999999999998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10005.620000000001</v>
      </c>
      <c r="L8" s="41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514.82000000000005</v>
      </c>
      <c r="L9" s="415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'04'!A11+(B11-SUM(D11:F11))</f>
        <v>30.220000000000006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210</f>
        <v>210</v>
      </c>
      <c r="L11" s="415"/>
      <c r="M11" s="1"/>
      <c r="N11" s="1"/>
      <c r="R11" s="3"/>
    </row>
    <row r="12" spans="1:22" ht="15.75">
      <c r="A12" s="112">
        <f>'04'!A12+(B12-SUM(D12:F12))</f>
        <v>144.54000000000002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v>5092.08</v>
      </c>
      <c r="L12" s="415"/>
      <c r="M12" s="92"/>
      <c r="N12" s="1"/>
      <c r="R12" s="3"/>
    </row>
    <row r="13" spans="1:22" ht="15.75">
      <c r="A13" s="112">
        <f>'04'!A13+(B13-SUM(D13:F13))</f>
        <v>11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27163.090000000004</v>
      </c>
      <c r="L19" s="439"/>
      <c r="M19" s="1"/>
      <c r="N19" s="1"/>
      <c r="R19" s="3"/>
    </row>
    <row r="20" spans="1:18" ht="16.5" thickBot="1">
      <c r="A20" s="112">
        <f>SUM(A6:A15)</f>
        <v>521.92000000000007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'04'!A27+(B27-SUM(D27:F27))</f>
        <v>213.01999999999998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352</v>
      </c>
      <c r="K30" s="423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286</v>
      </c>
      <c r="K31" s="425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253</v>
      </c>
      <c r="K32" s="425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1401.98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394</v>
      </c>
      <c r="K40" s="423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393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396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379</v>
      </c>
      <c r="D48" s="137">
        <v>27.34</v>
      </c>
      <c r="E48" s="138"/>
      <c r="F48" s="138"/>
      <c r="G48" s="16" t="s">
        <v>402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403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410</v>
      </c>
      <c r="H50" s="1"/>
      <c r="I50" s="419" t="str">
        <f>AÑO!A13</f>
        <v>Gubernamental</v>
      </c>
      <c r="J50" s="422" t="s">
        <v>404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411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415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418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523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524</v>
      </c>
      <c r="H55" s="1"/>
      <c r="I55" s="419" t="str">
        <f>AÑO!A14</f>
        <v>Mutualite/DKV</v>
      </c>
      <c r="J55" s="422" t="s">
        <v>398</v>
      </c>
      <c r="K55" s="423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'04'!A66+(B66-SUM(D66:F78))</f>
        <v>201.12000000000003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392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400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401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408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409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416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525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60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261.12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55.61</v>
      </c>
      <c r="E86" s="138"/>
      <c r="F86" s="138"/>
      <c r="G86" s="16" t="s">
        <v>397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412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421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526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531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334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712.31999999999994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D127+D128+'04'!I127</f>
        <v>55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59</f>
        <v>59</v>
      </c>
      <c r="E146" s="138"/>
      <c r="F146" s="138"/>
      <c r="G146" s="16" t="s">
        <v>396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414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484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47.63</v>
      </c>
      <c r="E186" s="138"/>
      <c r="F186" s="138"/>
      <c r="G186" s="16" t="s">
        <v>417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413</v>
      </c>
    </row>
    <row r="207" spans="2:12">
      <c r="B207" s="134">
        <v>15</v>
      </c>
      <c r="C207" s="16" t="s">
        <v>484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324</v>
      </c>
      <c r="D246" s="137">
        <v>15</v>
      </c>
      <c r="E246" s="138"/>
      <c r="F246" s="138"/>
      <c r="G246" s="16" t="s">
        <v>411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419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353</v>
      </c>
      <c r="D257" s="137"/>
      <c r="E257" s="138">
        <f>100.67</f>
        <v>100.67</v>
      </c>
      <c r="F257" s="138"/>
      <c r="G257" s="16" t="s">
        <v>529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325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399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406</v>
      </c>
    </row>
    <row r="287" spans="2:8">
      <c r="B287" s="134">
        <v>35</v>
      </c>
      <c r="C287" s="16" t="s">
        <v>530</v>
      </c>
      <c r="D287" s="137">
        <v>54.8</v>
      </c>
      <c r="E287" s="138"/>
      <c r="F287" s="138"/>
      <c r="G287" s="16" t="s">
        <v>532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550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>
        <v>4.4000000000000004</v>
      </c>
      <c r="E306" s="138"/>
      <c r="F306" s="138"/>
      <c r="G306" s="16" t="s">
        <v>391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398</v>
      </c>
    </row>
    <row r="308" spans="2:7">
      <c r="B308" s="134">
        <v>17.45</v>
      </c>
      <c r="C308" s="27" t="s">
        <v>407</v>
      </c>
      <c r="D308" s="137">
        <f>51.89+44.67</f>
        <v>96.56</v>
      </c>
      <c r="E308" s="138"/>
      <c r="F308" s="138"/>
      <c r="G308" s="16" t="s">
        <v>522</v>
      </c>
    </row>
    <row r="309" spans="2:7">
      <c r="B309" s="134">
        <v>170</v>
      </c>
      <c r="C309" s="16" t="s">
        <v>484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405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551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395</v>
      </c>
    </row>
    <row r="407" spans="2:7">
      <c r="B407" s="134">
        <v>45.86</v>
      </c>
      <c r="C407" s="16" t="s">
        <v>394</v>
      </c>
      <c r="D407" s="137"/>
      <c r="E407" s="138"/>
      <c r="F407" s="138"/>
      <c r="G407" s="16"/>
    </row>
    <row r="408" spans="2:7">
      <c r="B408" s="134">
        <v>-1094.26</v>
      </c>
      <c r="C408" s="16" t="s">
        <v>334</v>
      </c>
      <c r="D408" s="137">
        <v>44.48</v>
      </c>
      <c r="E408" s="138"/>
      <c r="F408" s="138"/>
      <c r="G408" s="16" t="s">
        <v>420</v>
      </c>
    </row>
    <row r="409" spans="2:7">
      <c r="B409" s="134">
        <f>29.29+20</f>
        <v>49.29</v>
      </c>
      <c r="C409" s="16" t="s">
        <v>484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227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334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335</v>
      </c>
      <c r="D466" s="137"/>
      <c r="E466" s="138"/>
      <c r="F466" s="138"/>
      <c r="G466" s="16"/>
    </row>
    <row r="467" spans="1:7" ht="15.75">
      <c r="A467" s="112">
        <f>'04'!A467+(B467-SUM(D467:F467))</f>
        <v>-57.79000000000002</v>
      </c>
      <c r="B467" s="134">
        <f>50+50</f>
        <v>100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-444.39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f>M5+2156.93</f>
        <v>1614.1099999999997</v>
      </c>
      <c r="L5" s="431"/>
      <c r="M5" s="1">
        <f>-542.82</f>
        <v>-542.82000000000005</v>
      </c>
      <c r="N5" s="1" t="s">
        <v>528</v>
      </c>
      <c r="R5" s="3"/>
    </row>
    <row r="6" spans="1:22" ht="15.75">
      <c r="A6" s="112">
        <f>'05'!A6+(B6-SUM(D6:F6))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</v>
      </c>
      <c r="L6" s="415"/>
      <c r="M6" s="1" t="s">
        <v>163</v>
      </c>
      <c r="N6" s="1"/>
      <c r="R6" s="3"/>
    </row>
    <row r="7" spans="1:22" ht="15.75">
      <c r="A7" s="112">
        <f>'05'!A7+(B7-SUM(D7:F7))</f>
        <v>99.849999999999966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f>9234.42-58.2</f>
        <v>9176.2199999999993</v>
      </c>
      <c r="L7" s="415"/>
      <c r="M7" s="1"/>
      <c r="N7" s="1"/>
      <c r="R7" s="3"/>
    </row>
    <row r="8" spans="1:22" ht="15.75">
      <c r="A8" s="112">
        <f>'05'!A8+(B8-SUM(D8:F8))</f>
        <v>-214.77999999999997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155</v>
      </c>
      <c r="K9" s="414">
        <v>169.67</v>
      </c>
      <c r="L9" s="415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'05'!A11+(B11-SUM(D11:F11))</f>
        <v>30.220000000000006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v>190</v>
      </c>
      <c r="L11" s="415"/>
      <c r="M11" s="1"/>
      <c r="N11" s="1"/>
      <c r="R11" s="3"/>
    </row>
    <row r="12" spans="1:22" ht="15.75">
      <c r="A12" s="112">
        <f>'05'!A12+(B12-SUM(D12:F12))</f>
        <v>169.54000000000002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'05'!A13+(B13-SUM(D13:F13))</f>
        <v>17.5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29014.079999999998</v>
      </c>
      <c r="L19" s="439"/>
      <c r="M19" s="1"/>
      <c r="N19" s="1"/>
      <c r="R19" s="3"/>
    </row>
    <row r="20" spans="1:18" ht="16.5" thickBot="1">
      <c r="A20" s="112">
        <f>SUM(A6:A15)</f>
        <v>521.59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'05'!A27+(B27-SUM(D27:F27))</f>
        <v>217.02999999999997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543</v>
      </c>
      <c r="K30" s="423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352</v>
      </c>
      <c r="K31" s="425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253</v>
      </c>
      <c r="K32" s="425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 t="s">
        <v>283</v>
      </c>
      <c r="K35" s="423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1446.04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158</v>
      </c>
      <c r="K45" s="423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535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547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536</v>
      </c>
      <c r="D48" s="137">
        <v>27.2</v>
      </c>
      <c r="E48" s="138"/>
      <c r="F48" s="138"/>
      <c r="G48" s="16" t="s">
        <v>560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561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565</v>
      </c>
      <c r="H50" s="1"/>
      <c r="I50" s="419" t="str">
        <f>AÑO!A13</f>
        <v>Gubernamental</v>
      </c>
      <c r="J50" s="422" t="s">
        <v>556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573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575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581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586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590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544</v>
      </c>
      <c r="K60" s="423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'05'!A66+(B66-SUM(D66:F78))+B67+B68</f>
        <v>193.47000000000003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557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-35</v>
      </c>
      <c r="C67" s="16" t="s">
        <v>545</v>
      </c>
      <c r="D67" s="137">
        <v>36.049999999999997</v>
      </c>
      <c r="E67" s="138"/>
      <c r="F67" s="138"/>
      <c r="G67" s="31" t="s">
        <v>568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570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572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576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577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584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70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263.47000000000003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41.71</v>
      </c>
      <c r="E86" s="138"/>
      <c r="F86" s="138"/>
      <c r="G86" s="16" t="s">
        <v>539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541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558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559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580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582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583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588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D127+D128+'05'!I127</f>
        <v>75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33.159999999999997</v>
      </c>
      <c r="E146" s="138"/>
      <c r="F146" s="138"/>
      <c r="G146" s="16" t="s">
        <v>589</v>
      </c>
      <c r="H146" s="1"/>
      <c r="M146" s="1"/>
      <c r="R146" s="3"/>
    </row>
    <row r="147" spans="1:22" ht="15.75">
      <c r="A147" s="1"/>
      <c r="B147" s="134">
        <v>-60</v>
      </c>
      <c r="C147" s="16" t="s">
        <v>537</v>
      </c>
      <c r="D147" s="137"/>
      <c r="E147" s="138"/>
      <c r="F147" s="138"/>
      <c r="G147" s="16" t="s">
        <v>538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12.98</v>
      </c>
      <c r="E186" s="138"/>
      <c r="F186" s="138"/>
      <c r="G186" s="16" t="s">
        <v>562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571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573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574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591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324</v>
      </c>
      <c r="D246" s="137"/>
      <c r="E246" s="138">
        <v>21.08</v>
      </c>
      <c r="F246" s="138"/>
      <c r="G246" s="16" t="s">
        <v>564</v>
      </c>
    </row>
    <row r="247" spans="1:7" ht="15" customHeight="1">
      <c r="A247" s="112"/>
      <c r="B247" s="134">
        <f>-10</f>
        <v>-10</v>
      </c>
      <c r="C247" s="16" t="s">
        <v>593</v>
      </c>
      <c r="D247" s="137">
        <v>12.99</v>
      </c>
      <c r="E247" s="138"/>
      <c r="F247" s="138"/>
      <c r="G247" s="16" t="s">
        <v>573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586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353</v>
      </c>
      <c r="D257" s="137"/>
      <c r="E257" s="138">
        <v>100.67</v>
      </c>
      <c r="F257" s="138"/>
      <c r="G257" s="16" t="s">
        <v>327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325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549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579</v>
      </c>
      <c r="H267" s="89" t="s">
        <v>578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585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552</v>
      </c>
    </row>
    <row r="287" spans="2:9">
      <c r="B287" s="134">
        <v>242.41</v>
      </c>
      <c r="C287" s="16" t="s">
        <v>158</v>
      </c>
      <c r="D287" s="137"/>
      <c r="E287" s="138">
        <f>64.83-E50</f>
        <v>34.83</v>
      </c>
      <c r="F287" s="138"/>
      <c r="G287" s="16" t="s">
        <v>563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533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/>
      <c r="E306" s="138"/>
      <c r="F306" s="138">
        <v>50</v>
      </c>
      <c r="G306" s="16" t="s">
        <v>542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554</v>
      </c>
    </row>
    <row r="308" spans="2:7">
      <c r="B308" s="134"/>
      <c r="C308" s="27"/>
      <c r="D308" s="137"/>
      <c r="E308" s="138"/>
      <c r="F308" s="138">
        <v>50</v>
      </c>
      <c r="G308" s="16" t="s">
        <v>555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553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140.73+(B346-SUM(D346:F357))</f>
        <v>185.73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534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546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567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586</v>
      </c>
    </row>
    <row r="369" spans="2:7">
      <c r="B369" s="134"/>
      <c r="C369" s="16"/>
      <c r="D369" s="137">
        <v>11</v>
      </c>
      <c r="E369" s="138"/>
      <c r="F369" s="138"/>
      <c r="G369" s="16" t="s">
        <v>587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548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227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'05'!A467+(B467-SUM(D467:F467))</f>
        <v>-7.7900000000000205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-55</v>
      </c>
      <c r="C469" s="16" t="s">
        <v>540</v>
      </c>
      <c r="D469" s="137"/>
      <c r="E469" s="138"/>
      <c r="F469" s="138"/>
      <c r="G469" s="16" t="s">
        <v>234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-434.39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f>2939.95</f>
        <v>2939.95</v>
      </c>
      <c r="L5" s="431"/>
      <c r="M5" s="1"/>
      <c r="N5" s="1"/>
      <c r="R5" s="3"/>
    </row>
    <row r="6" spans="1:22" ht="15.75">
      <c r="A6" s="112">
        <f>'06'!A6+(B6-SUM(D6:F6))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</v>
      </c>
      <c r="L6" s="415"/>
      <c r="M6" s="1" t="s">
        <v>163</v>
      </c>
      <c r="N6" s="1"/>
      <c r="R6" s="3"/>
    </row>
    <row r="7" spans="1:22" ht="15.75">
      <c r="A7" s="112">
        <f>'06'!A7+(B7-SUM(D7:F7))</f>
        <v>167.02999999999997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8049.26</v>
      </c>
      <c r="L7" s="415"/>
      <c r="M7" s="1"/>
      <c r="N7" s="1"/>
      <c r="R7" s="3"/>
    </row>
    <row r="8" spans="1:22" ht="15.75">
      <c r="A8" s="112">
        <f>'06'!A8+(B8-SUM(D8:F8))</f>
        <v>-115.67999999999995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169.67</v>
      </c>
      <c r="L9" s="415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'06'!A11+(B11-SUM(D11:F11))</f>
        <v>30.230000000000004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v>260</v>
      </c>
      <c r="L11" s="415"/>
      <c r="M11" s="1"/>
      <c r="N11" s="1"/>
      <c r="R11" s="3"/>
    </row>
    <row r="12" spans="1:22" ht="15.75">
      <c r="A12" s="112">
        <f>'06'!A12+(B12-SUM(D12:F12))</f>
        <v>194.54000000000002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'06'!A13+(B13-SUM(D13:F13))</f>
        <v>24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29282.959999999999</v>
      </c>
      <c r="L19" s="439"/>
      <c r="M19" s="1"/>
      <c r="N19" s="1"/>
      <c r="R19" s="3"/>
    </row>
    <row r="20" spans="1:18" ht="16.5" thickBot="1">
      <c r="A20" s="112">
        <f>SUM(A6:A15)</f>
        <v>719.38000000000011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'06'!A27+(B27-SUM(D27:F27))</f>
        <v>221.03999999999996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352</v>
      </c>
      <c r="K30" s="423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543</v>
      </c>
      <c r="K31" s="425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605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/>
      <c r="K35" s="423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1490.1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592</v>
      </c>
      <c r="K40" s="423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58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597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603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536</v>
      </c>
      <c r="D48" s="137">
        <v>8.1</v>
      </c>
      <c r="E48" s="138"/>
      <c r="F48" s="138"/>
      <c r="G48" s="16" t="s">
        <v>622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600</v>
      </c>
      <c r="D49" s="137">
        <v>2.5499999999999998</v>
      </c>
      <c r="E49" s="138"/>
      <c r="F49" s="138"/>
      <c r="G49" s="16" t="s">
        <v>631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627</v>
      </c>
      <c r="D50" s="137">
        <v>69.97</v>
      </c>
      <c r="E50" s="138"/>
      <c r="F50" s="138"/>
      <c r="G50" s="16" t="s">
        <v>643</v>
      </c>
      <c r="H50" s="1"/>
      <c r="I50" s="419" t="str">
        <f>AÑO!A13</f>
        <v>Gubernamental</v>
      </c>
      <c r="J50" s="422" t="s">
        <v>556</v>
      </c>
      <c r="K50" s="423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646</v>
      </c>
      <c r="D51" s="137">
        <v>5.29</v>
      </c>
      <c r="E51" s="138"/>
      <c r="F51" s="138"/>
      <c r="G51" s="16" t="s">
        <v>645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606</v>
      </c>
      <c r="K55" s="423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606</v>
      </c>
      <c r="K56" s="425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606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621</v>
      </c>
      <c r="K60" s="423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'06'!A66+(B66-SUM(D66:F78))+B67</f>
        <v>211.27000000000004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598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607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629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628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641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80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291.27000000000004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47.8</v>
      </c>
      <c r="E86" s="138"/>
      <c r="F86" s="138"/>
      <c r="G86" s="16" t="s">
        <v>630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636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648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651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D127+D128+'06'!I127</f>
        <v>85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602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610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614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616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624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617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618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619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35.94</v>
      </c>
      <c r="E186" s="138"/>
      <c r="F186" s="138"/>
      <c r="G186" s="16" t="s">
        <v>604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603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632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644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597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615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324</v>
      </c>
      <c r="D246" s="137">
        <v>33.729999999999997</v>
      </c>
      <c r="E246" s="138"/>
      <c r="F246" s="138"/>
      <c r="G246" s="16" t="s">
        <v>640</v>
      </c>
    </row>
    <row r="247" spans="1:7" ht="15" customHeight="1">
      <c r="A247" s="112"/>
      <c r="B247" s="134">
        <v>-5</v>
      </c>
      <c r="C247" s="16" t="s">
        <v>627</v>
      </c>
      <c r="D247" s="137">
        <v>20</v>
      </c>
      <c r="E247" s="138"/>
      <c r="F247" s="138"/>
      <c r="G247" s="16" t="s">
        <v>643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625</v>
      </c>
      <c r="D257" s="137"/>
      <c r="E257" s="138">
        <v>100.67</v>
      </c>
      <c r="F257" s="138"/>
      <c r="G257" s="16" t="s">
        <v>652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634</v>
      </c>
      <c r="D258" s="137">
        <v>349</v>
      </c>
      <c r="E258" s="138"/>
      <c r="F258" s="138"/>
      <c r="G258" s="16" t="s">
        <v>601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603</v>
      </c>
    </row>
    <row r="287" spans="2:8">
      <c r="B287" s="134"/>
      <c r="C287" s="16"/>
      <c r="D287" s="137"/>
      <c r="E287" s="138"/>
      <c r="F287" s="138">
        <v>50</v>
      </c>
      <c r="G287" s="16" t="s">
        <v>612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613</v>
      </c>
    </row>
    <row r="289" spans="2:8">
      <c r="B289" s="134"/>
      <c r="C289" s="16"/>
      <c r="D289" s="137">
        <v>26.31</v>
      </c>
      <c r="E289" s="138"/>
      <c r="F289" s="138"/>
      <c r="G289" s="16" t="s">
        <v>615</v>
      </c>
    </row>
    <row r="290" spans="2:8">
      <c r="B290" s="134"/>
      <c r="C290" s="16"/>
      <c r="D290" s="137"/>
      <c r="E290" s="138">
        <v>31.95</v>
      </c>
      <c r="F290" s="138"/>
      <c r="G290" s="16" t="s">
        <v>633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/>
      <c r="E306" s="138"/>
      <c r="F306" s="138">
        <v>50</v>
      </c>
      <c r="G306" s="16" t="s">
        <v>594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596</v>
      </c>
    </row>
    <row r="308" spans="2:7">
      <c r="B308" s="134">
        <f>37.49+14.27+14.27</f>
        <v>66.03</v>
      </c>
      <c r="C308" s="27" t="s">
        <v>606</v>
      </c>
      <c r="D308" s="137">
        <f>37.5+37.5</f>
        <v>75</v>
      </c>
      <c r="E308" s="138"/>
      <c r="F308" s="138"/>
      <c r="G308" s="16" t="s">
        <v>623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620</v>
      </c>
    </row>
    <row r="327" spans="2:7">
      <c r="B327" s="134">
        <v>100</v>
      </c>
      <c r="C327" s="16" t="s">
        <v>611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'06'!A346+(B346-SUM(D346:F357))</f>
        <v>230.73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637</v>
      </c>
      <c r="D358" s="137">
        <v>64.3</v>
      </c>
      <c r="E358" s="138"/>
      <c r="F358" s="138"/>
      <c r="G358" s="16" t="s">
        <v>635</v>
      </c>
    </row>
    <row r="359" spans="1:7" ht="16.5" thickBot="1">
      <c r="A359" s="112"/>
      <c r="B359" s="135">
        <f>12.64+6.66</f>
        <v>19.3</v>
      </c>
      <c r="C359" s="17" t="s">
        <v>646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599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647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595</v>
      </c>
    </row>
    <row r="407" spans="2:7">
      <c r="B407" s="134">
        <v>1</v>
      </c>
      <c r="C407" s="16" t="s">
        <v>592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647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227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'06'!A467+(B467-SUM(D467:F467))</f>
        <v>42.20999999999998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-369.39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75">
      <c r="A6" s="112">
        <f>'07'!A6+(B6-SUM(D6:F6))</f>
        <v>395.26</v>
      </c>
      <c r="B6" s="133">
        <v>403.08</v>
      </c>
      <c r="C6" s="19" t="s">
        <v>654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620.12</v>
      </c>
      <c r="L6" s="415"/>
      <c r="M6" s="1" t="s">
        <v>163</v>
      </c>
      <c r="N6" s="1"/>
      <c r="R6" s="3"/>
    </row>
    <row r="7" spans="1:22" ht="15.75">
      <c r="A7" s="112">
        <f>'07'!A7+(B7-SUM(D7:F7))</f>
        <v>234.20999999999998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7490.36</v>
      </c>
      <c r="L7" s="415"/>
      <c r="M7" s="1"/>
      <c r="N7" s="1"/>
      <c r="R7" s="3"/>
    </row>
    <row r="8" spans="1:22" ht="15.75">
      <c r="A8" s="112">
        <f>'07'!A8+(B8-SUM(D8:F8))</f>
        <v>-219.43999999999994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163.63</v>
      </c>
      <c r="L9" s="415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'07'!A11+(B11-SUM(D11:F11))</f>
        <v>30.230000000000004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20+120</f>
        <v>140</v>
      </c>
      <c r="L11" s="415"/>
      <c r="M11" s="1"/>
      <c r="N11" s="1"/>
      <c r="R11" s="3"/>
    </row>
    <row r="12" spans="1:22" ht="15.75">
      <c r="A12" s="112">
        <f>'07'!A12+(B12-SUM(D12:F12))</f>
        <v>219.54000000000002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'07'!A13+(B13-SUM(D13:F13))</f>
        <v>30.5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29166.850000000002</v>
      </c>
      <c r="L19" s="439"/>
      <c r="M19" s="1"/>
      <c r="N19" s="1"/>
      <c r="R19" s="3"/>
    </row>
    <row r="20" spans="1:18" ht="16.5" thickBot="1">
      <c r="A20" s="112">
        <f>SUM(A6:A15)</f>
        <v>714.30000000000018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323</v>
      </c>
      <c r="K25" s="423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'07'!A27+(B27-SUM(D27:F27))</f>
        <v>225.04999999999995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253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212</v>
      </c>
      <c r="J35" s="422" t="s">
        <v>319</v>
      </c>
      <c r="K35" s="423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1429.9699999999998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693</v>
      </c>
      <c r="K45" s="423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661</v>
      </c>
      <c r="H46" s="1"/>
      <c r="I46" s="420"/>
      <c r="J46" s="424" t="s">
        <v>694</v>
      </c>
      <c r="K46" s="425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658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638</v>
      </c>
      <c r="D48" s="137">
        <v>22.34</v>
      </c>
      <c r="E48" s="138"/>
      <c r="F48" s="138"/>
      <c r="G48" s="16" t="s">
        <v>662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75">
      <c r="A49" s="1"/>
      <c r="B49" s="134">
        <v>23.87</v>
      </c>
      <c r="C49" s="16" t="s">
        <v>646</v>
      </c>
      <c r="D49" s="137">
        <v>49.31</v>
      </c>
      <c r="E49" s="138"/>
      <c r="F49" s="138"/>
      <c r="G49" s="16" t="s">
        <v>668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675</v>
      </c>
      <c r="H50" s="1"/>
      <c r="I50" s="419" t="str">
        <f>AÑO!A13</f>
        <v>Gubernamental</v>
      </c>
      <c r="J50" s="422" t="s">
        <v>556</v>
      </c>
      <c r="K50" s="423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676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1">
        <v>43692</v>
      </c>
      <c r="K55" s="423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2">
        <v>43696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37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'07'!A66+(SUM(B66:B78)-SUM(D66:F78))</f>
        <v>194.62000000000006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667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30</v>
      </c>
      <c r="C67" s="16" t="s">
        <v>158</v>
      </c>
      <c r="D67" s="137">
        <f>23+8.15</f>
        <v>31.15</v>
      </c>
      <c r="E67" s="138"/>
      <c r="F67" s="138">
        <v>30</v>
      </c>
      <c r="G67" s="31" t="s">
        <v>666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 t="s">
        <v>646</v>
      </c>
      <c r="D68" s="137">
        <v>19.5</v>
      </c>
      <c r="E68" s="138"/>
      <c r="F68" s="138">
        <v>5.5</v>
      </c>
      <c r="G68" s="16" t="s">
        <v>672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673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685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90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284.62000000000006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56.61</v>
      </c>
      <c r="E86" s="138"/>
      <c r="F86" s="138"/>
      <c r="G86" s="16" t="s">
        <v>664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665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678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690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660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862.58999999999992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D127+D128+'07'!I127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37.29</v>
      </c>
      <c r="E146" s="138"/>
      <c r="F146" s="138"/>
      <c r="G146" s="16" t="s">
        <v>698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608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50.2</v>
      </c>
      <c r="E186" s="138"/>
      <c r="F186" s="138"/>
      <c r="G186" s="16" t="s">
        <v>682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 t="s">
        <v>609</v>
      </c>
    </row>
    <row r="207" spans="2:12">
      <c r="B207" s="134"/>
      <c r="C207" s="16"/>
      <c r="D207" s="137">
        <v>23</v>
      </c>
      <c r="E207" s="138"/>
      <c r="F207" s="138"/>
      <c r="G207" s="16" t="s">
        <v>679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324</v>
      </c>
      <c r="D246" s="137">
        <f>55.4-D327</f>
        <v>45.4</v>
      </c>
      <c r="E246" s="138"/>
      <c r="F246" s="138"/>
      <c r="G246" s="16" t="s">
        <v>659</v>
      </c>
    </row>
    <row r="247" spans="1:7" ht="15" customHeight="1">
      <c r="A247" s="112"/>
      <c r="B247" s="134">
        <v>12.12</v>
      </c>
      <c r="C247" s="16" t="s">
        <v>646</v>
      </c>
      <c r="D247" s="137">
        <v>16.52</v>
      </c>
      <c r="E247" s="138"/>
      <c r="F247" s="138"/>
      <c r="G247" s="16" t="s">
        <v>674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680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626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655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AÑO!AD34+(SUM(B286:B298)-SUM(D286:F298))</f>
        <v>249.40999999999988</v>
      </c>
      <c r="B286" s="133">
        <v>70</v>
      </c>
      <c r="C286" s="19" t="s">
        <v>31</v>
      </c>
      <c r="D286" s="137"/>
      <c r="E286" s="138"/>
      <c r="F286" s="138"/>
      <c r="G286" s="16" t="s">
        <v>608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686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269.40999999999985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>
        <v>35.96</v>
      </c>
      <c r="E306" s="138"/>
      <c r="F306" s="138"/>
      <c r="G306" s="16" t="s">
        <v>669</v>
      </c>
    </row>
    <row r="307" spans="2:7">
      <c r="B307" s="134">
        <v>13.15</v>
      </c>
      <c r="C307" s="27" t="s">
        <v>677</v>
      </c>
      <c r="D307" s="137"/>
      <c r="E307" s="138"/>
      <c r="F307" s="138">
        <v>70</v>
      </c>
      <c r="G307" s="16" t="s">
        <v>671</v>
      </c>
    </row>
    <row r="308" spans="2:7">
      <c r="B308" s="134">
        <v>14.27</v>
      </c>
      <c r="C308" s="27" t="s">
        <v>689</v>
      </c>
      <c r="D308" s="137">
        <v>8.68</v>
      </c>
      <c r="E308" s="138"/>
      <c r="F308" s="138"/>
      <c r="G308" s="16" t="s">
        <v>684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657</v>
      </c>
    </row>
    <row r="327" spans="2:7">
      <c r="B327" s="134">
        <v>192.98</v>
      </c>
      <c r="C327" s="16" t="s">
        <v>696</v>
      </c>
      <c r="D327" s="137">
        <v>10</v>
      </c>
      <c r="E327" s="138"/>
      <c r="F327" s="138"/>
      <c r="G327" s="16" t="s">
        <v>659</v>
      </c>
    </row>
    <row r="328" spans="2:7">
      <c r="B328" s="134"/>
      <c r="C328" s="16"/>
      <c r="D328" s="137">
        <v>187.13</v>
      </c>
      <c r="E328" s="138"/>
      <c r="F328" s="138"/>
      <c r="G328" s="16" t="s">
        <v>663</v>
      </c>
    </row>
    <row r="329" spans="2:7">
      <c r="B329" s="134"/>
      <c r="C329" s="16"/>
      <c r="D329" s="137">
        <v>32.14</v>
      </c>
      <c r="E329" s="138"/>
      <c r="F329" s="138"/>
      <c r="G329" s="16" t="s">
        <v>687</v>
      </c>
    </row>
    <row r="330" spans="2:7">
      <c r="B330" s="134"/>
      <c r="C330" s="16"/>
      <c r="D330" s="137">
        <v>7.49</v>
      </c>
      <c r="E330" s="138"/>
      <c r="F330" s="138"/>
      <c r="G330" s="16" t="s">
        <v>688</v>
      </c>
    </row>
    <row r="331" spans="2:7">
      <c r="B331" s="134"/>
      <c r="C331" s="16"/>
      <c r="D331" s="137"/>
      <c r="E331" s="138">
        <v>192.98</v>
      </c>
      <c r="F331" s="138"/>
      <c r="G331" s="16" t="s">
        <v>691</v>
      </c>
    </row>
    <row r="332" spans="2:7">
      <c r="B332" s="134"/>
      <c r="C332" s="16"/>
      <c r="D332" s="137"/>
      <c r="E332" s="138">
        <v>96.65</v>
      </c>
      <c r="F332" s="138"/>
      <c r="G332" s="16" t="s">
        <v>692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'07'!A346+(B346-SUM(D346:F357))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656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227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'07'!A467+(B467-SUM(D467:F467))+B476</f>
        <v>-457.79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647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-854.39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646</v>
      </c>
      <c r="D506" s="137">
        <v>23.43</v>
      </c>
      <c r="E506" s="138"/>
      <c r="F506" s="138"/>
      <c r="G506" s="16" t="s">
        <v>670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2019-12-05T15:45:44Z</dcterms:modified>
</cp:coreProperties>
</file>