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B45A0FF-7C2A-45AA-947F-DEE54168C1EF}" xr6:coauthVersionLast="41" xr6:coauthVersionMax="41" xr10:uidLastSave="{00000000-0000-0000-0000-000000000000}"/>
  <bookViews>
    <workbookView xWindow="12" yWindow="12972" windowWidth="21984" windowHeight="12936" firstSheet="4" activeTab="1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6" i="10" l="1"/>
  <c r="A299" i="10"/>
  <c r="A286" i="9"/>
  <c r="A300" i="9" s="1"/>
  <c r="A299" i="9"/>
  <c r="F366" i="9"/>
  <c r="A300" i="10" l="1"/>
  <c r="A427" i="9"/>
  <c r="D67" i="9" l="1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H48" i="9" l="1"/>
  <c r="P32" i="18" l="1"/>
  <c r="D366" i="8"/>
  <c r="A359" i="10"/>
  <c r="A358" i="10"/>
  <c r="A346" i="10"/>
  <c r="H257" i="10"/>
  <c r="A257" i="10"/>
  <c r="A256" i="10"/>
  <c r="A12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40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A66" i="10" s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N10" i="14" s="1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N11" i="14" l="1"/>
  <c r="AX20" i="1"/>
  <c r="BJ20" i="1"/>
  <c r="AX40" i="1"/>
  <c r="BJ40" i="1"/>
  <c r="M13" i="14"/>
  <c r="N13" i="14" s="1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2" s="1"/>
  <c r="A40" i="11"/>
  <c r="A40" i="10"/>
  <c r="A256" i="8"/>
  <c r="A260" i="8" s="1"/>
  <c r="A260" i="7"/>
  <c r="A26" i="13"/>
  <c r="A40" i="13" s="1"/>
</calcChain>
</file>

<file path=xl/sharedStrings.xml><?xml version="1.0" encoding="utf-8"?>
<sst xmlns="http://schemas.openxmlformats.org/spreadsheetml/2006/main" count="5583" uniqueCount="772">
  <si>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</si>
  <si>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</si>
  <si>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</si>
  <si>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</si>
  <si>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</si>
  <si>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</si>
  <si>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</si>
  <si>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</si>
  <si>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</si>
  <si>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</si>
  <si>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</si>
  <si>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</si>
  <si>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</si>
  <si>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</si>
  <si>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</si>
  <si>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</si>
  <si>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</si>
  <si>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</si>
  <si>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</si>
  <si>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</si>
  <si>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</si>
  <si>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</si>
  <si>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</si>
  <si>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</si>
  <si>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</si>
  <si>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</si>
  <si>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</si>
  <si>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</si>
  <si>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</si>
  <si>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</si>
  <si>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</si>
  <si>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</si>
  <si>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</si>
  <si>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</si>
  <si>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</si>
  <si>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</si>
  <si>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</si>
  <si>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</si>
  <si>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</si>
  <si>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</si>
  <si>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</si>
  <si>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</si>
  <si>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</si>
  <si>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</si>
  <si>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</si>
  <si>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</si>
  <si>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</si>
  <si>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</si>
  <si>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</si>
  <si>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</si>
  <si>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</si>
  <si>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</si>
  <si>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</si>
  <si>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</si>
  <si>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</si>
  <si>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</si>
  <si>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</si>
  <si>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</si>
  <si>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</si>
  <si>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</si>
  <si>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</si>
  <si>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</si>
  <si>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</si>
  <si>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</si>
  <si>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</si>
  <si>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</si>
  <si>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</si>
  <si>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</si>
  <si>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</si>
  <si>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</si>
  <si>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</si>
  <si>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</si>
  <si>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</si>
  <si>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</si>
  <si>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</si>
  <si>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</si>
  <si>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</si>
  <si>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</si>
  <si>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</si>
  <si>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</si>
  <si>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</si>
  <si>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</si>
  <si>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</si>
  <si>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</si>
  <si>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</si>
  <si>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</si>
  <si>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</si>
  <si>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</si>
  <si>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</si>
  <si>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</si>
  <si>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</si>
  <si>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</si>
  <si>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</si>
  <si>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</si>
  <si>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</si>
  <si>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</si>
  <si>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</si>
  <si>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</si>
  <si>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</si>
  <si>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</si>
  <si>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</si>
  <si>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</si>
  <si>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</si>
  <si>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</si>
  <si>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</si>
  <si>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</si>
  <si>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</si>
  <si>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</si>
  <si>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</si>
  <si>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</si>
  <si>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</si>
  <si>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</si>
  <si>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</si>
  <si>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</si>
  <si>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</si>
  <si>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</si>
  <si>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</si>
  <si>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</si>
  <si>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</si>
  <si>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</si>
  <si>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</si>
  <si>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</si>
  <si>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</si>
  <si>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</si>
  <si>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</si>
  <si>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</si>
  <si>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</si>
  <si>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</si>
  <si>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</si>
  <si>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</si>
  <si>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</si>
  <si>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</si>
  <si>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</si>
  <si>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</si>
  <si>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</si>
  <si>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</si>
  <si>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</si>
  <si>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</si>
  <si>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</si>
  <si>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</si>
  <si>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</si>
  <si>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</si>
  <si>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</si>
  <si>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</si>
  <si>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</si>
  <si>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</si>
  <si>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</si>
  <si>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</si>
  <si>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</si>
  <si>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</si>
  <si>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</si>
  <si>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</si>
  <si>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</si>
  <si>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</si>
  <si>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</si>
  <si>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</si>
  <si>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</si>
  <si>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</si>
  <si>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</si>
  <si>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</si>
  <si>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</si>
  <si>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</si>
  <si>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</si>
  <si>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</si>
  <si>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</si>
  <si>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</si>
  <si>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</si>
  <si>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</si>
  <si>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</si>
  <si>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</si>
  <si>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</si>
  <si>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</si>
  <si>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</si>
  <si>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</si>
  <si>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</si>
  <si>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</si>
  <si>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</si>
  <si>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</si>
  <si>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</si>
  <si>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</si>
  <si>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</si>
  <si>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</si>
  <si>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</si>
  <si>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</si>
  <si>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</si>
  <si>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</si>
  <si>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</si>
  <si>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</si>
  <si>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</si>
  <si>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</si>
  <si>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</si>
  <si>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</si>
  <si>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</si>
  <si>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</si>
  <si>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</si>
  <si>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</si>
  <si>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</si>
  <si>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</si>
  <si>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</si>
  <si>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</si>
  <si>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</si>
  <si>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</si>
  <si>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</si>
  <si>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</si>
  <si>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</si>
  <si>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</si>
  <si>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</si>
  <si>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</si>
  <si>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</si>
  <si>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</si>
  <si>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</si>
  <si>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</si>
  <si>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</si>
  <si>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</si>
  <si>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</si>
  <si>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</si>
  <si>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</si>
  <si>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</si>
  <si>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</si>
  <si>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</si>
  <si>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</si>
  <si>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</si>
  <si>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</si>
  <si>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</si>
  <si>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</si>
  <si>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</si>
  <si>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</si>
  <si>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</si>
  <si>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</si>
  <si>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</si>
  <si>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</si>
  <si>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</si>
  <si>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</si>
  <si>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</si>
  <si>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</si>
  <si>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</si>
  <si>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</si>
  <si>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</si>
  <si>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</si>
  <si>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</si>
  <si>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</si>
  <si>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</si>
  <si>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</si>
  <si>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</si>
  <si>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</si>
  <si>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</si>
  <si>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</si>
  <si>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</si>
  <si>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</si>
  <si>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</si>
  <si>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</si>
  <si>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</si>
  <si>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</si>
  <si>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</si>
  <si>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</si>
  <si>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</si>
  <si>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</si>
  <si>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</si>
  <si>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</si>
  <si>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</si>
  <si>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</si>
  <si>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</si>
  <si>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</si>
  <si>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</si>
  <si>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</si>
  <si>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</si>
  <si>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</si>
  <si>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</si>
  <si>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</si>
  <si>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</si>
  <si>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</si>
  <si>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</si>
  <si>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</si>
  <si>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</si>
  <si>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</si>
  <si>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</si>
  <si>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</si>
  <si>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</si>
  <si>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</si>
  <si>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</si>
  <si>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</si>
  <si>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</si>
  <si>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</si>
  <si>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</si>
  <si>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</si>
  <si>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</si>
  <si>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</si>
  <si>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</si>
  <si>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</si>
  <si>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</si>
  <si>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</si>
  <si>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</si>
  <si>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</si>
  <si>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</si>
  <si>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</si>
  <si>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</si>
  <si>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</si>
  <si>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</si>
  <si>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</si>
  <si>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</si>
  <si>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</si>
  <si>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</si>
  <si>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</si>
  <si>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</si>
  <si>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</si>
  <si>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</si>
  <si>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</si>
  <si>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</si>
  <si>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</si>
  <si>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</si>
  <si>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</si>
  <si>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</si>
  <si>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</si>
  <si>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</si>
  <si>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</si>
  <si>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</si>
  <si>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</si>
  <si>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</si>
  <si>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</si>
  <si>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</si>
  <si>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</si>
  <si>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</si>
  <si>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</si>
  <si>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</si>
  <si>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</si>
  <si>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</si>
  <si>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</si>
  <si>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</si>
  <si>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</si>
  <si>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</si>
  <si>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</si>
  <si>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</si>
  <si>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</si>
  <si>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</si>
  <si>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</si>
  <si>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</si>
  <si>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</si>
  <si>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</si>
  <si>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</si>
  <si>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</si>
  <si>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</si>
  <si>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</si>
  <si>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</si>
  <si>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</si>
  <si>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</si>
  <si>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</si>
  <si>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</si>
  <si>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</si>
  <si>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</si>
  <si>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</si>
  <si>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</si>
  <si>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</si>
  <si>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</si>
  <si>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</si>
  <si>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</si>
  <si>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</si>
  <si>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</si>
  <si>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</si>
  <si>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</si>
  <si>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</si>
  <si>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</si>
  <si>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</si>
  <si>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</si>
  <si>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</si>
  <si>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</si>
  <si>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</si>
  <si>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</si>
  <si>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</si>
  <si>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</si>
  <si>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</si>
  <si>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</si>
  <si>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</si>
  <si>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</si>
  <si>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</si>
  <si>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</si>
  <si>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</si>
  <si>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</si>
  <si>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</si>
  <si>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</si>
  <si>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</si>
  <si>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</si>
  <si>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</si>
  <si>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</si>
  <si>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</si>
  <si>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</si>
  <si>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</si>
  <si>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</si>
  <si>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</si>
  <si>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</si>
  <si>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</si>
  <si>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</si>
  <si>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</si>
  <si>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</si>
  <si>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</si>
  <si>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</si>
  <si>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</si>
  <si>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</si>
  <si>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</si>
  <si>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</si>
  <si>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</si>
  <si>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</si>
  <si>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</si>
  <si>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</si>
  <si>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</si>
  <si>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</si>
  <si>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</si>
  <si>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</si>
  <si>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</si>
  <si>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</si>
  <si>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</si>
  <si>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</si>
  <si>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</si>
  <si>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</si>
  <si>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</si>
  <si>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</si>
  <si>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</si>
  <si>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</si>
  <si>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</si>
  <si>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</si>
  <si>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</si>
  <si>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</si>
  <si>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</si>
  <si>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</si>
  <si>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</si>
  <si>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</si>
  <si>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</si>
  <si>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</si>
  <si>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</si>
  <si>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</si>
  <si>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</si>
  <si>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</si>
  <si>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</si>
  <si>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</si>
  <si>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</si>
  <si>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</si>
  <si>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</si>
  <si>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</si>
  <si>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</si>
  <si>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</si>
  <si>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</si>
  <si>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</si>
  <si>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</si>
  <si>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</si>
  <si>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</si>
  <si>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</si>
  <si>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</si>
  <si>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</si>
  <si>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</si>
  <si>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</si>
  <si>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</si>
  <si>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</si>
  <si>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</si>
  <si>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</si>
  <si>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</si>
  <si>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</si>
  <si>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</si>
  <si>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</si>
  <si>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</si>
  <si>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</si>
  <si>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</si>
  <si>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</si>
  <si>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</si>
  <si>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</si>
  <si>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</si>
  <si>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</si>
  <si>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</si>
  <si>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</si>
  <si>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</si>
  <si>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</si>
  <si>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</si>
  <si>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</si>
  <si>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</si>
  <si>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</si>
  <si>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</si>
  <si>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</si>
  <si>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</si>
  <si>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</si>
  <si>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</si>
  <si>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</si>
  <si>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</si>
  <si>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</si>
  <si>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</si>
  <si>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</si>
  <si>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</si>
  <si>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</si>
  <si>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</si>
  <si>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</si>
  <si>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</si>
  <si>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</si>
  <si>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</si>
  <si>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</si>
  <si>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</si>
  <si>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</si>
  <si>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</si>
  <si>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</si>
  <si>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</si>
  <si>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</si>
  <si>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</si>
  <si>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</si>
  <si>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</si>
  <si>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</si>
  <si>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</si>
  <si>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</si>
  <si>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</si>
  <si>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</si>
  <si>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</si>
  <si>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</si>
  <si>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</si>
  <si>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</si>
  <si>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</si>
  <si>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</si>
  <si>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</si>
  <si>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</si>
  <si>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</si>
  <si>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</si>
  <si>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</si>
  <si>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</si>
  <si>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</si>
  <si>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</si>
  <si>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</si>
  <si>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</si>
  <si>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</si>
  <si>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</si>
  <si>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</si>
  <si>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</si>
  <si>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</si>
  <si>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</si>
  <si>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</si>
  <si>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</si>
  <si>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</si>
  <si>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</si>
  <si>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</si>
  <si>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</si>
  <si>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</si>
  <si>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</si>
  <si>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</si>
  <si>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</si>
  <si>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</si>
  <si>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</si>
  <si>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</si>
  <si>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</si>
  <si>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</si>
  <si>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</si>
  <si>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</si>
  <si>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</si>
  <si>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</si>
  <si>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</si>
  <si>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</si>
  <si>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</si>
  <si>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</si>
  <si>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</si>
  <si>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</si>
  <si>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</si>
  <si>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</si>
  <si>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</si>
  <si>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</si>
  <si>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</si>
  <si>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</si>
  <si>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</si>
  <si>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</si>
  <si>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</si>
  <si>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</si>
  <si>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</si>
  <si>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</si>
  <si>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</si>
  <si>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</si>
  <si>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</si>
  <si>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</si>
  <si>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</si>
  <si>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</si>
  <si>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</si>
  <si>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</si>
  <si>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</si>
  <si>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</si>
  <si>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</si>
  <si>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</si>
  <si>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</si>
  <si>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</si>
  <si>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</si>
  <si>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</si>
  <si>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</si>
  <si>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</si>
  <si>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</si>
  <si>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</si>
  <si>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</si>
  <si>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</si>
  <si>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</si>
  <si>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</si>
  <si>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</si>
  <si>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</si>
  <si>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</si>
  <si>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</si>
  <si>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</si>
  <si>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</si>
  <si>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</si>
  <si>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</si>
  <si>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</si>
  <si>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</si>
  <si>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</si>
  <si>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</si>
  <si>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</si>
  <si>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</si>
  <si>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</si>
  <si>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</si>
  <si>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</si>
  <si>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</si>
  <si>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</si>
  <si>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</si>
  <si>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</si>
  <si>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</si>
  <si>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</si>
  <si>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</si>
  <si>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</si>
  <si>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</si>
  <si>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</si>
  <si>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</si>
  <si>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</si>
  <si>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</si>
  <si>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</si>
  <si>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</si>
  <si>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</si>
  <si>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</si>
  <si>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</si>
  <si>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</si>
  <si>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</si>
  <si>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</si>
  <si>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</si>
  <si>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</si>
  <si>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</si>
  <si>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</si>
  <si>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</si>
  <si>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</si>
  <si>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</si>
  <si>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</si>
  <si>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</si>
  <si>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</si>
  <si>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</si>
  <si>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</si>
  <si>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</si>
  <si>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</si>
  <si>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</si>
  <si>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</si>
  <si>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</si>
  <si>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</si>
  <si>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</si>
  <si>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</si>
  <si>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</si>
  <si>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</si>
  <si>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</si>
  <si>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</si>
  <si>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</si>
  <si>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</si>
  <si>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</si>
  <si>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</si>
  <si>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</si>
  <si>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</si>
  <si>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</si>
  <si>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</si>
  <si>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</si>
  <si>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</si>
  <si>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</si>
  <si>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</si>
  <si>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</si>
  <si>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</si>
  <si>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</si>
  <si>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</si>
  <si>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</si>
  <si>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</si>
  <si>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</si>
  <si>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</si>
  <si>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</si>
  <si>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</si>
  <si>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</si>
  <si>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</si>
  <si>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</si>
  <si>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</si>
  <si>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</si>
  <si>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</si>
  <si>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</si>
  <si>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</si>
  <si>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</si>
  <si>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</si>
  <si>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</si>
  <si>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</si>
  <si>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</si>
  <si>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</si>
  <si>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</si>
  <si>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</si>
  <si>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</si>
  <si>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</si>
  <si>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</si>
  <si>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</si>
  <si>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</si>
  <si>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</si>
  <si>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</si>
  <si>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</si>
  <si>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</si>
  <si>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</si>
  <si>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</si>
  <si>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</si>
  <si>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</si>
  <si>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</si>
  <si>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</si>
  <si>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</si>
  <si>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</si>
  <si>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</si>
  <si>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</si>
  <si>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</si>
  <si>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</si>
  <si>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</si>
  <si>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</si>
  <si>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</si>
  <si>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</si>
  <si>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</si>
  <si>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</si>
  <si>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</si>
  <si>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</si>
  <si>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</si>
  <si>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</si>
  <si>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</si>
  <si>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</si>
  <si>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</si>
  <si>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</si>
  <si>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</si>
  <si>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</si>
  <si>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</si>
  <si>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</si>
  <si>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</si>
  <si>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</si>
  <si>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</si>
  <si>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</si>
  <si>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</si>
  <si>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</si>
  <si>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</si>
  <si>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</si>
  <si>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</si>
  <si>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</si>
  <si>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</si>
  <si>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</si>
  <si>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</si>
  <si>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</si>
  <si>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</si>
  <si>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</si>
  <si>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</si>
  <si>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</si>
  <si>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</si>
  <si>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160€ Cheques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</si>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</sst>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2" zoomScaleNormal="100" workbookViewId="0">
      <pane xSplit="1" topLeftCell="AA1" activePane="topRight" state="frozen"/>
      <selection pane="topRight" activeCell="AE34" sqref="AE3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29171.350000000002</v>
      </c>
      <c r="AJ5" s="389"/>
      <c r="AK5" s="389"/>
      <c r="AL5" s="390"/>
      <c r="AM5" s="388">
        <f>'10'!K19</f>
        <v>15101.890000000001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0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0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0</v>
      </c>
      <c r="AF10" s="396"/>
      <c r="AG10" s="396"/>
      <c r="AH10" s="397"/>
      <c r="AI10" s="395">
        <f>SUM('09'!L35:'09'!L39)</f>
        <v>0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0</v>
      </c>
      <c r="AF12" s="396"/>
      <c r="AG12" s="396"/>
      <c r="AH12" s="397"/>
      <c r="AI12" s="395">
        <f>SUM('09'!L45:'09'!L49)</f>
        <v>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0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13.15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129.68</v>
      </c>
      <c r="BA14" s="112">
        <f t="shared" ca="1" si="0"/>
        <v>16.21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0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971.78</v>
      </c>
      <c r="AF17" s="376"/>
      <c r="AG17" s="376"/>
      <c r="AH17" s="377"/>
      <c r="AI17" s="375">
        <f>SUM(AI8:AI16)</f>
        <v>0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37222.230000000003</v>
      </c>
      <c r="BA17" s="112">
        <f ca="1">AZ17/BC$17</f>
        <v>4652.7787500000004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55833.345000000001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146</v>
      </c>
      <c r="AH20" s="145">
        <f t="shared" ref="AH20:AH45" si="9">AD20+AF20-AG20</f>
        <v>818.13999999999987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1362.1399999999999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1906.1399999999999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2450.14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2994.14</v>
      </c>
      <c r="AZ20" s="123">
        <f t="shared" ref="AZ20:AZ27" si="14">E20+I20+M20+Q20+U20+Y20+AC20+AG20+AK20+AO20+AS20+AW20</f>
        <v>4281.6600000000008</v>
      </c>
      <c r="BA20" s="21">
        <f t="shared" ref="BA20:BA45" si="15">AZ20/AZ$46</f>
        <v>0.11776775795236163</v>
      </c>
      <c r="BB20" s="22">
        <f>_xlfn.RANK.EQ(BA20,$BA$20:$BA$45,)</f>
        <v>3</v>
      </c>
      <c r="BC20" s="22">
        <f t="shared" ref="BC20:BC45" ca="1" si="16">AZ20/BC$17</f>
        <v>535.2075000000001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0.12495275000987313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369.36000000000024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2596.0199999999995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3724.0199999999995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4852.0199999999995</v>
      </c>
      <c r="AZ21" s="152">
        <f t="shared" si="14"/>
        <v>9541.84</v>
      </c>
      <c r="BA21" s="21">
        <f t="shared" si="15"/>
        <v>0.26244986840154572</v>
      </c>
      <c r="BB21" s="22">
        <f t="shared" ref="BB21:BB45" si="20">_xlfn.RANK.EQ(BA21,$BA$20:$BA$45,)</f>
        <v>1</v>
      </c>
      <c r="BC21" s="22">
        <f t="shared" ca="1" si="16"/>
        <v>1192.73</v>
      </c>
      <c r="BE21" s="224">
        <f t="shared" ca="1" si="17"/>
        <v>9209</v>
      </c>
      <c r="BF21" s="21">
        <f t="shared" ca="1" si="18"/>
        <v>0.24740591845249463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-332.84000000000037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323.87000000000006</v>
      </c>
      <c r="AH22" s="156">
        <f t="shared" si="9"/>
        <v>465.81000000000012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765.81000000000017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1255.8100000000002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1745.8100000000002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2235.8100000000004</v>
      </c>
      <c r="AZ22" s="157">
        <f t="shared" si="14"/>
        <v>2342.62</v>
      </c>
      <c r="BA22" s="21">
        <f t="shared" si="15"/>
        <v>6.4434145900039083E-2</v>
      </c>
      <c r="BB22" s="22">
        <f t="shared" si="20"/>
        <v>6</v>
      </c>
      <c r="BC22" s="22">
        <f t="shared" ca="1" si="16"/>
        <v>292.82749999999999</v>
      </c>
      <c r="BE22" s="225">
        <f t="shared" ca="1" si="17"/>
        <v>2562.36</v>
      </c>
      <c r="BF22" s="21">
        <f t="shared" ca="1" si="18"/>
        <v>6.8839508003684893E-2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219.73999999999995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162.94999999999999</v>
      </c>
      <c r="AH23" s="151">
        <f t="shared" si="9"/>
        <v>136.53000000000009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306.53000000000009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456.53000000000009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606.53000000000009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756.53000000000009</v>
      </c>
      <c r="AZ23" s="152">
        <f t="shared" si="14"/>
        <v>1310.5999999999999</v>
      </c>
      <c r="BA23" s="21">
        <f t="shared" si="15"/>
        <v>3.6048267160952788E-2</v>
      </c>
      <c r="BB23" s="22">
        <f t="shared" si="20"/>
        <v>7</v>
      </c>
      <c r="BC23" s="22">
        <f t="shared" ca="1" si="16"/>
        <v>163.82499999999999</v>
      </c>
      <c r="BE23" s="224">
        <f t="shared" ca="1" si="17"/>
        <v>1405</v>
      </c>
      <c r="BF23" s="21">
        <f t="shared" ca="1" si="18"/>
        <v>3.7746260769438045E-2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94.400000000000063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95.69</v>
      </c>
      <c r="AH24" s="156">
        <f t="shared" si="9"/>
        <v>259.21999999999997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419.21999999999997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579.22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739.22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899.22</v>
      </c>
      <c r="AZ24" s="157">
        <f t="shared" si="14"/>
        <v>1050.78</v>
      </c>
      <c r="BA24" s="21">
        <f t="shared" si="15"/>
        <v>2.8901875604597876E-2</v>
      </c>
      <c r="BB24" s="22">
        <f t="shared" si="20"/>
        <v>11</v>
      </c>
      <c r="BC24" s="22">
        <f t="shared" ca="1" si="16"/>
        <v>131.3475</v>
      </c>
      <c r="BE24" s="225">
        <f t="shared" ca="1" si="17"/>
        <v>1310</v>
      </c>
      <c r="BF24" s="21">
        <f t="shared" ca="1" si="18"/>
        <v>3.5194022496771414E-2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259.21999999999997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7.3797453626982146E-2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9.3448189428736533E-2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17.990000000000002</v>
      </c>
      <c r="AH26" s="156">
        <f t="shared" si="9"/>
        <v>62.54999999999999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115.54999999999998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163.54999999999998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211.54999999999998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259.54999999999995</v>
      </c>
      <c r="AZ26" s="157">
        <f t="shared" si="14"/>
        <v>376.44000000000005</v>
      </c>
      <c r="BA26" s="21">
        <f t="shared" si="15"/>
        <v>1.0354043712855998E-2</v>
      </c>
      <c r="BB26" s="22">
        <f t="shared" si="20"/>
        <v>17</v>
      </c>
      <c r="BC26" s="22">
        <f t="shared" ca="1" si="16"/>
        <v>47.055000000000007</v>
      </c>
      <c r="BE26" s="225">
        <f t="shared" ca="1" si="17"/>
        <v>419.45</v>
      </c>
      <c r="BF26" s="21">
        <f t="shared" ca="1" si="18"/>
        <v>1.1268803615473871E-2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43.010000000000041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8.6478984267321576E-3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9.1343264495437268E-3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9.2309803857929237E-2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8.8120459198710005E-2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103.78000000000007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173.78000000000009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243.78000000000009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313.78000000000009</v>
      </c>
      <c r="AZ29" s="152">
        <f t="shared" si="23"/>
        <v>463.55</v>
      </c>
      <c r="BA29" s="21">
        <f t="shared" si="15"/>
        <v>1.2750018497222392E-2</v>
      </c>
      <c r="BB29" s="22">
        <f t="shared" si="20"/>
        <v>15</v>
      </c>
      <c r="BC29" s="22">
        <f t="shared" ca="1" si="16"/>
        <v>57.943750000000001</v>
      </c>
      <c r="BE29" s="224">
        <f t="shared" ca="1" si="17"/>
        <v>544</v>
      </c>
      <c r="BF29" s="21">
        <f t="shared" ca="1" si="18"/>
        <v>1.4614922319269962E-2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80.45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97.919999999999973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132.91999999999996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167.91999999999996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202.91999999999996</v>
      </c>
      <c r="AZ30" s="157">
        <f t="shared" si="23"/>
        <v>230.25</v>
      </c>
      <c r="BA30" s="21">
        <f t="shared" si="15"/>
        <v>6.3330638744158252E-3</v>
      </c>
      <c r="BB30" s="22">
        <f t="shared" si="20"/>
        <v>19</v>
      </c>
      <c r="BC30" s="22">
        <f t="shared" ca="1" si="16"/>
        <v>28.78125</v>
      </c>
      <c r="BE30" s="225">
        <f t="shared" ca="1" si="17"/>
        <v>320</v>
      </c>
      <c r="BF30" s="21">
        <f t="shared" ca="1" si="18"/>
        <v>8.5970131289823306E-3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89.75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4.3282125136941329E-3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4.2985065644911653E-3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69.89</v>
      </c>
      <c r="AH32" s="161">
        <f t="shared" si="9"/>
        <v>608.99999999999989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698.99999999999989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748.99999999999989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798.99999999999989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848.99999999999989</v>
      </c>
      <c r="AZ32" s="157">
        <f t="shared" si="23"/>
        <v>1058.8800000000001</v>
      </c>
      <c r="BA32" s="21">
        <f t="shared" si="15"/>
        <v>2.9124667428192964E-2</v>
      </c>
      <c r="BB32" s="22">
        <f t="shared" si="20"/>
        <v>10</v>
      </c>
      <c r="BC32" s="22">
        <f t="shared" ca="1" si="16"/>
        <v>132.36000000000001</v>
      </c>
      <c r="BE32" s="225">
        <f t="shared" ca="1" si="17"/>
        <v>1682.13</v>
      </c>
      <c r="BF32" s="21">
        <f t="shared" ca="1" si="18"/>
        <v>4.5191542795797027E-2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623.24999999999989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0.12121112935925898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0.11906701989644361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3.2080922391155883E-2</v>
      </c>
      <c r="BB34" s="22">
        <f t="shared" si="20"/>
        <v>8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3.0745336859183337E-2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143.15</v>
      </c>
      <c r="AG35" s="186">
        <f>SUM('08'!D320:F320)</f>
        <v>105.96000000000001</v>
      </c>
      <c r="AH35" s="187">
        <f t="shared" si="9"/>
        <v>1811.2000000000005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1941.2000000000005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2056.2000000000007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2171.2000000000007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2286.2000000000007</v>
      </c>
      <c r="AZ35" s="188">
        <f t="shared" si="23"/>
        <v>1073.56</v>
      </c>
      <c r="BA35" s="21">
        <f t="shared" si="15"/>
        <v>2.9528443227004791E-2</v>
      </c>
      <c r="BB35" s="22">
        <f t="shared" si="20"/>
        <v>9</v>
      </c>
      <c r="BC35" s="22">
        <f t="shared" ca="1" si="16"/>
        <v>134.19499999999999</v>
      </c>
      <c r="BE35" s="224">
        <f t="shared" ca="1" si="17"/>
        <v>1395.16</v>
      </c>
      <c r="BF35" s="21">
        <f t="shared" ca="1" si="18"/>
        <v>3.7481902615721839E-2</v>
      </c>
      <c r="BG35" s="22">
        <f t="shared" ca="1" si="21"/>
        <v>10</v>
      </c>
      <c r="BH35" s="22">
        <f t="shared" ca="1" si="19"/>
        <v>174.39500000000001</v>
      </c>
      <c r="BJ35" s="224">
        <f t="shared" ca="1" si="22"/>
        <v>321.60000000000014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291.27</v>
      </c>
      <c r="AH36" s="156">
        <f t="shared" si="9"/>
        <v>193.65000000000009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283.65000000000009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373.65000000000009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463.65000000000009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553.65000000000009</v>
      </c>
      <c r="AZ36" s="182">
        <f t="shared" si="23"/>
        <v>837.3599999999999</v>
      </c>
      <c r="BA36" s="21">
        <f t="shared" si="15"/>
        <v>2.3031723630318499E-2</v>
      </c>
      <c r="BB36" s="22">
        <f t="shared" si="20"/>
        <v>12</v>
      </c>
      <c r="BC36" s="22">
        <f t="shared" ca="1" si="16"/>
        <v>104.66999999999999</v>
      </c>
      <c r="BE36" s="223">
        <f t="shared" ca="1" si="17"/>
        <v>930.02</v>
      </c>
      <c r="BF36" s="21">
        <f t="shared" ca="1" si="18"/>
        <v>2.4985606719425461E-2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92.660000000000025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1.1880855333567494E-2</v>
      </c>
      <c r="BB37" s="22">
        <f t="shared" si="20"/>
        <v>16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1.1667758755990708E-2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29.8</v>
      </c>
      <c r="AH38" s="156">
        <f t="shared" si="9"/>
        <v>108.23000000000006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178.23000000000008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248.23000000000008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318.23000000000008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388.23000000000008</v>
      </c>
      <c r="AZ38" s="157">
        <f t="shared" si="23"/>
        <v>520.97</v>
      </c>
      <c r="BA38" s="21">
        <f t="shared" si="15"/>
        <v>1.4329364980040879E-2</v>
      </c>
      <c r="BB38" s="22">
        <f t="shared" si="20"/>
        <v>13</v>
      </c>
      <c r="BC38" s="22">
        <f t="shared" ca="1" si="16"/>
        <v>65.121250000000003</v>
      </c>
      <c r="BE38" s="225">
        <f t="shared" ca="1" si="17"/>
        <v>590</v>
      </c>
      <c r="BF38" s="21">
        <f t="shared" ca="1" si="18"/>
        <v>1.5850742956561172E-2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69.03000000000003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-3.1398978513646279E-2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4.5171729862988541E-3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-1.645387715889134E-2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-2941.37</v>
      </c>
      <c r="AG41" s="165">
        <f>SUM('08'!D440:F440)</f>
        <v>0</v>
      </c>
      <c r="AH41" s="151">
        <f t="shared" si="9"/>
        <v>5524.3700000000017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1624.3700000000017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-2275.6299999999983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-6175.6299999999983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-10075.629999999997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-3025.6299999999974</v>
      </c>
      <c r="BF41" s="21">
        <f t="shared" ca="1" si="18"/>
        <v>-8.1285565104508711E-2</v>
      </c>
      <c r="BG41" s="22">
        <f t="shared" ca="1" si="21"/>
        <v>26</v>
      </c>
      <c r="BH41" s="22">
        <f t="shared" ca="1" si="19"/>
        <v>-378.20374999999967</v>
      </c>
      <c r="BJ41" s="224">
        <f t="shared" ca="1" si="22"/>
        <v>-3025.6299999999965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0.10870493250941708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1.3752581703400272E-2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-8.177102768963598E-3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23.43</v>
      </c>
      <c r="AH45" s="176">
        <f t="shared" si="9"/>
        <v>7.9100000000000286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7.9100000000000286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7.9100000000000286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7.9100000000000286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7.9100000000000286</v>
      </c>
      <c r="AZ45" s="177">
        <f t="shared" si="23"/>
        <v>88.009999999999991</v>
      </c>
      <c r="BA45" s="21">
        <f t="shared" si="15"/>
        <v>2.4207294314325155E-3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-88.01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971.77999999999975</v>
      </c>
      <c r="AG46" s="219">
        <f>SUM(AG20:AG45)</f>
        <v>2889.67</v>
      </c>
      <c r="AH46" s="220">
        <f>SUM(AH20:AH45)</f>
        <v>27248.959999999999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27248.960000000003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27248.960000000003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27248.960000000003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27248.960000000003</v>
      </c>
      <c r="AZ46" s="227">
        <f>SUM(AZ20:AZ45)</f>
        <v>36356.81</v>
      </c>
      <c r="BA46" s="1"/>
      <c r="BB46" s="1"/>
      <c r="BC46" s="124">
        <f ca="1">SUM(BC20:BC45)</f>
        <v>4544.6012499999997</v>
      </c>
      <c r="BE46" s="227">
        <f ca="1">SUM(BE20:BE45)</f>
        <v>37222.230000000003</v>
      </c>
      <c r="BF46" s="1"/>
      <c r="BG46" s="1"/>
      <c r="BH46" s="124">
        <f ca="1">SUM(BH20:BH45)</f>
        <v>4652.7787500000004</v>
      </c>
      <c r="BJ46" s="227">
        <f ca="1">SUM(BJ20:BJ45)</f>
        <v>865.42000000000394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-1917.89</v>
      </c>
      <c r="AH47" s="125"/>
      <c r="AI47" s="125">
        <f>AI5-AH46</f>
        <v>1922.3900000000031</v>
      </c>
      <c r="AJ47" s="125">
        <f>AI17-AJ46</f>
        <v>0</v>
      </c>
      <c r="AK47" s="125">
        <f>AI17-AK46</f>
        <v>0</v>
      </c>
      <c r="AL47" s="125"/>
      <c r="AM47" s="125">
        <f>AM5-AL46</f>
        <v>-12147.070000000002</v>
      </c>
      <c r="AN47" s="125">
        <f>AM17-AN46</f>
        <v>0</v>
      </c>
      <c r="AO47" s="125">
        <f>AM17-AO46</f>
        <v>0</v>
      </c>
      <c r="AP47" s="125"/>
      <c r="AQ47" s="125">
        <f>AQ5-AP46</f>
        <v>-12147.070000000002</v>
      </c>
      <c r="AR47" s="125">
        <f>AQ17-AR46</f>
        <v>0</v>
      </c>
      <c r="AS47" s="125">
        <f>AQ17-AS46</f>
        <v>0</v>
      </c>
      <c r="AT47" s="140"/>
      <c r="AU47" s="125">
        <f>AU5-AT46</f>
        <v>-12147.070000000002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54535.214999999997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43702</v>
      </c>
      <c r="AF56" s="343" t="s">
        <v>151</v>
      </c>
      <c r="AG56" s="344"/>
      <c r="AH56" s="100">
        <v>10</v>
      </c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57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20</v>
      </c>
      <c r="D75">
        <f>C75*D74</f>
        <v>64.516129032258064</v>
      </c>
      <c r="Z75" s="111"/>
    </row>
    <row r="76" spans="1:50">
      <c r="D76">
        <f>D75-D73</f>
        <v>7.5161290322580641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7" workbookViewId="0">
      <selection activeCell="D294" sqref="D29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7494.86</v>
      </c>
      <c r="L7" s="427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29171.350000000002</v>
      </c>
      <c r="L19" s="442"/>
      <c r="M19" s="1"/>
      <c r="N19" s="1"/>
      <c r="R19" s="3"/>
    </row>
    <row r="20" spans="1:18" ht="16.5" thickBot="1">
      <c r="A20" s="112">
        <f>SUM(A6:A15)</f>
        <v>1374.14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176.53000000000003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286.53000000000003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32.880000000000003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709.00000000000011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109.64999999999981</v>
      </c>
      <c r="B286" s="133">
        <v>50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771</v>
      </c>
      <c r="D299" s="135"/>
      <c r="E299" s="139"/>
      <c r="F299" s="139"/>
      <c r="G299" s="17"/>
    </row>
    <row r="300" spans="1:8" ht="16.5" thickBot="1">
      <c r="A300" s="112">
        <f>SUM(A286:A299)</f>
        <v>169.64999999999981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1918.1399999999999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'09'!A27+(B27-SUM(D27:F27))</f>
        <v>398.04999999999995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2596.0200000000004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2462.14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568.04999999999995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3724.0200000000004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3006.1399999999994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738.05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4852.0199999999995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G14" sqref="G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130048.84</v>
      </c>
      <c r="C4" s="114"/>
      <c r="E4" s="41"/>
    </row>
    <row r="5" spans="1:14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  <c r="N5" t="s">
        <v>769</v>
      </c>
    </row>
    <row r="6" spans="1:14" ht="12.75" customHeight="1">
      <c r="A6" t="s">
        <v>94</v>
      </c>
      <c r="B6" s="48">
        <f>E19</f>
        <v>-0.35062499999999996</v>
      </c>
      <c r="C6" s="44" t="s">
        <v>95</v>
      </c>
      <c r="D6" s="43" t="s">
        <v>96</v>
      </c>
      <c r="E6" s="42"/>
      <c r="J6" t="s">
        <v>97</v>
      </c>
      <c r="K6" s="49">
        <f>B4-B15</f>
        <v>129675.47829456425</v>
      </c>
      <c r="L6" s="39">
        <f>B4*(E8/100)</f>
        <v>16.18837122916667</v>
      </c>
      <c r="M6" s="49">
        <f>B13-L6</f>
        <v>373.36170543574673</v>
      </c>
      <c r="N6" s="59">
        <f>L6/SUM(L6:M6)</f>
        <v>4.1556585915119008E-2</v>
      </c>
    </row>
    <row r="7" spans="1:14" ht="12.75" customHeight="1">
      <c r="E7" s="42"/>
      <c r="J7" t="s">
        <v>98</v>
      </c>
      <c r="K7" s="49">
        <f>K6-(B13-L7)</f>
        <v>129302.07011337455</v>
      </c>
      <c r="L7" s="39">
        <f>(K6*(E8/100))</f>
        <v>16.141895475208784</v>
      </c>
      <c r="M7" s="49">
        <f>B13-L7</f>
        <v>373.40818118970458</v>
      </c>
      <c r="N7" s="59">
        <f t="shared" ref="N7:N13" si="0">L7/SUM(L7:M7)</f>
        <v>4.1437279677636572E-2</v>
      </c>
    </row>
    <row r="8" spans="1:14" ht="12.75" customHeight="1">
      <c r="B8" s="42"/>
      <c r="D8" t="s">
        <v>183</v>
      </c>
      <c r="E8" s="50">
        <f>(B6+0.5)/12</f>
        <v>1.244791666666667E-2</v>
      </c>
      <c r="J8" t="s">
        <v>99</v>
      </c>
      <c r="K8" s="49">
        <f>K7-(B13-L8)</f>
        <v>128928.61545064562</v>
      </c>
      <c r="L8" s="39">
        <f>(K7*(E8/100))</f>
        <v>16.095413935987775</v>
      </c>
      <c r="M8" s="49">
        <f>B13-L8</f>
        <v>373.4546627289256</v>
      </c>
      <c r="N8" s="59">
        <f t="shared" si="0"/>
        <v>4.1317958589013118E-2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1.0001244791666666</v>
      </c>
      <c r="J9" t="s">
        <v>101</v>
      </c>
      <c r="K9" s="49">
        <f>K8-(B13-L9)</f>
        <v>128555.11430059149</v>
      </c>
      <c r="L9" s="39">
        <f>(K8*(E8/100))</f>
        <v>16.048926610783496</v>
      </c>
      <c r="M9" s="49">
        <f>B13-L9</f>
        <v>373.50115005412988</v>
      </c>
      <c r="N9" s="59">
        <f t="shared" si="0"/>
        <v>4.1198622647399971E-2</v>
      </c>
    </row>
    <row r="10" spans="1:14" ht="12.75" customHeight="1">
      <c r="B10" s="42"/>
      <c r="D10" t="s">
        <v>102</v>
      </c>
      <c r="E10" s="50">
        <f>E9^-B5</f>
        <v>0.95844341408488098</v>
      </c>
      <c r="J10" t="s">
        <v>103</v>
      </c>
      <c r="K10" s="49">
        <f>K9-(B13-L10)</f>
        <v>128181.56665742546</v>
      </c>
      <c r="L10" s="39">
        <f>(K9*(E8/100))</f>
        <v>16.002433498875718</v>
      </c>
      <c r="M10" s="49">
        <f>B13-L10</f>
        <v>373.54764316603769</v>
      </c>
      <c r="N10" s="59">
        <f t="shared" si="0"/>
        <v>4.1079271850948271E-2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4.1556585915119015</v>
      </c>
      <c r="J11" t="s">
        <v>106</v>
      </c>
      <c r="K11" s="51">
        <f>K10-(B13-L11)</f>
        <v>127807.97251536009</v>
      </c>
      <c r="L11" s="39">
        <f>(K10*(E8/100))</f>
        <v>15.955934599544111</v>
      </c>
      <c r="M11" s="49">
        <f>B13-L11</f>
        <v>373.59414206536928</v>
      </c>
      <c r="N11" s="59">
        <f t="shared" si="0"/>
        <v>4.0959906197808885E-2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389.55007666491338</v>
      </c>
      <c r="E13" s="42"/>
      <c r="F13" s="44"/>
      <c r="G13" s="53"/>
      <c r="L13" s="54">
        <f>SUM(L6:L11)</f>
        <v>96.432975349566547</v>
      </c>
      <c r="M13" s="54">
        <f>SUM(M6:M11)</f>
        <v>2240.867484639914</v>
      </c>
      <c r="N13" s="59">
        <f t="shared" si="0"/>
        <v>4.1258270812987628E-2</v>
      </c>
    </row>
    <row r="14" spans="1:14" ht="12.75" customHeight="1">
      <c r="A14" t="s">
        <v>108</v>
      </c>
      <c r="B14" s="55">
        <f>B4*(E8/100)</f>
        <v>16.18837122916667</v>
      </c>
      <c r="E14" s="42"/>
    </row>
    <row r="15" spans="1:14" ht="12.75" customHeight="1">
      <c r="A15" t="s">
        <v>109</v>
      </c>
      <c r="B15" s="55">
        <f>B13-B14</f>
        <v>373.36170543574673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389.55163666491336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-0.35062499999999996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-5.6099999999999994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2240.867484639914</v>
      </c>
      <c r="C22" s="58">
        <f>B22/170000</f>
        <v>1.3181573439058318E-2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127807.97251536009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>
        <v>-0.35699999999999998</v>
      </c>
      <c r="F29">
        <v>13</v>
      </c>
      <c r="G29" s="57">
        <v>1</v>
      </c>
    </row>
    <row r="30" spans="1:9" ht="12.75" customHeight="1">
      <c r="C30" s="59"/>
      <c r="E30" s="42">
        <v>-0.35</v>
      </c>
      <c r="F30">
        <v>14</v>
      </c>
      <c r="G30" s="57">
        <v>1</v>
      </c>
    </row>
    <row r="31" spans="1:9" ht="12.75" customHeight="1">
      <c r="E31" s="42">
        <v>-0.35299999999999998</v>
      </c>
      <c r="F31">
        <v>15</v>
      </c>
      <c r="G31" s="57">
        <v>1</v>
      </c>
    </row>
    <row r="32" spans="1:9" ht="12.75" customHeight="1">
      <c r="E32" s="42">
        <v>-0.38500000000000001</v>
      </c>
      <c r="F32">
        <v>16</v>
      </c>
      <c r="G32" s="57">
        <v>1</v>
      </c>
    </row>
    <row r="33" spans="2:7" ht="12.75" customHeight="1">
      <c r="C33" s="59"/>
      <c r="E33" s="42">
        <v>-0.39800000000000002</v>
      </c>
      <c r="F33">
        <v>19</v>
      </c>
      <c r="G33" s="57">
        <v>1</v>
      </c>
    </row>
    <row r="34" spans="2:7" ht="12.75" customHeight="1">
      <c r="C34" s="58"/>
      <c r="E34" s="42">
        <v>-0.39500000000000002</v>
      </c>
      <c r="F34">
        <v>20</v>
      </c>
      <c r="G34" s="57">
        <v>1</v>
      </c>
    </row>
    <row r="35" spans="2:7" ht="12.75" customHeight="1">
      <c r="C35" s="58"/>
      <c r="E35" s="42">
        <v>-0.39900000000000002</v>
      </c>
      <c r="F35">
        <v>21</v>
      </c>
      <c r="G35" s="57">
        <v>1</v>
      </c>
    </row>
    <row r="36" spans="2:7" ht="12.75" customHeight="1">
      <c r="E36" s="42">
        <v>-0.38600000000000001</v>
      </c>
      <c r="F36">
        <v>22</v>
      </c>
      <c r="G36" s="57">
        <v>1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16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F23" sqref="F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0" workbookViewId="0">
      <selection activeCell="G28" sqref="G2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-3.5062499999999998E-3</v>
      </c>
      <c r="D25" s="73">
        <f>Hipoteca!B$13</f>
        <v>389.55007666491338</v>
      </c>
      <c r="E25" s="72">
        <f t="shared" ref="E25" si="10">D25-D24</f>
        <v>-13.529923335086607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8.3641330227743251E-3</v>
      </c>
      <c r="D83" s="85">
        <f>AVERAGE(D2:D82)</f>
        <v>492.25232996929304</v>
      </c>
      <c r="E83" s="86">
        <f>AVERAGE(E3:E82)</f>
        <v>-19.934779275438551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3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1490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43699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94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43699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545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43699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3.8153846153846156E-2</v>
      </c>
      <c r="X13" s="119">
        <f ca="1">W13*E13</f>
        <v>153.35056916923079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3.3846153846153845E-2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8.615384615384615E-3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0.53476923076923077</v>
      </c>
      <c r="X19" s="119">
        <f t="shared" ca="1" si="2"/>
        <v>2365.4981726030774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0.38892307692307693</v>
      </c>
      <c r="X20" s="119">
        <f t="shared" ca="1" si="2"/>
        <v>233.58720000000002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0.17723076923076922</v>
      </c>
      <c r="X25" s="119">
        <f t="shared" ca="1" si="2"/>
        <v>107.74979020799999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545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43699</v>
      </c>
      <c r="L28" s="302">
        <v>26.61</v>
      </c>
      <c r="M28" s="264">
        <f>(H28*L28)</f>
        <v>5215.5599999999995</v>
      </c>
      <c r="N28" s="264">
        <f>-(IF((M28*0.0075)&lt;30,30,(M28*0.0075)) + (M28*0.0035))</f>
        <v>-57.371159999999989</v>
      </c>
      <c r="O28" s="272">
        <f>J28+N28</f>
        <v>-113.38403999999998</v>
      </c>
      <c r="P28" s="273">
        <f ca="1">IF(K28=0,0,M28-E28+N28)</f>
        <v>10.095959999999351</v>
      </c>
      <c r="Q28" s="274">
        <f ca="1">P28/E28</f>
        <v>1.9611068089353026E-3</v>
      </c>
      <c r="R28" s="275" t="s">
        <v>517</v>
      </c>
      <c r="S28" s="59">
        <f ca="1">Q28+Q29+Q30+Q34</f>
        <v>2.636626089776363E-2</v>
      </c>
      <c r="W28" s="39">
        <f t="shared" ca="1" si="0"/>
        <v>0.33538461538461539</v>
      </c>
      <c r="X28" s="119">
        <f t="shared" ca="1" si="2"/>
        <v>1726.591150523077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1.3538461538461539E-2</v>
      </c>
      <c r="X33" s="119">
        <f t="shared" ca="1" si="2"/>
        <v>55.902016246153842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94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43699</v>
      </c>
      <c r="L35" s="302">
        <v>60.36</v>
      </c>
      <c r="M35" s="264">
        <f>(H35*L35)</f>
        <v>3742.32</v>
      </c>
      <c r="N35" s="264">
        <f>-(IF((M35*0.0075)&lt;30,30,(M35*0.0075)) + (M35*0.0035))</f>
        <v>-43.098120000000002</v>
      </c>
      <c r="O35" s="272">
        <f>J35+N35</f>
        <v>-87.584980000000002</v>
      </c>
      <c r="P35" s="273">
        <f ca="1">IF(K35=0,0,M35-E35+N35)</f>
        <v>-389.52498000000003</v>
      </c>
      <c r="Q35" s="274">
        <f ca="1">P35/E35</f>
        <v>-9.5267570563172504E-2</v>
      </c>
      <c r="R35" s="275" t="s">
        <v>412</v>
      </c>
      <c r="W35" s="39">
        <f t="shared" ca="1" si="0"/>
        <v>5.7846153846153846E-2</v>
      </c>
      <c r="X35" s="119">
        <f t="shared" ca="1" si="2"/>
        <v>236.51827990153848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2581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-371.05053900000001</v>
      </c>
      <c r="O42" s="315">
        <f>SUM(O13:O41)</f>
        <v>-557.24867699999993</v>
      </c>
      <c r="P42" s="315">
        <f ca="1">SUM(P13:P41)</f>
        <v>3272.2797029999997</v>
      </c>
      <c r="Q42" s="326">
        <f ca="1">SUM(Q13:Q41)</f>
        <v>3.8300592424068327</v>
      </c>
      <c r="R42" s="317"/>
      <c r="W42" s="327">
        <f ca="1">SUM(W13:W41)</f>
        <v>1.5883076923076924</v>
      </c>
      <c r="X42" s="328">
        <f ca="1">SUM(X13:X41)</f>
        <v>4879.1971786510776</v>
      </c>
      <c r="Y42" s="329">
        <f ca="1">P42/X42</f>
        <v>0.67065945137816041</v>
      </c>
      <c r="Z42" s="329">
        <f ca="1">Y42/(D$43/365)</f>
        <v>0.15064043061724836</v>
      </c>
    </row>
    <row r="43" spans="1:26">
      <c r="C43" s="119" t="s">
        <v>568</v>
      </c>
      <c r="D43" s="46">
        <f ca="1">_xlfn.DAYS(TODAY(),F13)</f>
        <v>1625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-119.84154124977128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-134.84171937511437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-105.94706522330415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-28.894654151810222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-389.52498000000003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abSelected="1" topLeftCell="A46" workbookViewId="0">
      <selection activeCell="A55" sqref="A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692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679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693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693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693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708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87" workbookViewId="0">
      <selection activeCell="J395" sqref="J39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830.1400000000001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749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746</v>
      </c>
      <c r="D48" s="137">
        <v>22.34</v>
      </c>
      <c r="E48" s="138"/>
      <c r="F48" s="138"/>
      <c r="G48" s="16" t="s">
        <v>750</v>
      </c>
      <c r="H48" s="1">
        <f>20*8</f>
        <v>160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49.31</v>
      </c>
      <c r="E49" s="138"/>
      <c r="F49" s="138"/>
      <c r="G49" s="16" t="s">
        <v>756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763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764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'07'!A66+(B66-SUM(D66:F78))+B67</f>
        <v>16.530000000000037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755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f>23+8.15</f>
        <v>31.15</v>
      </c>
      <c r="E67" s="138"/>
      <c r="F67" s="138">
        <v>30</v>
      </c>
      <c r="G67" s="31" t="s">
        <v>754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19.5</v>
      </c>
      <c r="E68" s="138"/>
      <c r="F68" s="138">
        <v>5.5</v>
      </c>
      <c r="G68" s="16" t="s">
        <v>760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761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116.53000000000003</v>
      </c>
      <c r="B80" s="233">
        <f>SUM(B66:B79)</f>
        <v>170</v>
      </c>
      <c r="C80" s="17" t="s">
        <v>53</v>
      </c>
      <c r="D80" s="135">
        <f>SUM(D66:D79)</f>
        <v>127.44999999999999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752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753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95.69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770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-12.119999999999997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>
        <v>16.52</v>
      </c>
      <c r="E247" s="138"/>
      <c r="F247" s="138"/>
      <c r="G247" s="16" t="s">
        <v>762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619.00000000000011</v>
      </c>
      <c r="B260" s="135">
        <f>SUM(B246:B259)</f>
        <v>90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59.649999999999807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771</v>
      </c>
      <c r="D299" s="135"/>
      <c r="E299" s="139"/>
      <c r="F299" s="139"/>
      <c r="G299" s="17"/>
    </row>
    <row r="300" spans="1:8" ht="16.5" thickBot="1">
      <c r="A300" s="112">
        <f>SUM(A286:A299)</f>
        <v>79.649999999999807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757</v>
      </c>
    </row>
    <row r="307" spans="2:7">
      <c r="B307" s="134">
        <v>13.15</v>
      </c>
      <c r="C307" s="27" t="s">
        <v>765</v>
      </c>
      <c r="D307" s="137"/>
      <c r="E307" s="138"/>
      <c r="F307" s="138">
        <v>70</v>
      </c>
      <c r="G307" s="16" t="s">
        <v>759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143.15</v>
      </c>
      <c r="C320" s="17" t="s">
        <v>53</v>
      </c>
      <c r="D320" s="135">
        <f>SUM(D306:D319)</f>
        <v>35.96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747</v>
      </c>
    </row>
    <row r="328" spans="2:7">
      <c r="B328" s="134"/>
      <c r="C328" s="16"/>
      <c r="D328" s="137">
        <v>187.13</v>
      </c>
      <c r="E328" s="138"/>
      <c r="F328" s="138"/>
      <c r="G328" s="16" t="s">
        <v>751</v>
      </c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197.13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</f>
        <v>29.8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29.8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971.78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-2941.37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-2941.37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23.43</v>
      </c>
      <c r="E506" s="138"/>
      <c r="F506" s="138"/>
      <c r="G506" s="16" t="s">
        <v>758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2019-08-22T14:43:08Z</dcterms:modified>
</cp:coreProperties>
</file>