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drawings/drawing19.xml" ContentType="application/vnd.openxmlformats-officedocument.drawing+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29680D1C-6740-4636-9FD0-4CF4AE602E8D}" xr6:coauthVersionLast="47" xr6:coauthVersionMax="47" xr10:uidLastSave="{00000000-0000-0000-0000-000000000000}"/>
  <bookViews>
    <workbookView xWindow="5070" yWindow="5070" windowWidth="28800" windowHeight="15345" firstSheet="41" activeTab="46" xr2:uid="{992023F3-CAB7-4E5B-A348-08D563A0EF40}"/>
  </bookViews>
  <sheets>
    <sheet name="Home" sheetId="71" r:id="rId1"/>
    <sheet name="Results" sheetId="13" r:id="rId2"/>
    <sheet name="Input - Enterprise" sheetId="72" r:id="rId3"/>
    <sheet name="Input - Site" sheetId="75" r:id="rId4"/>
    <sheet name="Input - Pasture Beef" sheetId="81" r:id="rId5"/>
    <sheet name="Input - Pasture Beef (Enteric)" sheetId="78" r:id="rId6"/>
    <sheet name="Input - Livestock sales" sheetId="77" r:id="rId7"/>
    <sheet name="Input - Beef cattle purchases" sheetId="108" r:id="rId8"/>
    <sheet name="Input - Pasture" sheetId="104" r:id="rId9"/>
    <sheet name="Input - Fert Prod System" sheetId="76" r:id="rId10"/>
    <sheet name="Input - Fertiliser" sheetId="86" r:id="rId11"/>
    <sheet name="Input - Fuel" sheetId="97" r:id="rId12"/>
    <sheet name="Input - Electricity" sheetId="94" r:id="rId13"/>
    <sheet name="Input - Farm Inputs" sheetId="109" r:id="rId14"/>
    <sheet name="Input - Freight" sheetId="110" r:id="rId15"/>
    <sheet name="Input - Manure sent off-site" sheetId="111" r:id="rId16"/>
    <sheet name="3.2.1.1-2 Enteric Methane" sheetId="79" r:id="rId17"/>
    <sheet name="4.2.1.1-2 Methane" sheetId="82" r:id="rId18"/>
    <sheet name="4.2.1.3-4 Soil direct N20" sheetId="83" r:id="rId19"/>
    <sheet name="4.2.1.5-6 Soil Atmos Dep" sheetId="84" r:id="rId20"/>
    <sheet name="4.2.1.7-8 Soil leach runoff" sheetId="85" r:id="rId21"/>
    <sheet name="5.1.1.1-2 Inorganic fert N2O" sheetId="87" r:id="rId22"/>
    <sheet name="5.1.1.3-4 Inorganic fert CO2" sheetId="88" r:id="rId23"/>
    <sheet name="5.2.1.1-2 Organic Fert N2O" sheetId="89" r:id="rId24"/>
    <sheet name="5.3.1.1-2 Lime CO2" sheetId="90" r:id="rId25"/>
    <sheet name="5.4.1.1-4 Atmos deposition" sheetId="91" r:id="rId26"/>
    <sheet name="5.5.1.1-2 Leaching and runoff" sheetId="92" r:id="rId27"/>
    <sheet name="6.2.1.1-2 Pasture residue N2O" sheetId="105" r:id="rId28"/>
    <sheet name="6.3.1.1-2 Leach runoff pasture" sheetId="106" r:id="rId29"/>
    <sheet name="8.1.1.1-2 Transport fuel" sheetId="98" r:id="rId30"/>
    <sheet name="8.2.1.1-2 Stationary fuel" sheetId="99" r:id="rId31"/>
    <sheet name="14.1.1-2 Purchased electricity" sheetId="95" r:id="rId32"/>
    <sheet name="15 Scope 3" sheetId="112" r:id="rId33"/>
    <sheet name="Calcs - Manure sent off-site" sheetId="113" r:id="rId34"/>
    <sheet name="Constants - Pasture Beef" sheetId="80" r:id="rId35"/>
    <sheet name="Constants - Ag Residue" sheetId="107" r:id="rId36"/>
    <sheet name="Constants - Common Livestock" sheetId="115" r:id="rId37"/>
    <sheet name="Constants - Electricity" sheetId="96" r:id="rId38"/>
    <sheet name="Constants - Fertiliser" sheetId="93" r:id="rId39"/>
    <sheet name="Constants - Fuel" sheetId="100" r:id="rId40"/>
    <sheet name="Constants - Scope 3" sheetId="114" r:id="rId41"/>
    <sheet name="Constants - Common" sheetId="74" r:id="rId42"/>
    <sheet name="Acknowledgements" sheetId="117" r:id="rId43"/>
    <sheet name="Input - Solid waste" sheetId="101" r:id="rId44"/>
    <sheet name="10.1.1-2 Solid waste treatment" sheetId="102" r:id="rId45"/>
    <sheet name="Constants - Solid Waste" sheetId="103" r:id="rId46"/>
    <sheet name="Overview" sheetId="116" r:id="rId47"/>
  </sheets>
  <definedNames>
    <definedName name="_Toc225350871" localSheetId="25">'5.4.1.1-4 Atmos deposition'!$C$1</definedName>
    <definedName name="_Toc225350871" localSheetId="26">'5.5.1.1-2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35">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35">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35">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Pasture Beef'!CommonLivestock_InputFunctions.LivestockMovement_ProportionalAverageLiveweightAddedDuringMonth(_xlpm.Month, _xlpm.LivestockClass, _xlpm.HeadAtStart) + 'Input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Pasture Beef'!CommonLivestock_InputFunctions.LivestockMovement_LiveweightGrownDuringMonthPerHead(_xlpm.LivestockClass,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Pasture Beef'!CommonLivestock_InputFunctions.LivestockMovement_LiveweightGrownDuringMonthPerHead(_xlpm.LivestockClass,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Pasture Beef'!CommonLivestock_InputFunctions.LivestockMovement_HeadRemainingAtMonthEnd(_xlpm.Month, _xlpm.LivestockClass, _xlpm.HeadAtStartOfMonth) * 'Input - Pasture Beef'!CommonLivestock_InputFunctions.LivestockMovement_LiveweightGrownFromMonthStartPerHead(_xlpm.LivestockClass,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Pasture Beef'!CommonLivestock_InputFunctions.LivestockMovement_LiveweightGrownDuringMonthPerHead(_xlpm.LivestockClass,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Pasture Beef'!CommonLivestock_InputFunctions.LivestockMovement_ProportionHeadAddedDuringMonth(_xlpm.Month, _xlpm.LivestockClass, _xlpm.HeadAtStart) * 'Input - Pasture Beef'!CommonLivestock_InputFunctions.LivestockMovement_AverageLiveweightAddedDuringMonth(_xlpm.Month,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Pasture Beef'!CommonLivestock_InputFunctions.LivestockMovement_HeadAtEndOfMonth(_xlpm.HeadAtStart,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Pasture Beef'!CommonLivestock_InputFunctions.LivestockMovement_HeadRemainingAtMonthEnd(_xlpm.Month, _xlpm.LivestockClass, _xlpm.HeadAtStart) / 'Input - Pasture Beef'!CommonLivestock_InputFunctions.LivestockMovement_HeadAtEndOfMonth(_xlpm.HeadAtStart,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'3.2.1.1-2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'4.2.1.3-4 Soil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'4.2.1.5-6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'4.2.1.7-8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9">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20">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4">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2">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46">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4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RIGHT(_xlpm.Cell,LEN(_xlpm.Cell)-FIND(", ",_xlpm.Cell))
)</definedName>
    <definedName name="Fuel_InputFunctions.Fuel_GetStationaryFuelString" localSheetId="30">_xlfn.LAMBDA(_xlpm.Cell,
    RIGHT(_xlpm.Cell,LEN(_xlpm.Cell)-FIND(", ",_xlpm.Cell))
)</definedName>
    <definedName name="Fuel_InputFunctions.Fuel_GetStationaryFuelString" localSheetId="39">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8">'4.2.1.3-4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8">'6.3.1.1-2 Leach runoff pasture'!$N$44:$O$46</definedName>
    <definedName name="M1_Table_E_N2O">'5.1.1.1-2 Inorganic fert N2O'!$D$59:$E$78</definedName>
    <definedName name="M1_Table_E_N2O_Consumer_1" localSheetId="28">'6.3.1.1-2 Leach runoff pasture'!$D$44:$E$46</definedName>
    <definedName name="M1_Table_I_j_k_l" localSheetId="16">'3.2.1.1-2 Enteric Methane'!$D$63:$N$67</definedName>
    <definedName name="M1_Table_I_j_k_l" localSheetId="17">'4.2.1.1-2 Methane'!$D$83:$N$87</definedName>
    <definedName name="M1_Table_I_j_k_l" localSheetId="18">'4.2.1.1-2 Methane'!$D$83:$N$87</definedName>
    <definedName name="M1_Table_I_j_k_l" localSheetId="19">'4.2.1.1-2 Methane'!$D$83:$N$87</definedName>
    <definedName name="M1_Table_I_j_k_l" localSheetId="20">'4.2.1.1-2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7">'4.2.1.1-2 Methane'!$D$21:$H$25</definedName>
    <definedName name="M1_Table_LC_j_k45">'3.2.1.1-2 Enteric Methane'!$D$20:$G$21</definedName>
    <definedName name="M1_Table_LC_j_k45_Consumer_1">'4.2.1.3-4 Soil direct N20'!$D$86:$G$87</definedName>
    <definedName name="M1_Table_LWG_j_k_l" localSheetId="18">'4.2.1.3-4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8">'6.3.1.1-2 Leach runoff pasture'!$D$23:$I$25</definedName>
    <definedName name="M1_Table_MA_j_k45" localSheetId="16">'3.2.1.1-2 Enteric Methane'!$D$25:$P$29</definedName>
    <definedName name="M1_Table_MA_j_k45" localSheetId="17">'4.2.1.1-2 Methane'!$D$29:$R$33</definedName>
    <definedName name="M1_Table_MA_j_k45" localSheetId="18">'4.2.1.1-2 Methane'!$D$29:$R$33</definedName>
    <definedName name="M1_Table_MA_j_k45" localSheetId="19">'4.2.1.1-2 Methane'!$D$29:$R$33</definedName>
    <definedName name="M1_Table_MA_j_k45" localSheetId="20">'4.2.1.1-2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8">'4.2.1.3-4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7">'4.2.1.1-2 Methane'!$D$130:$N$134</definedName>
    <definedName name="M1_Table_VS_j_k_l">#REF!</definedName>
    <definedName name="M1_Table_W_j_k_l" localSheetId="18">'4.2.1.3-4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8">'4.2.1.3-4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6">'3.2.1.1-2 Enteric Methane'!$U$75:$AE$87</definedName>
    <definedName name="M2_Table_I_j_k_l" localSheetId="17">'4.2.1.1-2 Methane'!$W$75:$AG$87</definedName>
    <definedName name="M2_Table_I_j_k_l" localSheetId="18">'4.2.1.1-2 Methane'!$W$75:$AG$87</definedName>
    <definedName name="M2_Table_I_j_k_l" localSheetId="19">'4.2.1.1-2 Methane'!$W$75:$AG$87</definedName>
    <definedName name="M2_Table_I_j_k_l" localSheetId="20">'4.2.1.1-2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8">'4.2.1.3-4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8">'4.2.1.3-4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8">'6.3.1.1-2 Leach runoff pasture'!$N$23:$S$23</definedName>
    <definedName name="M2_Table_MA_j_k45" localSheetId="17">'4.2.1.1-2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8">'4.2.1.3-4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7">'4.2.1.1-2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
  )</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9">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2">_xlfn.LAMBDA(0.24)</definedName>
    <definedName name="SourceData_Dairy.SourceData_Dairy_FractionOfNitrogenLostThroughLeachingAndRunoff_Data" localSheetId="33">_xlfn.LAMBDA(0.24)</definedName>
    <definedName name="SourceData_Dairy.SourceData_Dairy_FractionOfNitrogenLostThroughLeachingAndRunoff_Data" localSheetId="40">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5">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2">_xlfn.LAMBDA("Default fraction of N that is lost through leaching and runoff when manure is excreted to pasture, range and paddock (m=14).")</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40">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2">_xlfn.LAMBDA("Fraction")</definedName>
    <definedName name="SourceData_Dairy.SourceData_Dairy_FractionOfNitrogenLostThroughLeachingAndRunoff_Unit" localSheetId="33">_xlfn.LAMBDA("Fraction")</definedName>
    <definedName name="SourceData_Dairy.SourceData_Dairy_FractionOfNitrogenLostThroughLeachingAndRunoff_Unit" localSheetId="40">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5">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2">_xlfn.LAMBDA(
    _xlfn.MAKEARRAY(3, 2,
      _xlfn.LAMBDA(_xlpm.r,_xlpm.c,
        INDEX({"Animal Class j","MRj";"Milking cows, and house cows",1.1;"All other cattle classes",1}, _xlpm.r, _xlpm.c)
      )
    )
  )</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40">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2">_xlfn.LAMBDA(
    _xlfn.MAKEARRAY(5, 2,
      _xlfn.LAMBDA(_xlpm.r,_xlpm.c,
        INDEX({"Class","Ij";"Boars",2.62;"Sows",2.3;"Gilts",2.5;"Others",1.71}, _xlpm.r, _xlpm.c)
      )
    )
  )</definedName>
    <definedName name="SourceData_Swine.SourceData_Swine_FeedIntake_Data" localSheetId="33">_xlfn.LAMBDA(
    _xlfn.MAKEARRAY(5, 2,
      _xlfn.LAMBDA(_xlpm.r,_xlpm.c,
        INDEX({"Class","Ij";"Boars",2.62;"Sows",2.3;"Gilts",2.5;"Others",1.71}, _xlpm.r, _xlpm.c)
      )
    )
  )</definedName>
    <definedName name="SourceData_Swine.SourceData_Swine_FeedIntake_Data" localSheetId="40">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2">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0">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2">_xlfn.LAMBDA(
    _xlfn.MAKEARRAY(5, 2,
      _xlfn.LAMBDA(_xlpm.r,_xlpm.c,
        INDEX({"Class","VSj";"Boars",0.4;"Sows",0.46;"Gilts",0.55;"Others",0.39}, _xlpm.r, _xlpm.c)
      )
    )
  )</definedName>
    <definedName name="SourceData_Swine.SourceData_Swine_VolatileSolids_Data" localSheetId="33">_xlfn.LAMBDA(
    _xlfn.MAKEARRAY(5, 2,
      _xlfn.LAMBDA(_xlpm.r,_xlpm.c,
        INDEX({"Class","VSj";"Boars",0.4;"Sows",0.46;"Gilts",0.55;"Others",0.39}, _xlpm.r, _xlpm.c)
      )
    )
  )</definedName>
    <definedName name="SourceData_Swine.SourceData_Swine_VolatileSolids_Data" localSheetId="40">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2">'Calcs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40">'Calcs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2">'Calcs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40">'Calcs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8">'6.3.1.1-2 Leach runoff pasture'!$E$48</definedName>
    <definedName name="VEERG_6_3_1_1__1__LeachingAndRunoffEmissionsCropAndPastureResidue_Result_Method2" localSheetId="28">'6.3.1.1-2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6">'Input - Pasture Beef'!$E$9</definedName>
    <definedName name="X_Cell_PastureBeef_Breed" localSheetId="17">'Input - Pasture Beef'!$E$9</definedName>
    <definedName name="X_Cell_PastureBeef_Breed" localSheetId="18">'Input - Pasture Beef'!$E$9</definedName>
    <definedName name="X_Cell_PastureBeef_Breed" localSheetId="19">'Input - Pasture Beef'!$E$9</definedName>
    <definedName name="X_Cell_PastureBeef_Breed" localSheetId="20">'Input - Pasture Beef'!$E$9</definedName>
    <definedName name="X_Cell_PastureBeef_Breed" localSheetId="42">'Input - Pasture Beef'!$E$9</definedName>
    <definedName name="X_Cell_PastureBeef_Breed" localSheetId="36">'Input - Pasture Beef'!$E$9</definedName>
    <definedName name="X_Cell_PastureBeef_Breed" localSheetId="34">'Input - Pasture Beef'!$E$9</definedName>
    <definedName name="X_Cell_PastureBeef_Breed" localSheetId="4">'Input - Pasture Beef'!$E$9</definedName>
    <definedName name="X_Cell_PastureBeef_Breed">'Input - Pasture Beef (Enteric)'!$E$9</definedName>
    <definedName name="X_Cell_PastureBeef_CalculatedMMSAnaerobicLagoon">'Input - Pasture Beef'!$E$181</definedName>
    <definedName name="X_Cell_PastureBeef_CalculatedMMSPastureRangeAndPaddock">'Input - Pasture Beef'!$E$180</definedName>
    <definedName name="X_Cell_PastureBeef_FencedWater" localSheetId="4">'Input - Pasture Beef'!$E$177</definedName>
    <definedName name="X_Cell_PastureBeef_FencedWater">'Input - Pasture Beef (Enteric)'!$E$177</definedName>
    <definedName name="X_Cell_PastureBeef_GrazingIrrigationMethod" localSheetId="17">'Input - Pasture Beef'!$E$185</definedName>
    <definedName name="X_Cell_PastureBeef_GrazingIrrigationMethod" localSheetId="18">'Input - Pasture Beef'!$E$185</definedName>
    <definedName name="X_Cell_PastureBeef_GrazingIrrigationMethod" localSheetId="19">'Input - Pasture Beef'!$E$185</definedName>
    <definedName name="X_Cell_PastureBeef_GrazingIrrigationMethod" localSheetId="20">'Input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7">'Input - Pasture Beef'!$E$184</definedName>
    <definedName name="X_Cell_PastureBeef_GrazingProductionSystem" localSheetId="18">'Input - Pasture Beef'!$E$184</definedName>
    <definedName name="X_Cell_PastureBeef_GrazingProductionSystem" localSheetId="19">'Input - Pasture Beef'!$E$184</definedName>
    <definedName name="X_Cell_PastureBeef_GrazingProductionSystem" localSheetId="20">'Input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7">'Input - Pasture Beef'!$E$8</definedName>
    <definedName name="X_Cell_PastureBeef_ProductionRegion" localSheetId="18">'Input - Pasture Beef'!$E$8</definedName>
    <definedName name="X_Cell_PastureBeef_ProductionRegion" localSheetId="19">'Input - Pasture Beef'!$E$8</definedName>
    <definedName name="X_Cell_PastureBeef_ProductionRegion" localSheetId="20">'Input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7">'Input - Pasture Beef'!$D$154:$N$158</definedName>
    <definedName name="X_Table_PastureBeef_CrudeProtein_Method1" localSheetId="18">'Input - Pasture Beef'!$D$154:$N$158</definedName>
    <definedName name="X_Table_PastureBeef_CrudeProtein_Method1" localSheetId="19">'Input - Pasture Beef'!$D$154:$N$158</definedName>
    <definedName name="X_Table_PastureBeef_CrudeProtein_Method1" localSheetId="20">'Input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7">'Input - Pasture Beef'!$D$160:$N$172</definedName>
    <definedName name="X_Table_PastureBeef_CrudeProtein_Method2" localSheetId="18">'Input - Pasture Beef'!$D$160:$N$172</definedName>
    <definedName name="X_Table_PastureBeef_CrudeProtein_Method2" localSheetId="19">'Input - Pasture Beef'!$D$160:$N$172</definedName>
    <definedName name="X_Table_PastureBeef_CrudeProtein_Method2" localSheetId="20">'Input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7">'Input - Pasture Beef'!$D$132:$N$136</definedName>
    <definedName name="X_Table_PastureBeef_DryMatterDigestibility_Method1" localSheetId="18">'Input - Pasture Beef'!$D$132:$N$136</definedName>
    <definedName name="X_Table_PastureBeef_DryMatterDigestibility_Method1" localSheetId="19">'Input - Pasture Beef'!$D$132:$N$136</definedName>
    <definedName name="X_Table_PastureBeef_DryMatterDigestibility_Method1" localSheetId="20">'Input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7">'Input - Pasture Beef'!$D$138:$N$150</definedName>
    <definedName name="X_Table_PastureBeef_DryMatterDigestibility_Method2" localSheetId="18">'Input - Pasture Beef'!$D$138:$N$150</definedName>
    <definedName name="X_Table_PastureBeef_DryMatterDigestibility_Method2" localSheetId="19">'Input - Pasture Beef'!$D$138:$N$150</definedName>
    <definedName name="X_Table_PastureBeef_DryMatterDigestibility_Method2" localSheetId="20">'Input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6">'Input - Pasture Beef'!$D$16:$N$20</definedName>
    <definedName name="X_Table_PastureBeef_Duration_Method1" localSheetId="17">'Input - Pasture Beef'!$D$16:$N$20</definedName>
    <definedName name="X_Table_PastureBeef_Duration_Method1" localSheetId="18">'Input - Pasture Beef'!$D$16:$N$20</definedName>
    <definedName name="X_Table_PastureBeef_Duration_Method1" localSheetId="19">'Input - Pasture Beef'!$D$16:$N$20</definedName>
    <definedName name="X_Table_PastureBeef_Duration_Method1" localSheetId="20">'Input - Pasture Beef'!$D$16:$N$20</definedName>
    <definedName name="X_Table_PastureBeef_Duration_Method1" localSheetId="42">'Input - Pasture Beef'!$D$16:$N$20</definedName>
    <definedName name="X_Table_PastureBeef_Duration_Method1" localSheetId="36">'Input - Pasture Beef'!$D$16:$N$20</definedName>
    <definedName name="X_Table_PastureBeef_Duration_Method1" localSheetId="34">'Input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6">'Input - Pasture Beef'!$D$22:$N$34</definedName>
    <definedName name="X_Table_PastureBeef_Duration_Method2" localSheetId="17">'Input - Pasture Beef'!$D$22:$N$34</definedName>
    <definedName name="X_Table_PastureBeef_Duration_Method2" localSheetId="18">'Input - Pasture Beef'!$D$22:$N$34</definedName>
    <definedName name="X_Table_PastureBeef_Duration_Method2" localSheetId="19">'Input - Pasture Beef'!$D$22:$N$34</definedName>
    <definedName name="X_Table_PastureBeef_Duration_Method2" localSheetId="20">'Input - Pasture Beef'!$D$22:$N$34</definedName>
    <definedName name="X_Table_PastureBeef_Duration_Method2" localSheetId="42">'Input - Pasture Beef'!$D$22:$N$34</definedName>
    <definedName name="X_Table_PastureBeef_Duration_Method2" localSheetId="36">'Input - Pasture Beef'!$D$22:$N$34</definedName>
    <definedName name="X_Table_PastureBeef_Duration_Method2" localSheetId="34">'Input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6">'Input - Pasture Beef'!$D$38:$N$42</definedName>
    <definedName name="X_Table_PastureBeef_Head_Method1" localSheetId="17">'Input - Pasture Beef'!$D$38:$N$42</definedName>
    <definedName name="X_Table_PastureBeef_Head_Method1" localSheetId="18">'Input - Pasture Beef'!$D$38:$N$42</definedName>
    <definedName name="X_Table_PastureBeef_Head_Method1" localSheetId="19">'Input - Pasture Beef'!$D$38:$N$42</definedName>
    <definedName name="X_Table_PastureBeef_Head_Method1" localSheetId="20">'Input - Pasture Beef'!$D$38:$N$42</definedName>
    <definedName name="X_Table_PastureBeef_Head_Method1" localSheetId="42">'Input - Pasture Beef'!$D$38:$N$42</definedName>
    <definedName name="X_Table_PastureBeef_Head_Method1" localSheetId="36">'Input - Pasture Beef'!$D$38:$N$42</definedName>
    <definedName name="X_Table_PastureBeef_Head_Method1" localSheetId="34">'Input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6">'Input - Pasture Beef'!$D$44:$N$56</definedName>
    <definedName name="X_Table_PastureBeef_Head_Method2" localSheetId="17">'Input - Pasture Beef'!$D$44:$N$56</definedName>
    <definedName name="X_Table_PastureBeef_Head_Method2" localSheetId="18">'Input - Pasture Beef'!$D$44:$N$56</definedName>
    <definedName name="X_Table_PastureBeef_Head_Method2" localSheetId="19">'Input - Pasture Beef'!$D$44:$N$56</definedName>
    <definedName name="X_Table_PastureBeef_Head_Method2" localSheetId="20">'Input - Pasture Beef'!$D$44:$N$56</definedName>
    <definedName name="X_Table_PastureBeef_Head_Method2" localSheetId="42">'Input - Pasture Beef'!$D$44:$N$56</definedName>
    <definedName name="X_Table_PastureBeef_Head_Method2" localSheetId="36">'Input - Pasture Beef'!$D$44:$N$56</definedName>
    <definedName name="X_Table_PastureBeef_Head_Method2" localSheetId="34">'Input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6">'Input - Pasture Beef'!$D$60:$N$64</definedName>
    <definedName name="X_Table_PastureBeef_Liveweight_Method1" localSheetId="17">'Input - Pasture Beef'!$D$60:$N$64</definedName>
    <definedName name="X_Table_PastureBeef_Liveweight_Method1" localSheetId="18">'Input - Pasture Beef'!$D$60:$N$64</definedName>
    <definedName name="X_Table_PastureBeef_Liveweight_Method1" localSheetId="19">'Input - Pasture Beef'!$D$60:$N$64</definedName>
    <definedName name="X_Table_PastureBeef_Liveweight_Method1" localSheetId="20">'Input - Pasture Beef'!$D$60:$N$64</definedName>
    <definedName name="X_Table_PastureBeef_Liveweight_Method1" localSheetId="42">'Input - Pasture Beef'!$D$60:$N$64</definedName>
    <definedName name="X_Table_PastureBeef_Liveweight_Method1" localSheetId="36">'Input - Pasture Beef'!$D$60:$N$64</definedName>
    <definedName name="X_Table_PastureBeef_Liveweight_Method1" localSheetId="34">'Input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6">'Input - Pasture Beef'!$D$66:$N$78</definedName>
    <definedName name="X_Table_PastureBeef_Liveweight_Method2" localSheetId="17">'Input - Pasture Beef'!$D$66:$N$78</definedName>
    <definedName name="X_Table_PastureBeef_Liveweight_Method2" localSheetId="18">'Input - Pasture Beef'!$D$66:$N$78</definedName>
    <definedName name="X_Table_PastureBeef_Liveweight_Method2" localSheetId="19">'Input - Pasture Beef'!$D$66:$N$78</definedName>
    <definedName name="X_Table_PastureBeef_Liveweight_Method2" localSheetId="20">'Input - Pasture Beef'!$D$66:$N$78</definedName>
    <definedName name="X_Table_PastureBeef_Liveweight_Method2" localSheetId="42">'Input - Pasture Beef'!$D$66:$N$78</definedName>
    <definedName name="X_Table_PastureBeef_Liveweight_Method2" localSheetId="36">'Input - Pasture Beef'!$D$66:$N$78</definedName>
    <definedName name="X_Table_PastureBeef_Liveweight_Method2" localSheetId="34">'Input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6">'Input - Pasture Beef'!$D$82:$N$86</definedName>
    <definedName name="X_Table_PastureBeef_LiveweightGain_Method1" localSheetId="17">'Input - Pasture Beef'!$D$82:$N$86</definedName>
    <definedName name="X_Table_PastureBeef_LiveweightGain_Method1" localSheetId="18">'Input - Pasture Beef'!$D$82:$N$86</definedName>
    <definedName name="X_Table_PastureBeef_LiveweightGain_Method1" localSheetId="19">'Input - Pasture Beef'!$D$82:$N$86</definedName>
    <definedName name="X_Table_PastureBeef_LiveweightGain_Method1" localSheetId="20">'Input - Pasture Beef'!$D$82:$N$86</definedName>
    <definedName name="X_Table_PastureBeef_LiveweightGain_Method1" localSheetId="42">'Input - Pasture Beef'!$D$82:$N$86</definedName>
    <definedName name="X_Table_PastureBeef_LiveweightGain_Method1" localSheetId="36">'Input - Pasture Beef'!$D$82:$N$86</definedName>
    <definedName name="X_Table_PastureBeef_LiveweightGain_Method1" localSheetId="34">'Input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6">'Input - Pasture Beef'!$D$88:$N$100</definedName>
    <definedName name="X_Table_PastureBeef_LiveweightGain_Method2" localSheetId="17">'Input - Pasture Beef'!$D$88:$N$100</definedName>
    <definedName name="X_Table_PastureBeef_LiveweightGain_Method2" localSheetId="18">'Input - Pasture Beef'!$D$88:$N$100</definedName>
    <definedName name="X_Table_PastureBeef_LiveweightGain_Method2" localSheetId="19">'Input - Pasture Beef'!$D$88:$N$100</definedName>
    <definedName name="X_Table_PastureBeef_LiveweightGain_Method2" localSheetId="20">'Input - Pasture Beef'!$D$88:$N$100</definedName>
    <definedName name="X_Table_PastureBeef_LiveweightGain_Method2" localSheetId="42">'Input - Pasture Beef'!$D$88:$N$100</definedName>
    <definedName name="X_Table_PastureBeef_LiveweightGain_Method2" localSheetId="36">'Input - Pasture Beef'!$D$88:$N$100</definedName>
    <definedName name="X_Table_PastureBeef_LiveweightGain_Method2" localSheetId="34">'Input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8" i="116" l="1"/>
  <c r="A57" i="116"/>
  <c r="A56" i="116"/>
  <c r="A55" i="116"/>
  <c r="A54" i="116"/>
  <c r="A53" i="116"/>
  <c r="A52" i="116"/>
  <c r="A51" i="116"/>
  <c r="A50" i="116"/>
  <c r="A49"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8" i="103"/>
  <c r="A57" i="103"/>
  <c r="A56" i="103"/>
  <c r="A55" i="103"/>
  <c r="A54" i="103"/>
  <c r="A53" i="103"/>
  <c r="A52" i="103"/>
  <c r="A51" i="103"/>
  <c r="A50" i="103"/>
  <c r="A49"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8" i="102"/>
  <c r="A57" i="102"/>
  <c r="A56" i="102"/>
  <c r="A55" i="102"/>
  <c r="A54" i="102"/>
  <c r="A53" i="102"/>
  <c r="A52" i="102"/>
  <c r="A51" i="102"/>
  <c r="A50" i="102"/>
  <c r="A49"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8" i="101"/>
  <c r="A57" i="101"/>
  <c r="A56" i="101"/>
  <c r="A55" i="101"/>
  <c r="A54" i="101"/>
  <c r="A53" i="101"/>
  <c r="A52" i="101"/>
  <c r="A51" i="101"/>
  <c r="A50" i="101"/>
  <c r="A49"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8" i="117"/>
  <c r="A57" i="117"/>
  <c r="A56" i="117"/>
  <c r="A55" i="117"/>
  <c r="A54" i="117"/>
  <c r="A53" i="117"/>
  <c r="A52" i="117"/>
  <c r="A51" i="117"/>
  <c r="A50" i="117"/>
  <c r="A49"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8" i="74"/>
  <c r="A57" i="74"/>
  <c r="A56" i="74"/>
  <c r="A55" i="74"/>
  <c r="A54" i="74"/>
  <c r="A53" i="74"/>
  <c r="A52" i="74"/>
  <c r="A51" i="74"/>
  <c r="A50" i="74"/>
  <c r="A49"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58" i="114"/>
  <c r="A57" i="114"/>
  <c r="A56" i="114"/>
  <c r="A55" i="114"/>
  <c r="A54" i="114"/>
  <c r="A53" i="114"/>
  <c r="A52" i="114"/>
  <c r="A51" i="114"/>
  <c r="A50" i="114"/>
  <c r="A49"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8" i="100"/>
  <c r="A57" i="100"/>
  <c r="A56" i="100"/>
  <c r="A55" i="100"/>
  <c r="A54" i="100"/>
  <c r="A53" i="100"/>
  <c r="A52" i="100"/>
  <c r="A51" i="100"/>
  <c r="A50" i="100"/>
  <c r="A49"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8" i="93"/>
  <c r="A57" i="93"/>
  <c r="A56" i="93"/>
  <c r="A55" i="93"/>
  <c r="A54" i="93"/>
  <c r="A53" i="93"/>
  <c r="A52" i="93"/>
  <c r="A51" i="93"/>
  <c r="A50" i="93"/>
  <c r="A49"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8" i="96"/>
  <c r="A57" i="96"/>
  <c r="A56" i="96"/>
  <c r="A55" i="96"/>
  <c r="A54" i="96"/>
  <c r="A53" i="96"/>
  <c r="A52" i="96"/>
  <c r="A51" i="96"/>
  <c r="A50" i="96"/>
  <c r="A49"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8" i="115"/>
  <c r="A57" i="115"/>
  <c r="A56" i="115"/>
  <c r="A55" i="115"/>
  <c r="A54" i="115"/>
  <c r="A53" i="115"/>
  <c r="A52" i="115"/>
  <c r="A51" i="115"/>
  <c r="A50" i="115"/>
  <c r="A49"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8" i="107"/>
  <c r="A57" i="107"/>
  <c r="A56" i="107"/>
  <c r="A55" i="107"/>
  <c r="A54" i="107"/>
  <c r="A53" i="107"/>
  <c r="A52" i="107"/>
  <c r="A51" i="107"/>
  <c r="A50" i="107"/>
  <c r="A49"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8" i="80"/>
  <c r="A57" i="80"/>
  <c r="A56" i="80"/>
  <c r="A55" i="80"/>
  <c r="A54" i="80"/>
  <c r="A53" i="80"/>
  <c r="A52" i="80"/>
  <c r="A51" i="80"/>
  <c r="A50" i="80"/>
  <c r="A49"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8" i="113"/>
  <c r="A57" i="113"/>
  <c r="A56" i="113"/>
  <c r="A55" i="113"/>
  <c r="A54" i="113"/>
  <c r="A53" i="113"/>
  <c r="A52" i="113"/>
  <c r="A51" i="113"/>
  <c r="A50" i="113"/>
  <c r="A49"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8" i="112"/>
  <c r="A57" i="112"/>
  <c r="A56" i="112"/>
  <c r="A55" i="112"/>
  <c r="A54" i="112"/>
  <c r="A53" i="112"/>
  <c r="A52" i="112"/>
  <c r="A51" i="112"/>
  <c r="A50" i="112"/>
  <c r="A49"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8" i="95"/>
  <c r="A57" i="95"/>
  <c r="A56" i="95"/>
  <c r="A55" i="95"/>
  <c r="A54" i="95"/>
  <c r="A53" i="95"/>
  <c r="A52" i="95"/>
  <c r="A51" i="95"/>
  <c r="A50" i="95"/>
  <c r="A49"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8" i="99"/>
  <c r="A57" i="99"/>
  <c r="A56" i="99"/>
  <c r="A55" i="99"/>
  <c r="A54" i="99"/>
  <c r="A53" i="99"/>
  <c r="A52" i="99"/>
  <c r="A51" i="99"/>
  <c r="A50" i="99"/>
  <c r="A49"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8" i="98"/>
  <c r="A57" i="98"/>
  <c r="A56" i="98"/>
  <c r="A55" i="98"/>
  <c r="A54" i="98"/>
  <c r="A53" i="98"/>
  <c r="A52" i="98"/>
  <c r="A51" i="98"/>
  <c r="A50" i="98"/>
  <c r="A49"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8" i="106"/>
  <c r="A57" i="106"/>
  <c r="A56" i="106"/>
  <c r="A55" i="106"/>
  <c r="A54" i="106"/>
  <c r="A53" i="106"/>
  <c r="A52" i="106"/>
  <c r="A51" i="106"/>
  <c r="A50" i="106"/>
  <c r="A49"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8" i="105"/>
  <c r="A57" i="105"/>
  <c r="A56" i="105"/>
  <c r="A55" i="105"/>
  <c r="A54" i="105"/>
  <c r="A53" i="105"/>
  <c r="A52" i="105"/>
  <c r="A51" i="105"/>
  <c r="A50" i="105"/>
  <c r="A49"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8" i="92"/>
  <c r="A57" i="92"/>
  <c r="A56" i="92"/>
  <c r="A55" i="92"/>
  <c r="A54" i="92"/>
  <c r="A53" i="92"/>
  <c r="A52" i="92"/>
  <c r="A51" i="92"/>
  <c r="A50" i="92"/>
  <c r="A49"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8" i="91"/>
  <c r="A57" i="91"/>
  <c r="A56" i="91"/>
  <c r="A55" i="91"/>
  <c r="A54" i="91"/>
  <c r="A53" i="91"/>
  <c r="A52" i="91"/>
  <c r="A51" i="91"/>
  <c r="A50" i="91"/>
  <c r="A49"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8" i="90"/>
  <c r="A57" i="90"/>
  <c r="A56" i="90"/>
  <c r="A55" i="90"/>
  <c r="A54" i="90"/>
  <c r="A53" i="90"/>
  <c r="A52" i="90"/>
  <c r="A51" i="90"/>
  <c r="A50" i="90"/>
  <c r="A49"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8" i="89"/>
  <c r="A57" i="89"/>
  <c r="A56" i="89"/>
  <c r="A55" i="89"/>
  <c r="A54" i="89"/>
  <c r="A53" i="89"/>
  <c r="A52" i="89"/>
  <c r="A51" i="89"/>
  <c r="A50" i="89"/>
  <c r="A49"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8" i="88"/>
  <c r="A57" i="88"/>
  <c r="A56" i="88"/>
  <c r="A55" i="88"/>
  <c r="A54" i="88"/>
  <c r="A53" i="88"/>
  <c r="A52" i="88"/>
  <c r="A51" i="88"/>
  <c r="A50" i="88"/>
  <c r="A49"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8" i="87"/>
  <c r="A57" i="87"/>
  <c r="A56" i="87"/>
  <c r="A55" i="87"/>
  <c r="A54" i="87"/>
  <c r="A53" i="87"/>
  <c r="A52" i="87"/>
  <c r="A51" i="87"/>
  <c r="A50" i="87"/>
  <c r="A49"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8" i="85"/>
  <c r="A57" i="85"/>
  <c r="A56" i="85"/>
  <c r="A55" i="85"/>
  <c r="A54" i="85"/>
  <c r="A53" i="85"/>
  <c r="A52" i="85"/>
  <c r="A51" i="85"/>
  <c r="A50" i="85"/>
  <c r="A49"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8" i="84"/>
  <c r="A57" i="84"/>
  <c r="A56" i="84"/>
  <c r="A55" i="84"/>
  <c r="A54" i="84"/>
  <c r="A53" i="84"/>
  <c r="A52" i="84"/>
  <c r="A51" i="84"/>
  <c r="A50" i="84"/>
  <c r="A49"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8" i="83"/>
  <c r="A57" i="83"/>
  <c r="A56" i="83"/>
  <c r="A55" i="83"/>
  <c r="A54" i="83"/>
  <c r="A53" i="83"/>
  <c r="A52" i="83"/>
  <c r="A51" i="83"/>
  <c r="A50" i="83"/>
  <c r="A49"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8" i="82"/>
  <c r="A57" i="82"/>
  <c r="A56" i="82"/>
  <c r="A55" i="82"/>
  <c r="A54" i="82"/>
  <c r="A53" i="82"/>
  <c r="A52" i="82"/>
  <c r="A51" i="82"/>
  <c r="A50" i="82"/>
  <c r="A49"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8" i="79"/>
  <c r="A57" i="79"/>
  <c r="A56" i="79"/>
  <c r="A55" i="79"/>
  <c r="A54" i="79"/>
  <c r="A53" i="79"/>
  <c r="A52" i="79"/>
  <c r="A51" i="79"/>
  <c r="A50" i="79"/>
  <c r="A49"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8" i="111"/>
  <c r="A57" i="111"/>
  <c r="A56" i="111"/>
  <c r="A55" i="111"/>
  <c r="A54" i="111"/>
  <c r="A53" i="111"/>
  <c r="A52" i="111"/>
  <c r="A51" i="111"/>
  <c r="A50" i="111"/>
  <c r="A49"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8" i="110"/>
  <c r="A57" i="110"/>
  <c r="A56" i="110"/>
  <c r="A55" i="110"/>
  <c r="A54" i="110"/>
  <c r="A53" i="110"/>
  <c r="A52" i="110"/>
  <c r="A51" i="110"/>
  <c r="A50" i="110"/>
  <c r="A49"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8" i="109"/>
  <c r="A57" i="109"/>
  <c r="A56" i="109"/>
  <c r="A55" i="109"/>
  <c r="A54" i="109"/>
  <c r="A53" i="109"/>
  <c r="A52" i="109"/>
  <c r="A51" i="109"/>
  <c r="A50" i="109"/>
  <c r="A49"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8" i="94"/>
  <c r="A57" i="94"/>
  <c r="A56" i="94"/>
  <c r="A55" i="94"/>
  <c r="A54" i="94"/>
  <c r="A53" i="94"/>
  <c r="A52" i="94"/>
  <c r="A51" i="94"/>
  <c r="A50" i="94"/>
  <c r="A49"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8" i="97"/>
  <c r="A57" i="97"/>
  <c r="A56" i="97"/>
  <c r="A55" i="97"/>
  <c r="A54" i="97"/>
  <c r="A53" i="97"/>
  <c r="A52" i="97"/>
  <c r="A51" i="97"/>
  <c r="A50" i="97"/>
  <c r="A49"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8" i="86"/>
  <c r="A57" i="86"/>
  <c r="A56" i="86"/>
  <c r="A55" i="86"/>
  <c r="A54" i="86"/>
  <c r="A53" i="86"/>
  <c r="A52" i="86"/>
  <c r="A51" i="86"/>
  <c r="A50" i="86"/>
  <c r="A49"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8" i="76"/>
  <c r="A57" i="76"/>
  <c r="A56" i="76"/>
  <c r="A55" i="76"/>
  <c r="A54" i="76"/>
  <c r="A53" i="76"/>
  <c r="A52" i="76"/>
  <c r="A51" i="76"/>
  <c r="A50" i="76"/>
  <c r="A49"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58" i="104"/>
  <c r="A57" i="104"/>
  <c r="A56" i="104"/>
  <c r="A55" i="104"/>
  <c r="A54" i="104"/>
  <c r="A53" i="104"/>
  <c r="A52" i="104"/>
  <c r="A51" i="104"/>
  <c r="A50" i="104"/>
  <c r="A49"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8" i="108"/>
  <c r="A57" i="108"/>
  <c r="A56" i="108"/>
  <c r="A55" i="108"/>
  <c r="A54" i="108"/>
  <c r="A53" i="108"/>
  <c r="A52" i="108"/>
  <c r="A51" i="108"/>
  <c r="A50" i="108"/>
  <c r="A49"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8" i="77"/>
  <c r="A57" i="77"/>
  <c r="A56" i="77"/>
  <c r="A55" i="77"/>
  <c r="A54" i="77"/>
  <c r="A53" i="77"/>
  <c r="A52" i="77"/>
  <c r="A51" i="77"/>
  <c r="A50" i="77"/>
  <c r="A49"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58" i="78"/>
  <c r="A57" i="78"/>
  <c r="A56" i="78"/>
  <c r="A55" i="78"/>
  <c r="A54" i="78"/>
  <c r="A53" i="78"/>
  <c r="A52" i="78"/>
  <c r="A51" i="78"/>
  <c r="A50" i="78"/>
  <c r="A49"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8" i="81"/>
  <c r="A57" i="81"/>
  <c r="A56" i="81"/>
  <c r="A55" i="81"/>
  <c r="A54" i="81"/>
  <c r="A53" i="81"/>
  <c r="A52" i="81"/>
  <c r="A51" i="81"/>
  <c r="A50" i="81"/>
  <c r="A49"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8" i="75"/>
  <c r="A57" i="75"/>
  <c r="A56" i="75"/>
  <c r="A55" i="75"/>
  <c r="A54" i="75"/>
  <c r="A53" i="75"/>
  <c r="A52" i="75"/>
  <c r="A51" i="75"/>
  <c r="A50" i="75"/>
  <c r="A49"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8" i="72"/>
  <c r="A57" i="72"/>
  <c r="A56" i="72"/>
  <c r="A55" i="72"/>
  <c r="A54" i="72"/>
  <c r="A53" i="72"/>
  <c r="A52" i="72"/>
  <c r="A51" i="72"/>
  <c r="A50" i="72"/>
  <c r="A49"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8" i="13"/>
  <c r="A57" i="13"/>
  <c r="A56" i="13"/>
  <c r="A55" i="13"/>
  <c r="A54" i="13"/>
  <c r="A53" i="13"/>
  <c r="A52" i="13"/>
  <c r="A51" i="13"/>
  <c r="A50" i="13"/>
  <c r="A49"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8" i="71"/>
  <c r="A57" i="71"/>
  <c r="A56" i="71"/>
  <c r="A55" i="71"/>
  <c r="A54" i="71"/>
  <c r="A53" i="71"/>
  <c r="A52" i="71"/>
  <c r="A51" i="71"/>
  <c r="A50" i="71"/>
  <c r="A49"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U23" i="79"/>
  <c r="X22" i="79"/>
  <c r="W22" i="79"/>
  <c r="U22" i="79"/>
  <c r="G21" i="79"/>
  <c r="F21" i="79"/>
  <c r="E21" i="79"/>
  <c r="D21" i="79"/>
  <c r="F627" i="112" a="1"/>
  <c r="F627" i="112" s="1"/>
  <c r="E627" i="112" a="1"/>
  <c r="E627" i="112" s="1"/>
  <c r="D627" i="112" a="1"/>
  <c r="D627" i="112" s="1"/>
  <c r="F609" i="112" a="1"/>
  <c r="F609" i="112" s="1"/>
  <c r="E609" i="112" a="1"/>
  <c r="E609" i="112" s="1"/>
  <c r="D609" i="112" a="1"/>
  <c r="D609" i="112" s="1"/>
  <c r="F490" i="112" a="1"/>
  <c r="F490" i="112" s="1"/>
  <c r="E490" i="112" a="1"/>
  <c r="E490" i="112" s="1"/>
  <c r="D490" i="112" a="1"/>
  <c r="D490" i="112" s="1"/>
  <c r="F448" i="112" a="1"/>
  <c r="F448" i="112" s="1"/>
  <c r="E448" i="112" a="1"/>
  <c r="E448" i="112" s="1"/>
  <c r="D448" i="112" a="1"/>
  <c r="D448" i="112" s="1"/>
  <c r="F430" i="112" a="1"/>
  <c r="F430" i="112" s="1"/>
  <c r="E430" i="112" a="1"/>
  <c r="E430" i="112" s="1"/>
  <c r="D430" i="112" a="1"/>
  <c r="D430" i="112" s="1"/>
  <c r="F399" i="112" a="1"/>
  <c r="F399" i="112" s="1"/>
  <c r="E399" i="112" a="1"/>
  <c r="E399" i="112" s="1"/>
  <c r="J399" i="112" s="1" a="1"/>
  <c r="J399" i="112" s="1"/>
  <c r="D399" i="112" a="1"/>
  <c r="D399" i="112" s="1"/>
  <c r="E367" i="112" a="1"/>
  <c r="E367" i="112" s="1"/>
  <c r="G367" i="112" s="1" a="1"/>
  <c r="G367" i="112" s="1"/>
  <c r="D367" i="112" a="1"/>
  <c r="D367" i="112" s="1"/>
  <c r="G336" i="112" a="1"/>
  <c r="G336" i="112" s="1"/>
  <c r="L336" i="112" s="1"/>
  <c r="F336" i="112" a="1"/>
  <c r="F336" i="112" s="1"/>
  <c r="K336" i="112" s="1" a="1"/>
  <c r="K336" i="112" s="1"/>
  <c r="E336" i="112" a="1"/>
  <c r="E336" i="112" s="1"/>
  <c r="D336" i="112" a="1"/>
  <c r="D336" i="112" s="1"/>
  <c r="D305" i="112" a="1"/>
  <c r="D305" i="112" s="1"/>
  <c r="AD237" i="112" a="1"/>
  <c r="AD237" i="112" s="1"/>
  <c r="AC237" i="112" a="1"/>
  <c r="AC237" i="112" s="1"/>
  <c r="Z237" i="112" a="1"/>
  <c r="Z237" i="112" s="1"/>
  <c r="Y237" i="112" a="1"/>
  <c r="Y237" i="112" s="1"/>
  <c r="V237" i="112" a="1"/>
  <c r="V237" i="112" s="1"/>
  <c r="U237" i="112" a="1"/>
  <c r="U237" i="112" s="1"/>
  <c r="R237" i="112" a="1"/>
  <c r="R237" i="112" s="1"/>
  <c r="Q237" i="112" a="1"/>
  <c r="Q237" i="112" s="1"/>
  <c r="D237" i="112" a="1"/>
  <c r="D237" i="112" s="1"/>
  <c r="D221" i="112" a="1"/>
  <c r="D221" i="112" s="1"/>
  <c r="AA119" i="112" a="1"/>
  <c r="AA119" i="112" s="1"/>
  <c r="Z119" i="112" a="1"/>
  <c r="Z119" i="112" s="1"/>
  <c r="Y119" i="112" a="1"/>
  <c r="Y119" i="112" s="1"/>
  <c r="W119" i="112" a="1"/>
  <c r="W119" i="112" s="1"/>
  <c r="V119" i="112" a="1"/>
  <c r="V119" i="112" s="1"/>
  <c r="U119" i="112" a="1"/>
  <c r="U119" i="112" s="1"/>
  <c r="S119" i="112" a="1"/>
  <c r="S119" i="112" s="1"/>
  <c r="R119" i="112" a="1"/>
  <c r="R119" i="112" s="1"/>
  <c r="Q119" i="112" a="1"/>
  <c r="Q119" i="112" s="1"/>
  <c r="O119" i="112" a="1"/>
  <c r="O119" i="112" s="1"/>
  <c r="N119" i="112" a="1"/>
  <c r="N119" i="112" s="1"/>
  <c r="M119" i="112" a="1"/>
  <c r="M119" i="112" s="1"/>
  <c r="E119" i="112" a="1"/>
  <c r="E119" i="112" s="1"/>
  <c r="D119" i="112" a="1"/>
  <c r="D119" i="112" s="1"/>
  <c r="K23" i="112" a="1"/>
  <c r="K23" i="112" s="1"/>
  <c r="G23" i="112" a="1"/>
  <c r="G23" i="112" s="1"/>
  <c r="F23" i="112" a="1"/>
  <c r="F23" i="112" s="1"/>
  <c r="E23" i="112" a="1"/>
  <c r="E23" i="112" s="1"/>
  <c r="D23" i="112" a="1"/>
  <c r="D23" i="112" s="1"/>
  <c r="D32" i="99"/>
  <c r="D25" i="99"/>
  <c r="F39" i="98"/>
  <c r="M39" i="98" s="1" a="1"/>
  <c r="M39" i="98" s="1"/>
  <c r="D37" i="98"/>
  <c r="D34" i="98"/>
  <c r="D33" i="98"/>
  <c r="D25" i="98"/>
  <c r="D75" i="92"/>
  <c r="D74" i="92"/>
  <c r="D73" i="92"/>
  <c r="D72" i="92"/>
  <c r="D71" i="92"/>
  <c r="D70" i="92"/>
  <c r="D69" i="92"/>
  <c r="D68" i="92"/>
  <c r="D134" i="91" a="1"/>
  <c r="D134" i="91" s="1"/>
  <c r="D102" i="91" a="1"/>
  <c r="D102" i="91" s="1"/>
  <c r="G25" i="90" a="1"/>
  <c r="G25" i="90" s="1"/>
  <c r="F25" i="90" a="1"/>
  <c r="F25" i="90" s="1"/>
  <c r="D25" i="90" a="1"/>
  <c r="D25" i="90" s="1"/>
  <c r="H20" i="89" a="1"/>
  <c r="H20" i="89" s="1"/>
  <c r="E20" i="89" a="1"/>
  <c r="E20" i="89" s="1"/>
  <c r="D20" i="89" a="1"/>
  <c r="D20" i="89" s="1"/>
  <c r="N82" i="87" a="1"/>
  <c r="N82" i="87" s="1"/>
  <c r="N77" i="87" a="1"/>
  <c r="N77" i="87" s="1"/>
  <c r="W54" i="87"/>
  <c r="W53" i="87"/>
  <c r="N50" i="87" a="1"/>
  <c r="N50" i="87" s="1"/>
  <c r="N45" i="87" a="1"/>
  <c r="N45" i="87" s="1"/>
  <c r="I148" i="83"/>
  <c r="G87" i="83"/>
  <c r="F87" i="83"/>
  <c r="E87" i="83"/>
  <c r="D87" i="83"/>
  <c r="W274" i="82"/>
  <c r="W273" i="82"/>
  <c r="W272" i="82"/>
  <c r="W271" i="82"/>
  <c r="W270" i="82"/>
  <c r="W269" i="82"/>
  <c r="W268" i="82"/>
  <c r="W267" i="82"/>
  <c r="W266" i="82"/>
  <c r="W265" i="82"/>
  <c r="W264" i="82"/>
  <c r="W263" i="82"/>
  <c r="W262" i="82"/>
  <c r="W261" i="82"/>
  <c r="W260" i="82"/>
  <c r="W259" i="82"/>
  <c r="W258" i="82"/>
  <c r="W257" i="82"/>
  <c r="W256" i="82"/>
  <c r="W255" i="82"/>
  <c r="W254" i="82"/>
  <c r="W253" i="82"/>
  <c r="W252" i="82"/>
  <c r="W251" i="82"/>
  <c r="D242" i="82"/>
  <c r="D241" i="82"/>
  <c r="D240" i="82"/>
  <c r="D239" i="82"/>
  <c r="D238" i="82"/>
  <c r="D237" i="82"/>
  <c r="D236" i="82"/>
  <c r="D235" i="82"/>
  <c r="W200" i="82"/>
  <c r="W199" i="82"/>
  <c r="W198" i="82"/>
  <c r="W197" i="82"/>
  <c r="W196" i="82"/>
  <c r="W195" i="82"/>
  <c r="W194" i="82"/>
  <c r="W193" i="82"/>
  <c r="W192" i="82"/>
  <c r="W191" i="82"/>
  <c r="W190" i="82"/>
  <c r="W189" i="82"/>
  <c r="W188" i="82"/>
  <c r="W187" i="82"/>
  <c r="W186" i="82"/>
  <c r="W185" i="82"/>
  <c r="W184" i="82"/>
  <c r="D184" i="82"/>
  <c r="W183" i="82"/>
  <c r="D183" i="82"/>
  <c r="W182" i="82"/>
  <c r="D182" i="82"/>
  <c r="W181" i="82"/>
  <c r="D181" i="82"/>
  <c r="W180" i="82"/>
  <c r="D180" i="82"/>
  <c r="W179" i="82"/>
  <c r="D179" i="82"/>
  <c r="W178" i="82"/>
  <c r="D178" i="82"/>
  <c r="W177" i="82"/>
  <c r="D177" i="82"/>
  <c r="W172" i="82"/>
  <c r="D172" i="82"/>
  <c r="W171" i="82"/>
  <c r="D171" i="82"/>
  <c r="D166" i="82"/>
  <c r="D165" i="82"/>
  <c r="F33" i="82"/>
  <c r="E33" i="82"/>
  <c r="F32" i="82"/>
  <c r="E32" i="82"/>
  <c r="F31" i="82"/>
  <c r="E31" i="82"/>
  <c r="F30" i="82"/>
  <c r="E30" i="82"/>
  <c r="H25" i="82"/>
  <c r="G25" i="82"/>
  <c r="F25" i="82"/>
  <c r="E25" i="82"/>
  <c r="H24" i="82"/>
  <c r="G24" i="82"/>
  <c r="F24" i="82"/>
  <c r="E24" i="82"/>
  <c r="H23" i="82"/>
  <c r="G23" i="82"/>
  <c r="F23" i="82"/>
  <c r="E23" i="82"/>
  <c r="H22" i="82"/>
  <c r="G22" i="82"/>
  <c r="F22" i="82"/>
  <c r="E22" i="82"/>
  <c r="E30" i="94"/>
  <c r="E29" i="94"/>
  <c r="J21" i="97" a="1"/>
  <c r="J21" i="97" s="1"/>
  <c r="G21" i="97" a="1"/>
  <c r="G21" i="97" s="1"/>
  <c r="J20" i="97" a="1"/>
  <c r="J20" i="97" s="1"/>
  <c r="G20" i="97" a="1"/>
  <c r="G20" i="97" s="1"/>
  <c r="J19" i="97" a="1"/>
  <c r="J19" i="97" s="1"/>
  <c r="G19" i="97" a="1"/>
  <c r="G19" i="97" s="1"/>
  <c r="J18" i="97" a="1"/>
  <c r="J18" i="97" s="1"/>
  <c r="G18" i="97" a="1"/>
  <c r="G18" i="97" s="1"/>
  <c r="J17" i="97" a="1"/>
  <c r="J17" i="97" s="1"/>
  <c r="G17" i="97" a="1"/>
  <c r="G17" i="97" s="1"/>
  <c r="J17" i="108" a="1"/>
  <c r="J17" i="108" s="1"/>
  <c r="J16" i="108" a="1"/>
  <c r="J16" i="108" s="1"/>
  <c r="J15" i="108" a="1"/>
  <c r="J15" i="108" s="1"/>
  <c r="J14" i="108" a="1"/>
  <c r="J14" i="108" s="1"/>
  <c r="J13" i="108" a="1"/>
  <c r="J13" i="108" s="1"/>
  <c r="J12" i="108" a="1"/>
  <c r="J12" i="108" s="1"/>
  <c r="J11" i="108" a="1"/>
  <c r="J11" i="108" s="1"/>
  <c r="J10" i="108" a="1"/>
  <c r="J10" i="108" s="1"/>
  <c r="E65" i="115" a="1"/>
  <c r="E65" i="115" s="1"/>
  <c r="D65" i="115" a="1"/>
  <c r="D65" i="115" s="1"/>
  <c r="D63" i="115" a="1"/>
  <c r="D63" i="115" s="1"/>
  <c r="D62" i="115" a="1"/>
  <c r="D62" i="115" s="1"/>
  <c r="E60" i="115" a="1"/>
  <c r="E60" i="115" s="1"/>
  <c r="D60" i="115" a="1"/>
  <c r="D60" i="115" s="1"/>
  <c r="D58" i="115" a="1"/>
  <c r="D58" i="115" s="1"/>
  <c r="D57" i="115" a="1"/>
  <c r="D57" i="115" s="1"/>
  <c r="E55" i="115" a="1"/>
  <c r="E55" i="115" s="1"/>
  <c r="D55" i="115" a="1"/>
  <c r="D55" i="115" s="1"/>
  <c r="D53" i="115" a="1"/>
  <c r="D53" i="115" s="1"/>
  <c r="D52" i="115" a="1"/>
  <c r="D52" i="115" s="1"/>
  <c r="E50" i="115" a="1"/>
  <c r="E50" i="115" s="1"/>
  <c r="D50" i="115" a="1"/>
  <c r="D50" i="115" s="1"/>
  <c r="E49" i="115" a="1"/>
  <c r="E49" i="115" s="1"/>
  <c r="D49" i="115" a="1"/>
  <c r="D49" i="115" s="1"/>
  <c r="E48" i="115" a="1"/>
  <c r="E48" i="115" s="1"/>
  <c r="D48" i="115" a="1"/>
  <c r="D48" i="115" s="1"/>
  <c r="E47" i="115" a="1"/>
  <c r="E47" i="115" s="1"/>
  <c r="D47" i="115" a="1"/>
  <c r="D47" i="115" s="1"/>
  <c r="E46" i="115" a="1"/>
  <c r="E46" i="115" s="1"/>
  <c r="D46" i="115" a="1"/>
  <c r="D46" i="115" s="1"/>
  <c r="E45" i="115" a="1"/>
  <c r="E45" i="115" s="1"/>
  <c r="D45" i="115" a="1"/>
  <c r="D45" i="115" s="1"/>
  <c r="E44" i="115" a="1"/>
  <c r="E44" i="115" s="1"/>
  <c r="D44" i="115" a="1"/>
  <c r="D44" i="115" s="1"/>
  <c r="D42" i="115" a="1"/>
  <c r="D42" i="115" s="1"/>
  <c r="D41" i="115" a="1"/>
  <c r="D41" i="115" s="1"/>
  <c r="E39" i="115" a="1"/>
  <c r="E39" i="115" s="1"/>
  <c r="D39" i="115" a="1"/>
  <c r="D39" i="115" s="1"/>
  <c r="E38" i="115" a="1"/>
  <c r="E38" i="115" s="1"/>
  <c r="D38" i="115" a="1"/>
  <c r="D38" i="115" s="1"/>
  <c r="E37" i="115" a="1"/>
  <c r="E37" i="115" s="1"/>
  <c r="D37" i="115" a="1"/>
  <c r="D37" i="115" s="1"/>
  <c r="E36" i="115" a="1"/>
  <c r="E36" i="115" s="1"/>
  <c r="D36" i="115" a="1"/>
  <c r="D36" i="115" s="1"/>
  <c r="E35" i="115" a="1"/>
  <c r="E35" i="115" s="1"/>
  <c r="D35" i="115" a="1"/>
  <c r="D35" i="115" s="1"/>
  <c r="E34" i="115" a="1"/>
  <c r="E34" i="115" s="1"/>
  <c r="D34" i="115" a="1"/>
  <c r="D34" i="115" s="1"/>
  <c r="E33" i="115" a="1"/>
  <c r="E33" i="115" s="1"/>
  <c r="D33" i="115" a="1"/>
  <c r="D33" i="115" s="1"/>
  <c r="E32" i="115" a="1"/>
  <c r="E32" i="115" s="1"/>
  <c r="D32" i="115" a="1"/>
  <c r="D32" i="115" s="1"/>
  <c r="D30" i="115" a="1"/>
  <c r="D30" i="115" s="1"/>
  <c r="D29" i="115" a="1"/>
  <c r="D29" i="115" s="1"/>
  <c r="F27" i="115" a="1"/>
  <c r="F27" i="115" s="1"/>
  <c r="E27" i="115" a="1"/>
  <c r="E27" i="115" s="1"/>
  <c r="D27" i="115" a="1"/>
  <c r="D27" i="115" s="1"/>
  <c r="F26" i="115" a="1"/>
  <c r="F26" i="115" s="1"/>
  <c r="E26" i="115" a="1"/>
  <c r="E26" i="115" s="1"/>
  <c r="D26" i="115" a="1"/>
  <c r="D26" i="115" s="1"/>
  <c r="F25" i="115" a="1"/>
  <c r="F25" i="115" s="1"/>
  <c r="E25" i="115" a="1"/>
  <c r="E25" i="115" s="1"/>
  <c r="D25" i="115" a="1"/>
  <c r="D25" i="115" s="1"/>
  <c r="F24" i="115" a="1"/>
  <c r="F24" i="115" s="1"/>
  <c r="E24" i="115" a="1"/>
  <c r="E24" i="115" s="1"/>
  <c r="D24" i="115" a="1"/>
  <c r="D24" i="115" s="1"/>
  <c r="F23" i="115" a="1"/>
  <c r="F23" i="115" s="1"/>
  <c r="E23" i="115" a="1"/>
  <c r="E23" i="115" s="1"/>
  <c r="D23" i="115" a="1"/>
  <c r="D23" i="115" s="1"/>
  <c r="F22" i="115" a="1"/>
  <c r="F22" i="115" s="1"/>
  <c r="E22" i="115" a="1"/>
  <c r="E22" i="115" s="1"/>
  <c r="D22" i="115" a="1"/>
  <c r="D22" i="115" s="1"/>
  <c r="F21" i="115" a="1"/>
  <c r="F21" i="115" s="1"/>
  <c r="E21" i="115" a="1"/>
  <c r="E21" i="115" s="1"/>
  <c r="D21" i="115" a="1"/>
  <c r="D21" i="115" s="1"/>
  <c r="F20" i="115" a="1"/>
  <c r="F20" i="115" s="1"/>
  <c r="E20" i="115" a="1"/>
  <c r="E20" i="115" s="1"/>
  <c r="D20" i="115" a="1"/>
  <c r="D20" i="115" s="1"/>
  <c r="F19" i="115" a="1"/>
  <c r="F19" i="115" s="1"/>
  <c r="E19" i="115" a="1"/>
  <c r="E19" i="115" s="1"/>
  <c r="D19" i="115" a="1"/>
  <c r="D19" i="115" s="1"/>
  <c r="F18" i="115" a="1"/>
  <c r="F18" i="115" s="1"/>
  <c r="E18" i="115" a="1"/>
  <c r="E18" i="115" s="1"/>
  <c r="D18" i="115" a="1"/>
  <c r="D18" i="115" s="1"/>
  <c r="F17" i="115" a="1"/>
  <c r="F17" i="115" s="1"/>
  <c r="E17" i="115" a="1"/>
  <c r="E17" i="115" s="1"/>
  <c r="D17" i="115" a="1"/>
  <c r="D17" i="115" s="1"/>
  <c r="F16" i="115" a="1"/>
  <c r="F16" i="115" s="1"/>
  <c r="E16" i="115" a="1"/>
  <c r="E16" i="115" s="1"/>
  <c r="D16" i="115" a="1"/>
  <c r="D16" i="115" s="1"/>
  <c r="F15" i="115" a="1"/>
  <c r="F15" i="115" s="1"/>
  <c r="E15" i="115" a="1"/>
  <c r="E15" i="115" s="1"/>
  <c r="D15" i="115" a="1"/>
  <c r="D15"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D8" i="115" a="1"/>
  <c r="D8" i="115" s="1"/>
  <c r="D7" i="115" a="1"/>
  <c r="D7" i="115" s="1"/>
  <c r="D6" i="115" a="1"/>
  <c r="D6" i="115" s="1"/>
  <c r="I237" i="114" a="1"/>
  <c r="I237" i="114" s="1"/>
  <c r="H237" i="114" a="1"/>
  <c r="H237" i="114" s="1"/>
  <c r="G237" i="114" a="1"/>
  <c r="G237" i="114" s="1"/>
  <c r="F237" i="114" a="1"/>
  <c r="F237" i="114" s="1"/>
  <c r="E237" i="114" a="1"/>
  <c r="E237" i="114" s="1"/>
  <c r="D237" i="114" a="1"/>
  <c r="D237" i="114" s="1"/>
  <c r="I236" i="114" a="1"/>
  <c r="I236" i="114" s="1"/>
  <c r="H236" i="114" a="1"/>
  <c r="H236" i="114" s="1"/>
  <c r="G236" i="114" a="1"/>
  <c r="G236" i="114" s="1"/>
  <c r="F236" i="114" a="1"/>
  <c r="F236" i="114" s="1"/>
  <c r="E236" i="114" a="1"/>
  <c r="E236" i="114" s="1"/>
  <c r="D236" i="114" a="1"/>
  <c r="D236" i="114" s="1"/>
  <c r="I235" i="114" a="1"/>
  <c r="I235" i="114" s="1"/>
  <c r="H235" i="114" a="1"/>
  <c r="H235" i="114" s="1"/>
  <c r="G235" i="114" a="1"/>
  <c r="G235" i="114" s="1"/>
  <c r="F235" i="114" a="1"/>
  <c r="F235" i="114" s="1"/>
  <c r="E235" i="114" a="1"/>
  <c r="E235" i="114" s="1"/>
  <c r="E302" i="112" s="1" a="1"/>
  <c r="E302" i="112" s="1"/>
  <c r="D235" i="114" a="1"/>
  <c r="D235" i="114" s="1"/>
  <c r="I231" i="114" a="1"/>
  <c r="I231" i="114" s="1"/>
  <c r="H231" i="114" a="1"/>
  <c r="H231" i="114" s="1"/>
  <c r="G231" i="114" a="1"/>
  <c r="G231" i="114" s="1"/>
  <c r="F231" i="114" a="1"/>
  <c r="F231" i="114" s="1"/>
  <c r="E231" i="114" a="1"/>
  <c r="E231" i="114" s="1"/>
  <c r="D231" i="114" a="1"/>
  <c r="D231" i="114" s="1"/>
  <c r="I230" i="114" a="1"/>
  <c r="I230" i="114" s="1"/>
  <c r="H230" i="114" a="1"/>
  <c r="H230" i="114" s="1"/>
  <c r="G230" i="114" a="1"/>
  <c r="G230" i="114" s="1"/>
  <c r="F230" i="114" a="1"/>
  <c r="F230" i="114" s="1"/>
  <c r="E230" i="114" a="1"/>
  <c r="E230" i="114" s="1"/>
  <c r="D230" i="114" a="1"/>
  <c r="D230" i="114" s="1"/>
  <c r="I229" i="114" a="1"/>
  <c r="I229" i="114" s="1"/>
  <c r="H229" i="114" a="1"/>
  <c r="H229" i="114" s="1"/>
  <c r="G229" i="114" a="1"/>
  <c r="G229" i="114" s="1"/>
  <c r="F229" i="114" a="1"/>
  <c r="F229" i="114" s="1"/>
  <c r="E229" i="114" a="1"/>
  <c r="E229" i="114" s="1"/>
  <c r="D229" i="114" a="1"/>
  <c r="D229" i="114" s="1"/>
  <c r="I228" i="114" a="1"/>
  <c r="I228" i="114" s="1"/>
  <c r="H228" i="114" a="1"/>
  <c r="H228" i="114" s="1"/>
  <c r="G228" i="114" a="1"/>
  <c r="G228" i="114" s="1"/>
  <c r="F228" i="114" a="1"/>
  <c r="F228" i="114" s="1"/>
  <c r="E228" i="114" a="1"/>
  <c r="E228" i="114" s="1"/>
  <c r="D228" i="114" a="1"/>
  <c r="D228" i="114" s="1"/>
  <c r="I227" i="114" a="1"/>
  <c r="I227" i="114" s="1"/>
  <c r="H227" i="114" a="1"/>
  <c r="H227" i="114" s="1"/>
  <c r="G227" i="114" a="1"/>
  <c r="G227" i="114" s="1"/>
  <c r="F227" i="114" a="1"/>
  <c r="F227" i="114" s="1"/>
  <c r="E227" i="114" a="1"/>
  <c r="E227" i="114" s="1"/>
  <c r="D227" i="114" a="1"/>
  <c r="D227" i="114" s="1"/>
  <c r="I226" i="114" a="1"/>
  <c r="I226" i="114" s="1"/>
  <c r="H226" i="114" a="1"/>
  <c r="H226" i="114" s="1"/>
  <c r="G226" i="114" a="1"/>
  <c r="G226" i="114" s="1"/>
  <c r="F226" i="114" a="1"/>
  <c r="F226" i="114" s="1"/>
  <c r="E226" i="114" a="1"/>
  <c r="E226" i="114" s="1"/>
  <c r="D226" i="114" a="1"/>
  <c r="D226" i="114" s="1"/>
  <c r="I225" i="114" a="1"/>
  <c r="I225" i="114" s="1"/>
  <c r="H225" i="114" a="1"/>
  <c r="H225" i="114" s="1"/>
  <c r="G225" i="114" a="1"/>
  <c r="G225" i="114" s="1"/>
  <c r="F225" i="114" a="1"/>
  <c r="F225" i="114" s="1"/>
  <c r="E225" i="114" a="1"/>
  <c r="E225" i="114" s="1"/>
  <c r="D225" i="114" a="1"/>
  <c r="D225" i="114" s="1"/>
  <c r="I224" i="114" a="1"/>
  <c r="I224" i="114" s="1"/>
  <c r="H224" i="114" a="1"/>
  <c r="H224" i="114" s="1"/>
  <c r="G224" i="114" a="1"/>
  <c r="G224" i="114" s="1"/>
  <c r="F224" i="114" a="1"/>
  <c r="F224" i="114" s="1"/>
  <c r="E224" i="114" a="1"/>
  <c r="E224" i="114" s="1"/>
  <c r="D224" i="114" a="1"/>
  <c r="D224" i="114" s="1"/>
  <c r="I223" i="114" a="1"/>
  <c r="I223" i="114" s="1"/>
  <c r="H223" i="114" a="1"/>
  <c r="H223" i="114" s="1"/>
  <c r="G223" i="114" a="1"/>
  <c r="G223" i="114" s="1"/>
  <c r="F223" i="114" a="1"/>
  <c r="F223" i="114" s="1"/>
  <c r="E223" i="114" a="1"/>
  <c r="E223" i="114" s="1"/>
  <c r="D223" i="114" a="1"/>
  <c r="D223" i="114" s="1"/>
  <c r="I222" i="114" a="1"/>
  <c r="I222" i="114" s="1"/>
  <c r="H222" i="114" a="1"/>
  <c r="H222" i="114" s="1"/>
  <c r="G222" i="114" a="1"/>
  <c r="G222" i="114" s="1"/>
  <c r="F222" i="114" a="1"/>
  <c r="F222" i="114" s="1"/>
  <c r="E222" i="114" a="1"/>
  <c r="E222" i="114" s="1"/>
  <c r="D222" i="114" a="1"/>
  <c r="D222" i="114" s="1"/>
  <c r="I221" i="114" a="1"/>
  <c r="I221" i="114" s="1"/>
  <c r="H221" i="114" a="1"/>
  <c r="H221" i="114" s="1"/>
  <c r="G221" i="114" a="1"/>
  <c r="G221" i="114" s="1"/>
  <c r="F221" i="114" a="1"/>
  <c r="F221" i="114" s="1"/>
  <c r="E221" i="114" a="1"/>
  <c r="E221" i="114" s="1"/>
  <c r="D221" i="114" a="1"/>
  <c r="D221" i="114" s="1"/>
  <c r="I220" i="114" a="1"/>
  <c r="I220" i="114" s="1"/>
  <c r="H220" i="114" a="1"/>
  <c r="H220" i="114" s="1"/>
  <c r="G220" i="114" a="1"/>
  <c r="G220" i="114" s="1"/>
  <c r="F220" i="114" a="1"/>
  <c r="F220" i="114" s="1"/>
  <c r="E220" i="114" a="1"/>
  <c r="E220" i="114" s="1"/>
  <c r="D270" i="112" s="1" a="1"/>
  <c r="D220" i="114" a="1"/>
  <c r="D220" i="114" s="1"/>
  <c r="I216" i="114" a="1"/>
  <c r="I216" i="114" s="1"/>
  <c r="H216" i="114" a="1"/>
  <c r="H216" i="114" s="1"/>
  <c r="G216" i="114" a="1"/>
  <c r="G216" i="114" s="1"/>
  <c r="F216" i="114" a="1"/>
  <c r="F216" i="114" s="1"/>
  <c r="E216" i="114" a="1"/>
  <c r="E216" i="114" s="1"/>
  <c r="D216" i="114" a="1"/>
  <c r="D216" i="114" s="1"/>
  <c r="I215" i="114" a="1"/>
  <c r="I215" i="114" s="1"/>
  <c r="H215" i="114" a="1"/>
  <c r="H215" i="114" s="1"/>
  <c r="G215" i="114" a="1"/>
  <c r="G215" i="114" s="1"/>
  <c r="F215" i="114" a="1"/>
  <c r="F215" i="114" s="1"/>
  <c r="E215" i="114" a="1"/>
  <c r="E215" i="114" s="1"/>
  <c r="D215" i="114" a="1"/>
  <c r="D215" i="114" s="1"/>
  <c r="I214" i="114" a="1"/>
  <c r="I214" i="114" s="1"/>
  <c r="H214" i="114" a="1"/>
  <c r="H214" i="114" s="1"/>
  <c r="G214" i="114" a="1"/>
  <c r="G214" i="114" s="1"/>
  <c r="F214" i="114" a="1"/>
  <c r="F214" i="114" s="1"/>
  <c r="E214" i="114" a="1"/>
  <c r="E214" i="114" s="1"/>
  <c r="D214" i="114" a="1"/>
  <c r="D214" i="114" s="1"/>
  <c r="I213" i="114" a="1"/>
  <c r="I213" i="114" s="1"/>
  <c r="H213" i="114" a="1"/>
  <c r="H213" i="114" s="1"/>
  <c r="G213" i="114" a="1"/>
  <c r="G213" i="114" s="1"/>
  <c r="F213" i="114" a="1"/>
  <c r="F213" i="114" s="1"/>
  <c r="E213" i="114" a="1"/>
  <c r="E213" i="114" s="1"/>
  <c r="G375" i="112" s="1" a="1"/>
  <c r="G375" i="112" s="1"/>
  <c r="D213" i="114" a="1"/>
  <c r="D213" i="114" s="1"/>
  <c r="I209" i="114" a="1"/>
  <c r="I209" i="114" s="1"/>
  <c r="H209" i="114" a="1"/>
  <c r="H209" i="114" s="1"/>
  <c r="G209" i="114" a="1"/>
  <c r="G209" i="114" s="1"/>
  <c r="F209" i="114" a="1"/>
  <c r="F209" i="114" s="1"/>
  <c r="E209" i="114" a="1"/>
  <c r="E209" i="114" s="1"/>
  <c r="D125" i="109" s="1"/>
  <c r="D470" i="112" s="1"/>
  <c r="F470" i="112" s="1" a="1"/>
  <c r="F470" i="112" s="1"/>
  <c r="D209" i="114" a="1"/>
  <c r="D209" i="114" s="1"/>
  <c r="I208" i="114" a="1"/>
  <c r="I208" i="114" s="1"/>
  <c r="H208" i="114" a="1"/>
  <c r="H208" i="114" s="1"/>
  <c r="G208" i="114" a="1"/>
  <c r="G208" i="114" s="1"/>
  <c r="F208" i="114" a="1"/>
  <c r="F208" i="114" s="1"/>
  <c r="E208" i="114" a="1"/>
  <c r="E208" i="114" s="1"/>
  <c r="D124" i="109" s="1"/>
  <c r="D469" i="112" s="1"/>
  <c r="F469" i="112" s="1" a="1"/>
  <c r="F469" i="112" s="1"/>
  <c r="D208" i="114" a="1"/>
  <c r="D208" i="114" s="1"/>
  <c r="I207" i="114" a="1"/>
  <c r="I207" i="114" s="1"/>
  <c r="H207" i="114" a="1"/>
  <c r="H207" i="114" s="1"/>
  <c r="G207" i="114" a="1"/>
  <c r="G207" i="114" s="1"/>
  <c r="F207" i="114" a="1"/>
  <c r="F207" i="114" s="1"/>
  <c r="E207" i="114" a="1"/>
  <c r="E207" i="114" s="1"/>
  <c r="D123" i="109" s="1"/>
  <c r="D468" i="112" s="1"/>
  <c r="F468" i="112" s="1" a="1"/>
  <c r="F468" i="112" s="1"/>
  <c r="D207" i="114" a="1"/>
  <c r="D207" i="114" s="1"/>
  <c r="I206" i="114" a="1"/>
  <c r="I206" i="114" s="1"/>
  <c r="H206" i="114" a="1"/>
  <c r="H206" i="114" s="1"/>
  <c r="G206" i="114" a="1"/>
  <c r="G206" i="114" s="1"/>
  <c r="F206" i="114" a="1"/>
  <c r="F206" i="114" s="1"/>
  <c r="E206" i="114" a="1"/>
  <c r="E206" i="114" s="1"/>
  <c r="D130" i="109" s="1"/>
  <c r="D481" i="112" s="1"/>
  <c r="F481" i="112" s="1" a="1"/>
  <c r="F481" i="112" s="1"/>
  <c r="D206" i="114" a="1"/>
  <c r="D206" i="114" s="1"/>
  <c r="I205" i="114" a="1"/>
  <c r="I205" i="114" s="1"/>
  <c r="H205" i="114" a="1"/>
  <c r="H205" i="114" s="1"/>
  <c r="G205" i="114" a="1"/>
  <c r="G205" i="114" s="1"/>
  <c r="F205" i="114" a="1"/>
  <c r="F205" i="114" s="1"/>
  <c r="E205" i="114" a="1"/>
  <c r="E205" i="114" s="1"/>
  <c r="D122" i="109" s="1"/>
  <c r="D467" i="112" s="1"/>
  <c r="F467" i="112" s="1" a="1"/>
  <c r="F467" i="112" s="1"/>
  <c r="D205" i="114" a="1"/>
  <c r="D205" i="114" s="1"/>
  <c r="I204" i="114" a="1"/>
  <c r="I204" i="114" s="1"/>
  <c r="H204" i="114" a="1"/>
  <c r="H204" i="114" s="1"/>
  <c r="G204" i="114" a="1"/>
  <c r="G204" i="114" s="1"/>
  <c r="F204" i="114" a="1"/>
  <c r="F204" i="114" s="1"/>
  <c r="E204" i="114" a="1"/>
  <c r="E204" i="114" s="1"/>
  <c r="D121" i="109" s="1"/>
  <c r="D466" i="112" s="1"/>
  <c r="F466" i="112" s="1" a="1"/>
  <c r="F466" i="112" s="1"/>
  <c r="D204" i="114" a="1"/>
  <c r="D204" i="114" s="1"/>
  <c r="I203" i="114" a="1"/>
  <c r="I203" i="114" s="1"/>
  <c r="H203" i="114" a="1"/>
  <c r="H203" i="114" s="1"/>
  <c r="G203" i="114" a="1"/>
  <c r="G203" i="114" s="1"/>
  <c r="F203" i="114" a="1"/>
  <c r="F203" i="114" s="1"/>
  <c r="E203" i="114" a="1"/>
  <c r="E203" i="114" s="1"/>
  <c r="D129" i="109" s="1"/>
  <c r="D480" i="112" s="1"/>
  <c r="F480" i="112" s="1" a="1"/>
  <c r="F480" i="112" s="1"/>
  <c r="D203" i="114" a="1"/>
  <c r="D203" i="114" s="1"/>
  <c r="I202" i="114" a="1"/>
  <c r="I202" i="114" s="1"/>
  <c r="H202" i="114" a="1"/>
  <c r="H202" i="114" s="1"/>
  <c r="G202" i="114" a="1"/>
  <c r="G202" i="114" s="1"/>
  <c r="F202" i="114" a="1"/>
  <c r="F202" i="114" s="1"/>
  <c r="E202" i="114" a="1"/>
  <c r="E202" i="114" s="1"/>
  <c r="D128" i="109" s="1"/>
  <c r="D479" i="112" s="1"/>
  <c r="F479" i="112" s="1" a="1"/>
  <c r="F479" i="112" s="1"/>
  <c r="D202" i="114" a="1"/>
  <c r="D202" i="114" s="1"/>
  <c r="M198" i="114" a="1"/>
  <c r="M198" i="114" s="1"/>
  <c r="L198" i="114" a="1"/>
  <c r="L198" i="114" s="1"/>
  <c r="K198" i="114" a="1"/>
  <c r="K198" i="114" s="1"/>
  <c r="F198" i="114" a="1"/>
  <c r="F198" i="114" s="1"/>
  <c r="E198" i="114" a="1"/>
  <c r="E198" i="114" s="1"/>
  <c r="D198" i="114" a="1"/>
  <c r="D198" i="114" s="1"/>
  <c r="M197" i="114" a="1"/>
  <c r="M197" i="114" s="1"/>
  <c r="L197" i="114" a="1"/>
  <c r="L197" i="114" s="1"/>
  <c r="K197" i="114" a="1"/>
  <c r="K197" i="114" s="1"/>
  <c r="F197" i="114" a="1"/>
  <c r="F197" i="114" s="1"/>
  <c r="E197" i="114" a="1"/>
  <c r="E197" i="114" s="1"/>
  <c r="D197" i="114" a="1"/>
  <c r="D197" i="114" s="1"/>
  <c r="M196" i="114" a="1"/>
  <c r="M196" i="114" s="1"/>
  <c r="L196" i="114" a="1"/>
  <c r="L196" i="114" s="1"/>
  <c r="K196" i="114" a="1"/>
  <c r="K196" i="114" s="1"/>
  <c r="F196" i="114" a="1"/>
  <c r="F196" i="114" s="1"/>
  <c r="E196" i="114" a="1"/>
  <c r="E196" i="114" s="1"/>
  <c r="D196" i="114" a="1"/>
  <c r="D196" i="114" s="1"/>
  <c r="M195" i="114" a="1"/>
  <c r="M195" i="114" s="1"/>
  <c r="L195" i="114" a="1"/>
  <c r="L195" i="114" s="1"/>
  <c r="K195" i="114" a="1"/>
  <c r="K195" i="114" s="1"/>
  <c r="F195" i="114" a="1"/>
  <c r="F195" i="114" s="1"/>
  <c r="E195" i="114" a="1"/>
  <c r="E195" i="114" s="1"/>
  <c r="D195" i="114" a="1"/>
  <c r="D195" i="114" s="1"/>
  <c r="M194" i="114" a="1"/>
  <c r="M194" i="114" s="1"/>
  <c r="L194" i="114" a="1"/>
  <c r="L194" i="114" s="1"/>
  <c r="K194" i="114" a="1"/>
  <c r="K194" i="114" s="1"/>
  <c r="F194" i="114" a="1"/>
  <c r="F194" i="114" s="1"/>
  <c r="E194" i="114" a="1"/>
  <c r="E194" i="114" s="1"/>
  <c r="D194" i="114" a="1"/>
  <c r="D194" i="114" s="1"/>
  <c r="M193" i="114" a="1"/>
  <c r="M193" i="114" s="1"/>
  <c r="L193" i="114" a="1"/>
  <c r="L193" i="114" s="1"/>
  <c r="K193" i="114" a="1"/>
  <c r="K193" i="114" s="1"/>
  <c r="F193" i="114" a="1"/>
  <c r="F193" i="114" s="1"/>
  <c r="E193" i="114" a="1"/>
  <c r="E193" i="114" s="1"/>
  <c r="D193" i="114" a="1"/>
  <c r="D193" i="114" s="1"/>
  <c r="M192" i="114" a="1"/>
  <c r="M192" i="114" s="1"/>
  <c r="L192" i="114" a="1"/>
  <c r="L192" i="114" s="1"/>
  <c r="K192" i="114" a="1"/>
  <c r="K192" i="114" s="1"/>
  <c r="F192" i="114" a="1"/>
  <c r="F192" i="114" s="1"/>
  <c r="E192" i="114" a="1"/>
  <c r="E192" i="114" s="1"/>
  <c r="D192" i="114" a="1"/>
  <c r="D192" i="114" s="1"/>
  <c r="M191" i="114" a="1"/>
  <c r="M191" i="114" s="1"/>
  <c r="L191" i="114" a="1"/>
  <c r="L191" i="114" s="1"/>
  <c r="K191" i="114" a="1"/>
  <c r="K191" i="114" s="1"/>
  <c r="F191" i="114" a="1"/>
  <c r="F191" i="114" s="1"/>
  <c r="E191" i="114" a="1"/>
  <c r="E191" i="114" s="1"/>
  <c r="D191" i="114" a="1"/>
  <c r="D191" i="114" s="1"/>
  <c r="M190" i="114" a="1"/>
  <c r="M190" i="114" s="1"/>
  <c r="L190" i="114" a="1"/>
  <c r="L190" i="114" s="1"/>
  <c r="K190" i="114" a="1"/>
  <c r="K190" i="114" s="1"/>
  <c r="F190" i="114" a="1"/>
  <c r="F190" i="114" s="1"/>
  <c r="E190" i="114" a="1"/>
  <c r="E190" i="114" s="1"/>
  <c r="D190" i="114" a="1"/>
  <c r="D190" i="114" s="1"/>
  <c r="M189" i="114" a="1"/>
  <c r="M189" i="114" s="1"/>
  <c r="L189" i="114" a="1"/>
  <c r="L189" i="114" s="1"/>
  <c r="K189" i="114" a="1"/>
  <c r="K189" i="114" s="1"/>
  <c r="F189" i="114" a="1"/>
  <c r="F189" i="114" s="1"/>
  <c r="E189" i="114" a="1"/>
  <c r="E189" i="114" s="1"/>
  <c r="D189" i="114" a="1"/>
  <c r="D189" i="114" s="1"/>
  <c r="M188" i="114" a="1"/>
  <c r="M188" i="114" s="1"/>
  <c r="L188" i="114" a="1"/>
  <c r="L188" i="114" s="1"/>
  <c r="K188" i="114" a="1"/>
  <c r="K188" i="114" s="1"/>
  <c r="F188" i="114" a="1"/>
  <c r="F188" i="114" s="1"/>
  <c r="E188" i="114" a="1"/>
  <c r="E188" i="114" s="1"/>
  <c r="D188" i="114" a="1"/>
  <c r="D188" i="114" s="1"/>
  <c r="M187" i="114" a="1"/>
  <c r="M187" i="114" s="1"/>
  <c r="L187" i="114" a="1"/>
  <c r="L187" i="114" s="1"/>
  <c r="K187" i="114" a="1"/>
  <c r="K187" i="114" s="1"/>
  <c r="F187" i="114" a="1"/>
  <c r="F187" i="114" s="1"/>
  <c r="E187" i="114" a="1"/>
  <c r="E187" i="114" s="1"/>
  <c r="D187" i="114" a="1"/>
  <c r="D187" i="114" s="1"/>
  <c r="M186" i="114" a="1"/>
  <c r="M186" i="114" s="1"/>
  <c r="L186" i="114" a="1"/>
  <c r="L186" i="114" s="1"/>
  <c r="K186" i="114" a="1"/>
  <c r="K186" i="114" s="1"/>
  <c r="F186" i="114" a="1"/>
  <c r="F186" i="114" s="1"/>
  <c r="E186" i="114" a="1"/>
  <c r="E186" i="114" s="1"/>
  <c r="D186" i="114" a="1"/>
  <c r="D186" i="114" s="1"/>
  <c r="M185" i="114" a="1"/>
  <c r="M185" i="114" s="1"/>
  <c r="L185" i="114" a="1"/>
  <c r="L185" i="114" s="1"/>
  <c r="K185" i="114" a="1"/>
  <c r="K185" i="114" s="1"/>
  <c r="F185" i="114" a="1"/>
  <c r="F185" i="114" s="1"/>
  <c r="E185" i="114" a="1"/>
  <c r="E185" i="114" s="1"/>
  <c r="D185" i="114" a="1"/>
  <c r="D185" i="114" s="1"/>
  <c r="M184" i="114" a="1"/>
  <c r="M184" i="114" s="1"/>
  <c r="L184" i="114" a="1"/>
  <c r="L184" i="114" s="1"/>
  <c r="K184" i="114" a="1"/>
  <c r="K184" i="114" s="1"/>
  <c r="F184" i="114" a="1"/>
  <c r="F184" i="114" s="1"/>
  <c r="E184" i="114" a="1"/>
  <c r="E184" i="114" s="1"/>
  <c r="D184" i="114" a="1"/>
  <c r="D184" i="114" s="1"/>
  <c r="M183" i="114" a="1"/>
  <c r="M183" i="114" s="1"/>
  <c r="L183" i="114" a="1"/>
  <c r="L183" i="114" s="1"/>
  <c r="K183" i="114" a="1"/>
  <c r="K183" i="114" s="1"/>
  <c r="F183" i="114" a="1"/>
  <c r="F183" i="114" s="1"/>
  <c r="E183" i="114" a="1"/>
  <c r="E183" i="114" s="1"/>
  <c r="D183" i="114" a="1"/>
  <c r="D183" i="114" s="1"/>
  <c r="M182" i="114" a="1"/>
  <c r="M182" i="114" s="1"/>
  <c r="L182" i="114" a="1"/>
  <c r="L182" i="114" s="1"/>
  <c r="K182" i="114" a="1"/>
  <c r="K182" i="114" s="1"/>
  <c r="F182" i="114" a="1"/>
  <c r="F182" i="114" s="1"/>
  <c r="E182" i="114" a="1"/>
  <c r="E182" i="114" s="1"/>
  <c r="D182" i="114" a="1"/>
  <c r="D182" i="114" s="1"/>
  <c r="M181" i="114" a="1"/>
  <c r="M181" i="114" s="1"/>
  <c r="L181" i="114" a="1"/>
  <c r="L181" i="114" s="1"/>
  <c r="K181" i="114" a="1"/>
  <c r="K181" i="114" s="1"/>
  <c r="F181" i="114" a="1"/>
  <c r="F181" i="114" s="1"/>
  <c r="E181" i="114" a="1"/>
  <c r="E181" i="114" s="1"/>
  <c r="D181" i="114" a="1"/>
  <c r="D181" i="114" s="1"/>
  <c r="M180" i="114" a="1"/>
  <c r="M180" i="114" s="1"/>
  <c r="L180" i="114" a="1"/>
  <c r="L180" i="114" s="1"/>
  <c r="K180" i="114" a="1"/>
  <c r="K180" i="114" s="1"/>
  <c r="F180" i="114" a="1"/>
  <c r="F180" i="114" s="1"/>
  <c r="E180" i="114" a="1"/>
  <c r="E180" i="114" s="1"/>
  <c r="D180" i="114" a="1"/>
  <c r="D180" i="114" s="1"/>
  <c r="M179" i="114" a="1"/>
  <c r="M179" i="114" s="1"/>
  <c r="L179" i="114" a="1"/>
  <c r="L179" i="114" s="1"/>
  <c r="K179" i="114" a="1"/>
  <c r="K179" i="114" s="1"/>
  <c r="F179" i="114" a="1"/>
  <c r="F179" i="114" s="1"/>
  <c r="E179" i="114" a="1"/>
  <c r="E179" i="114" s="1"/>
  <c r="D179" i="114" a="1"/>
  <c r="D179" i="114" s="1"/>
  <c r="M178" i="114" a="1"/>
  <c r="M178" i="114" s="1"/>
  <c r="L178" i="114" a="1"/>
  <c r="L178" i="114" s="1"/>
  <c r="K178" i="114" a="1"/>
  <c r="K178" i="114" s="1"/>
  <c r="F178" i="114" a="1"/>
  <c r="F178" i="114" s="1"/>
  <c r="E178" i="114" a="1"/>
  <c r="E178" i="114" s="1"/>
  <c r="D178" i="114" a="1"/>
  <c r="D178" i="114" s="1"/>
  <c r="M177" i="114" a="1"/>
  <c r="M177" i="114" s="1"/>
  <c r="L177" i="114" a="1"/>
  <c r="L177" i="114" s="1"/>
  <c r="K177" i="114" a="1"/>
  <c r="K177" i="114" s="1"/>
  <c r="F177" i="114" a="1"/>
  <c r="F177" i="114" s="1"/>
  <c r="E177" i="114" a="1"/>
  <c r="E177" i="114" s="1"/>
  <c r="D177" i="114" a="1"/>
  <c r="D177" i="114" s="1"/>
  <c r="M176" i="114" a="1"/>
  <c r="M176" i="114" s="1"/>
  <c r="L176" i="114" a="1"/>
  <c r="L176" i="114" s="1"/>
  <c r="K176" i="114" a="1"/>
  <c r="K176" i="114" s="1"/>
  <c r="F176" i="114" a="1"/>
  <c r="F176" i="114" s="1"/>
  <c r="E176" i="114" a="1"/>
  <c r="E176" i="114" s="1"/>
  <c r="D176" i="114" a="1"/>
  <c r="D176" i="114" s="1"/>
  <c r="M175" i="114" a="1"/>
  <c r="M175" i="114" s="1"/>
  <c r="L175" i="114" a="1"/>
  <c r="L175" i="114" s="1"/>
  <c r="K175" i="114" a="1"/>
  <c r="K175" i="114" s="1"/>
  <c r="F175" i="114" a="1"/>
  <c r="F175" i="114" s="1"/>
  <c r="E175" i="114" a="1"/>
  <c r="E175" i="114" s="1"/>
  <c r="D175" i="114" a="1"/>
  <c r="D175" i="114" s="1"/>
  <c r="M174" i="114" a="1"/>
  <c r="M174" i="114" s="1"/>
  <c r="L174" i="114" a="1"/>
  <c r="L174" i="114" s="1"/>
  <c r="K174" i="114" a="1"/>
  <c r="K174" i="114" s="1"/>
  <c r="F174" i="114" a="1"/>
  <c r="F174" i="114" s="1"/>
  <c r="E174" i="114" a="1"/>
  <c r="E174" i="114" s="1"/>
  <c r="D174" i="114" a="1"/>
  <c r="D174" i="114" s="1"/>
  <c r="I170" i="114" a="1"/>
  <c r="I170" i="114" s="1"/>
  <c r="H170" i="114" a="1"/>
  <c r="H170" i="114" s="1"/>
  <c r="G170" i="114" a="1"/>
  <c r="G170" i="114" s="1"/>
  <c r="F170" i="114" a="1"/>
  <c r="F170" i="114" s="1"/>
  <c r="E170" i="114" a="1"/>
  <c r="E170" i="114" s="1"/>
  <c r="D170" i="114" a="1"/>
  <c r="D170" i="114" s="1"/>
  <c r="I169" i="114" a="1"/>
  <c r="I169" i="114" s="1"/>
  <c r="H169" i="114" a="1"/>
  <c r="H169" i="114" s="1"/>
  <c r="G169" i="114" a="1"/>
  <c r="G169" i="114" s="1"/>
  <c r="F169" i="114" a="1"/>
  <c r="F169" i="114" s="1"/>
  <c r="E169" i="114" a="1"/>
  <c r="E169" i="114" s="1"/>
  <c r="D169" i="114" a="1"/>
  <c r="D169" i="114" s="1"/>
  <c r="I168" i="114" a="1"/>
  <c r="I168" i="114" s="1"/>
  <c r="H168" i="114" a="1"/>
  <c r="H168" i="114" s="1"/>
  <c r="G168" i="114" a="1"/>
  <c r="G168" i="114" s="1"/>
  <c r="F168" i="114" a="1"/>
  <c r="F168" i="114" s="1"/>
  <c r="E168" i="114" a="1"/>
  <c r="E168" i="114" s="1"/>
  <c r="D51" i="109" s="1" a="1"/>
  <c r="D168" i="114" a="1"/>
  <c r="D168" i="114" s="1"/>
  <c r="I165" i="114" a="1"/>
  <c r="I165" i="114" s="1"/>
  <c r="H165" i="114" a="1"/>
  <c r="H165" i="114" s="1"/>
  <c r="G165" i="114" a="1"/>
  <c r="G165" i="114" s="1"/>
  <c r="F165" i="114" a="1"/>
  <c r="F165" i="114" s="1"/>
  <c r="E165" i="114" a="1"/>
  <c r="E165" i="114" s="1"/>
  <c r="D165" i="114" a="1"/>
  <c r="D165" i="114" s="1"/>
  <c r="I164" i="114" a="1"/>
  <c r="I164" i="114" s="1"/>
  <c r="H164" i="114" a="1"/>
  <c r="H164" i="114" s="1"/>
  <c r="G164" i="114" a="1"/>
  <c r="G164" i="114" s="1"/>
  <c r="F164" i="114" a="1"/>
  <c r="F164" i="114" s="1"/>
  <c r="E164" i="114" a="1"/>
  <c r="E164" i="114" s="1"/>
  <c r="D164" i="114" a="1"/>
  <c r="D164" i="114" s="1"/>
  <c r="I163" i="114" a="1"/>
  <c r="I163" i="114" s="1"/>
  <c r="H163" i="114" a="1"/>
  <c r="H163" i="114" s="1"/>
  <c r="G163" i="114" a="1"/>
  <c r="G163" i="114" s="1"/>
  <c r="F163" i="114" a="1"/>
  <c r="F163" i="114" s="1"/>
  <c r="E163" i="114" a="1"/>
  <c r="E163" i="114" s="1"/>
  <c r="D163" i="114" a="1"/>
  <c r="D163" i="114" s="1"/>
  <c r="I162" i="114" a="1"/>
  <c r="I162" i="114" s="1"/>
  <c r="H162" i="114" a="1"/>
  <c r="H162" i="114" s="1"/>
  <c r="G162" i="114" a="1"/>
  <c r="G162" i="114" s="1"/>
  <c r="F162" i="114" a="1"/>
  <c r="F162" i="114" s="1"/>
  <c r="E162" i="114" a="1"/>
  <c r="E162" i="114" s="1"/>
  <c r="D56" i="109" s="1" a="1"/>
  <c r="D162" i="114" a="1"/>
  <c r="D162" i="114" s="1"/>
  <c r="I159" i="114" a="1"/>
  <c r="I159" i="114" s="1"/>
  <c r="H159" i="114" a="1"/>
  <c r="H159" i="114" s="1"/>
  <c r="G159" i="114" a="1"/>
  <c r="G159" i="114" s="1"/>
  <c r="F159" i="114" a="1"/>
  <c r="F159" i="114" s="1"/>
  <c r="O159" i="114" s="1"/>
  <c r="E159" i="114" a="1"/>
  <c r="E159" i="114" s="1"/>
  <c r="N159" i="114" s="1"/>
  <c r="P158" i="114" s="1"/>
  <c r="D159" i="114" a="1"/>
  <c r="D159" i="114" s="1"/>
  <c r="I158" i="114" a="1"/>
  <c r="I158" i="114" s="1"/>
  <c r="H158" i="114" a="1"/>
  <c r="H158" i="114" s="1"/>
  <c r="G158" i="114" a="1"/>
  <c r="G158" i="114" s="1"/>
  <c r="F158" i="114" a="1"/>
  <c r="F158" i="114" s="1"/>
  <c r="L158" i="114" s="1"/>
  <c r="E158" i="114" a="1"/>
  <c r="E158" i="114" s="1"/>
  <c r="K158" i="114" s="1"/>
  <c r="M157" i="114" s="1"/>
  <c r="D158" i="114" a="1"/>
  <c r="D158" i="114" s="1"/>
  <c r="I157" i="114" a="1"/>
  <c r="I157" i="114" s="1"/>
  <c r="H157" i="114" a="1"/>
  <c r="H157" i="114" s="1"/>
  <c r="G157" i="114" a="1"/>
  <c r="G157" i="114" s="1"/>
  <c r="F157" i="114" a="1"/>
  <c r="F157" i="114" s="1"/>
  <c r="O157" i="114" s="1"/>
  <c r="E157" i="114" a="1"/>
  <c r="E157" i="114" s="1"/>
  <c r="N157" i="114" s="1"/>
  <c r="P156" i="114" s="1"/>
  <c r="D157" i="114" a="1"/>
  <c r="D157" i="114" s="1"/>
  <c r="I156" i="114" a="1"/>
  <c r="I156" i="114" s="1"/>
  <c r="H156" i="114" a="1"/>
  <c r="H156" i="114" s="1"/>
  <c r="G156" i="114" a="1"/>
  <c r="G156" i="114" s="1"/>
  <c r="F156" i="114" a="1"/>
  <c r="F156" i="114" s="1"/>
  <c r="L156" i="114" s="1"/>
  <c r="E156" i="114" a="1"/>
  <c r="E156" i="114" s="1"/>
  <c r="K156" i="114" s="1"/>
  <c r="M155" i="114" s="1"/>
  <c r="D156" i="114" a="1"/>
  <c r="D156" i="114" s="1"/>
  <c r="I155" i="114" a="1"/>
  <c r="I155" i="114" s="1"/>
  <c r="H155" i="114" a="1"/>
  <c r="H155" i="114" s="1"/>
  <c r="G155" i="114" a="1"/>
  <c r="G155" i="114" s="1"/>
  <c r="F155" i="114" a="1"/>
  <c r="F155" i="114" s="1"/>
  <c r="O155" i="114" s="1"/>
  <c r="E155" i="114" a="1"/>
  <c r="E155" i="114" s="1"/>
  <c r="N155" i="114" s="1"/>
  <c r="P154" i="114" s="1"/>
  <c r="D155" i="114" a="1"/>
  <c r="D155" i="114" s="1"/>
  <c r="I154" i="114" a="1"/>
  <c r="I154" i="114" s="1"/>
  <c r="H154" i="114" a="1"/>
  <c r="H154" i="114" s="1"/>
  <c r="G154" i="114" a="1"/>
  <c r="G154" i="114" s="1"/>
  <c r="F154" i="114" a="1"/>
  <c r="F154" i="114" s="1"/>
  <c r="L154" i="114" s="1"/>
  <c r="E154" i="114" a="1"/>
  <c r="E154" i="114" s="1"/>
  <c r="K154" i="114" s="1"/>
  <c r="M153" i="114" s="1"/>
  <c r="D154" i="114" a="1"/>
  <c r="D154" i="114" s="1"/>
  <c r="I153" i="114" a="1"/>
  <c r="I153" i="114" s="1"/>
  <c r="H153" i="114" a="1"/>
  <c r="H153" i="114" s="1"/>
  <c r="G153" i="114" a="1"/>
  <c r="G153" i="114" s="1"/>
  <c r="F153" i="114" a="1"/>
  <c r="F153" i="114" s="1"/>
  <c r="O153" i="114" s="1"/>
  <c r="E153" i="114" a="1"/>
  <c r="E153" i="114" s="1"/>
  <c r="N153" i="114" s="1"/>
  <c r="P152" i="114" s="1"/>
  <c r="D153" i="114" a="1"/>
  <c r="D153" i="114" s="1"/>
  <c r="I152" i="114" a="1"/>
  <c r="I152" i="114" s="1"/>
  <c r="H152" i="114" a="1"/>
  <c r="H152" i="114" s="1"/>
  <c r="G152" i="114" a="1"/>
  <c r="G152" i="114" s="1"/>
  <c r="F152" i="114" a="1"/>
  <c r="F152" i="114" s="1"/>
  <c r="L152" i="114" s="1"/>
  <c r="E152" i="114" a="1"/>
  <c r="E152" i="114" s="1"/>
  <c r="K152" i="114" s="1"/>
  <c r="M151" i="114" s="1"/>
  <c r="D152" i="114" a="1"/>
  <c r="D152" i="114" s="1"/>
  <c r="I151" i="114" a="1"/>
  <c r="I151" i="114" s="1"/>
  <c r="H151" i="114" a="1"/>
  <c r="H151" i="114" s="1"/>
  <c r="G151" i="114" a="1"/>
  <c r="G151" i="114" s="1"/>
  <c r="F151" i="114" a="1"/>
  <c r="F151" i="114" s="1"/>
  <c r="O151" i="114" s="1"/>
  <c r="E151" i="114" a="1"/>
  <c r="E151" i="114" s="1"/>
  <c r="N151" i="114" s="1"/>
  <c r="D151" i="114" a="1"/>
  <c r="D151" i="114" s="1"/>
  <c r="I150" i="114" a="1"/>
  <c r="I150" i="114" s="1"/>
  <c r="H150" i="114" a="1"/>
  <c r="H150" i="114" s="1"/>
  <c r="G150" i="114" a="1"/>
  <c r="G150" i="114" s="1"/>
  <c r="F150" i="114" a="1"/>
  <c r="F150" i="114" s="1"/>
  <c r="O150" i="114" s="1"/>
  <c r="E150" i="114" a="1"/>
  <c r="E150" i="114" s="1"/>
  <c r="N150" i="114" s="1"/>
  <c r="D150" i="114" a="1"/>
  <c r="D150" i="114" s="1"/>
  <c r="I149" i="114" a="1"/>
  <c r="I149" i="114" s="1"/>
  <c r="H149" i="114" a="1"/>
  <c r="H149" i="114" s="1"/>
  <c r="G149" i="114" a="1"/>
  <c r="G149" i="114" s="1"/>
  <c r="F149" i="114" a="1"/>
  <c r="F149" i="114" s="1"/>
  <c r="O149" i="114" s="1"/>
  <c r="E149" i="114" a="1"/>
  <c r="E149" i="114" s="1"/>
  <c r="N149" i="114" s="1"/>
  <c r="D149" i="114" a="1"/>
  <c r="D149" i="114" s="1"/>
  <c r="I148" i="114" a="1"/>
  <c r="I148" i="114" s="1"/>
  <c r="H148" i="114" a="1"/>
  <c r="H148" i="114" s="1"/>
  <c r="G148" i="114" a="1"/>
  <c r="G148" i="114" s="1"/>
  <c r="F148" i="114" a="1"/>
  <c r="F148" i="114" s="1"/>
  <c r="O148" i="114" s="1"/>
  <c r="E148" i="114" a="1"/>
  <c r="E148" i="114" s="1"/>
  <c r="N148" i="114" s="1"/>
  <c r="D148" i="114" a="1"/>
  <c r="D148" i="114" s="1"/>
  <c r="I147" i="114" a="1"/>
  <c r="I147" i="114" s="1"/>
  <c r="H147" i="114" a="1"/>
  <c r="H147" i="114" s="1"/>
  <c r="G147" i="114" a="1"/>
  <c r="G147" i="114" s="1"/>
  <c r="F147" i="114" a="1"/>
  <c r="F147" i="114" s="1"/>
  <c r="O147" i="114" s="1"/>
  <c r="E147" i="114" a="1"/>
  <c r="E147" i="114" s="1"/>
  <c r="N147" i="114" s="1"/>
  <c r="D147" i="114" a="1"/>
  <c r="D147" i="114" s="1"/>
  <c r="I146" i="114" a="1"/>
  <c r="I146" i="114" s="1"/>
  <c r="H146" i="114" a="1"/>
  <c r="H146" i="114" s="1"/>
  <c r="G146" i="114" a="1"/>
  <c r="G146" i="114" s="1"/>
  <c r="F146" i="114" a="1"/>
  <c r="F146" i="114" s="1"/>
  <c r="O146" i="114" s="1"/>
  <c r="E146" i="114" a="1"/>
  <c r="E146" i="114" s="1"/>
  <c r="N146" i="114" s="1"/>
  <c r="D146" i="114" a="1"/>
  <c r="D146" i="114" s="1"/>
  <c r="I145" i="114" a="1"/>
  <c r="I145" i="114" s="1"/>
  <c r="H145" i="114" a="1"/>
  <c r="H145" i="114" s="1"/>
  <c r="G145" i="114" a="1"/>
  <c r="G145" i="114" s="1"/>
  <c r="F145" i="114" a="1"/>
  <c r="F145" i="114" s="1"/>
  <c r="O145" i="114" s="1"/>
  <c r="E145" i="114" a="1"/>
  <c r="E145" i="114" s="1"/>
  <c r="N145" i="114" s="1"/>
  <c r="P144" i="114" s="1"/>
  <c r="D145" i="114" a="1"/>
  <c r="D145" i="114" s="1"/>
  <c r="I144" i="114" a="1"/>
  <c r="I144" i="114" s="1"/>
  <c r="H144" i="114" a="1"/>
  <c r="H144" i="114" s="1"/>
  <c r="G144" i="114" a="1"/>
  <c r="G144" i="114" s="1"/>
  <c r="F144" i="114" a="1"/>
  <c r="F144" i="114" s="1"/>
  <c r="L144" i="114" s="1"/>
  <c r="E144" i="114" a="1"/>
  <c r="E144" i="114" s="1"/>
  <c r="K144" i="114" s="1"/>
  <c r="D144" i="114" a="1"/>
  <c r="D144" i="114" s="1"/>
  <c r="I143" i="114" a="1"/>
  <c r="I143" i="114" s="1"/>
  <c r="H143" i="114" a="1"/>
  <c r="H143" i="114" s="1"/>
  <c r="G143" i="114" a="1"/>
  <c r="G143" i="114" s="1"/>
  <c r="F143" i="114" a="1"/>
  <c r="F143" i="114" s="1"/>
  <c r="L143" i="114" s="1"/>
  <c r="E143" i="114" a="1"/>
  <c r="E143" i="114" s="1"/>
  <c r="K143" i="114" s="1"/>
  <c r="D143" i="114" a="1"/>
  <c r="D143" i="114" s="1"/>
  <c r="I142" i="114" a="1"/>
  <c r="I142" i="114" s="1"/>
  <c r="H142" i="114" a="1"/>
  <c r="H142" i="114" s="1"/>
  <c r="G142" i="114" a="1"/>
  <c r="G142" i="114" s="1"/>
  <c r="F142" i="114" a="1"/>
  <c r="F142" i="114" s="1"/>
  <c r="L142" i="114" s="1"/>
  <c r="E142" i="114" a="1"/>
  <c r="E142" i="114" s="1"/>
  <c r="K142" i="114" s="1"/>
  <c r="D142" i="114" a="1"/>
  <c r="D142" i="114" s="1"/>
  <c r="I141" i="114" a="1"/>
  <c r="I141" i="114" s="1"/>
  <c r="H141" i="114" a="1"/>
  <c r="H141" i="114" s="1"/>
  <c r="G141" i="114" a="1"/>
  <c r="G141" i="114" s="1"/>
  <c r="F141" i="114" a="1"/>
  <c r="F141" i="114" s="1"/>
  <c r="L141" i="114" s="1"/>
  <c r="E141" i="114" a="1"/>
  <c r="E141" i="114" s="1"/>
  <c r="K141" i="114" s="1"/>
  <c r="D141" i="114" a="1"/>
  <c r="D141" i="114" s="1"/>
  <c r="I140" i="114" a="1"/>
  <c r="I140" i="114" s="1"/>
  <c r="H140" i="114" a="1"/>
  <c r="H140" i="114" s="1"/>
  <c r="G140" i="114" a="1"/>
  <c r="G140" i="114" s="1"/>
  <c r="F140" i="114" a="1"/>
  <c r="F140" i="114" s="1"/>
  <c r="L140" i="114" s="1"/>
  <c r="E140" i="114" a="1"/>
  <c r="E140" i="114" s="1"/>
  <c r="K140" i="114" s="1"/>
  <c r="D140" i="114" a="1"/>
  <c r="D140" i="114" s="1"/>
  <c r="I139" i="114" a="1"/>
  <c r="I139" i="114" s="1"/>
  <c r="H139" i="114" a="1"/>
  <c r="H139" i="114" s="1"/>
  <c r="G139" i="114" a="1"/>
  <c r="G139" i="114" s="1"/>
  <c r="F139" i="114" a="1"/>
  <c r="F139" i="114" s="1"/>
  <c r="L139" i="114" s="1"/>
  <c r="E139" i="114" a="1"/>
  <c r="E139" i="114" s="1"/>
  <c r="K139" i="114" s="1"/>
  <c r="M138" i="114" s="1"/>
  <c r="D139" i="114" a="1"/>
  <c r="D139" i="114" s="1"/>
  <c r="I138" i="114" a="1"/>
  <c r="I138" i="114" s="1"/>
  <c r="H138" i="114" a="1"/>
  <c r="H138" i="114" s="1"/>
  <c r="G138" i="114" a="1"/>
  <c r="G138" i="114" s="1"/>
  <c r="F138" i="114" a="1"/>
  <c r="F138" i="114" s="1"/>
  <c r="O138" i="114" s="1"/>
  <c r="E138" i="114" a="1"/>
  <c r="E138" i="114" s="1"/>
  <c r="N138" i="114" s="1"/>
  <c r="D138" i="114" a="1"/>
  <c r="D138" i="114" s="1"/>
  <c r="I137" i="114" a="1"/>
  <c r="I137" i="114" s="1"/>
  <c r="H137" i="114" a="1"/>
  <c r="H137" i="114" s="1"/>
  <c r="G137" i="114" a="1"/>
  <c r="G137" i="114" s="1"/>
  <c r="F137" i="114" a="1"/>
  <c r="F137" i="114" s="1"/>
  <c r="O137" i="114" s="1"/>
  <c r="E137" i="114" a="1"/>
  <c r="E137" i="114" s="1"/>
  <c r="N137" i="114" s="1"/>
  <c r="D137" i="114" a="1"/>
  <c r="D137" i="114" s="1"/>
  <c r="I136" i="114" a="1"/>
  <c r="I136" i="114" s="1"/>
  <c r="H136" i="114" a="1"/>
  <c r="H136" i="114" s="1"/>
  <c r="G136" i="114" a="1"/>
  <c r="G136" i="114" s="1"/>
  <c r="F136" i="114" a="1"/>
  <c r="F136" i="114" s="1"/>
  <c r="O136" i="114" s="1"/>
  <c r="E136" i="114" a="1"/>
  <c r="E136" i="114" s="1"/>
  <c r="N136" i="114" s="1"/>
  <c r="D136" i="114" a="1"/>
  <c r="D136" i="114" s="1"/>
  <c r="I135" i="114" a="1"/>
  <c r="I135" i="114" s="1"/>
  <c r="H135" i="114" a="1"/>
  <c r="H135" i="114" s="1"/>
  <c r="G135" i="114" a="1"/>
  <c r="G135" i="114" s="1"/>
  <c r="F135" i="114" a="1"/>
  <c r="F135" i="114" s="1"/>
  <c r="O135" i="114" s="1"/>
  <c r="E135" i="114" a="1"/>
  <c r="E135" i="114" s="1"/>
  <c r="N135" i="114" s="1"/>
  <c r="D135" i="114" a="1"/>
  <c r="D135" i="114" s="1"/>
  <c r="I134" i="114" a="1"/>
  <c r="I134" i="114" s="1"/>
  <c r="H134" i="114" a="1"/>
  <c r="H134" i="114" s="1"/>
  <c r="G134" i="114" a="1"/>
  <c r="G134" i="114" s="1"/>
  <c r="F134" i="114" a="1"/>
  <c r="F134" i="114" s="1"/>
  <c r="O134" i="114" s="1"/>
  <c r="E134" i="114" a="1"/>
  <c r="E134" i="114" s="1"/>
  <c r="N134" i="114" s="1"/>
  <c r="D134" i="114" a="1"/>
  <c r="D134" i="114" s="1"/>
  <c r="I133" i="114" a="1"/>
  <c r="I133" i="114" s="1"/>
  <c r="H133" i="114" a="1"/>
  <c r="H133" i="114" s="1"/>
  <c r="G133" i="114" a="1"/>
  <c r="G133" i="114" s="1"/>
  <c r="F133" i="114" a="1"/>
  <c r="F133" i="114" s="1"/>
  <c r="O133" i="114" s="1"/>
  <c r="E133" i="114" a="1"/>
  <c r="E133" i="114" s="1"/>
  <c r="N133" i="114" s="1"/>
  <c r="D133" i="114" a="1"/>
  <c r="D133" i="114" s="1"/>
  <c r="I132" i="114" a="1"/>
  <c r="I132" i="114" s="1"/>
  <c r="H132" i="114" a="1"/>
  <c r="H132" i="114" s="1"/>
  <c r="G132" i="114" a="1"/>
  <c r="G132" i="114" s="1"/>
  <c r="F132" i="114" a="1"/>
  <c r="F132" i="114" s="1"/>
  <c r="O132" i="114" s="1"/>
  <c r="E132" i="114" a="1"/>
  <c r="E132" i="114" s="1"/>
  <c r="N132" i="114" s="1"/>
  <c r="P131" i="114" s="1"/>
  <c r="D132" i="114" a="1"/>
  <c r="D132" i="114" s="1"/>
  <c r="I131" i="114" a="1"/>
  <c r="I131" i="114" s="1"/>
  <c r="H131" i="114" a="1"/>
  <c r="H131" i="114" s="1"/>
  <c r="G131" i="114" a="1"/>
  <c r="G131" i="114" s="1"/>
  <c r="F131" i="114" a="1"/>
  <c r="F131" i="114" s="1"/>
  <c r="L131" i="114" s="1"/>
  <c r="E131" i="114" a="1"/>
  <c r="E131" i="114" s="1"/>
  <c r="K131" i="114" s="1"/>
  <c r="D131" i="114" a="1"/>
  <c r="D131" i="114" s="1"/>
  <c r="I130" i="114" a="1"/>
  <c r="I130" i="114" s="1"/>
  <c r="H130" i="114" a="1"/>
  <c r="H130" i="114" s="1"/>
  <c r="G130" i="114" a="1"/>
  <c r="G130" i="114" s="1"/>
  <c r="F130" i="114" a="1"/>
  <c r="F130" i="114" s="1"/>
  <c r="L130" i="114" s="1"/>
  <c r="E130" i="114" a="1"/>
  <c r="E130" i="114" s="1"/>
  <c r="K130" i="114" s="1"/>
  <c r="D130" i="114" a="1"/>
  <c r="D130" i="114" s="1"/>
  <c r="I129" i="114" a="1"/>
  <c r="I129" i="114" s="1"/>
  <c r="H129" i="114" a="1"/>
  <c r="H129" i="114" s="1"/>
  <c r="G129" i="114" a="1"/>
  <c r="G129" i="114" s="1"/>
  <c r="F129" i="114" a="1"/>
  <c r="F129" i="114" s="1"/>
  <c r="L129" i="114" s="1"/>
  <c r="E129" i="114" a="1"/>
  <c r="E129" i="114" s="1"/>
  <c r="K129" i="114" s="1"/>
  <c r="D129" i="114" a="1"/>
  <c r="D129" i="114" s="1"/>
  <c r="I128" i="114" a="1"/>
  <c r="I128" i="114" s="1"/>
  <c r="H128" i="114" a="1"/>
  <c r="H128" i="114" s="1"/>
  <c r="G128" i="114" a="1"/>
  <c r="G128" i="114" s="1"/>
  <c r="F128" i="114" a="1"/>
  <c r="F128" i="114" s="1"/>
  <c r="L128" i="114" s="1"/>
  <c r="E128" i="114" a="1"/>
  <c r="E128" i="114" s="1"/>
  <c r="K128" i="114" s="1"/>
  <c r="D128" i="114" a="1"/>
  <c r="D128" i="114" s="1"/>
  <c r="I127" i="114" a="1"/>
  <c r="I127" i="114" s="1"/>
  <c r="H127" i="114" a="1"/>
  <c r="H127" i="114" s="1"/>
  <c r="G127" i="114" a="1"/>
  <c r="G127" i="114" s="1"/>
  <c r="F127" i="114" a="1"/>
  <c r="F127" i="114" s="1"/>
  <c r="L127" i="114" s="1"/>
  <c r="E127" i="114" a="1"/>
  <c r="E127" i="114" s="1"/>
  <c r="K127" i="114" s="1"/>
  <c r="D127" i="114" a="1"/>
  <c r="D127" i="114" s="1"/>
  <c r="I126" i="114" a="1"/>
  <c r="I126" i="114" s="1"/>
  <c r="H126" i="114" a="1"/>
  <c r="H126" i="114" s="1"/>
  <c r="G126" i="114" a="1"/>
  <c r="G126" i="114" s="1"/>
  <c r="F126" i="114" a="1"/>
  <c r="F126" i="114" s="1"/>
  <c r="L126" i="114" s="1"/>
  <c r="E126" i="114" a="1"/>
  <c r="E126" i="114" s="1"/>
  <c r="K126" i="114" s="1"/>
  <c r="M125" i="114" s="1"/>
  <c r="D126" i="114" a="1"/>
  <c r="D126" i="114" s="1"/>
  <c r="I125" i="114" a="1"/>
  <c r="I125" i="114" s="1"/>
  <c r="H125" i="114" a="1"/>
  <c r="H125" i="114" s="1"/>
  <c r="G125" i="114" a="1"/>
  <c r="G125" i="114" s="1"/>
  <c r="F125" i="114" a="1"/>
  <c r="F125" i="114" s="1"/>
  <c r="O125" i="114" s="1"/>
  <c r="E125" i="114" a="1"/>
  <c r="E125" i="114" s="1"/>
  <c r="N125" i="114" s="1"/>
  <c r="D125" i="114" a="1"/>
  <c r="D125" i="114" s="1"/>
  <c r="I124" i="114" a="1"/>
  <c r="I124" i="114" s="1"/>
  <c r="H124" i="114" a="1"/>
  <c r="H124" i="114" s="1"/>
  <c r="G124" i="114" a="1"/>
  <c r="G124" i="114" s="1"/>
  <c r="F124" i="114" a="1"/>
  <c r="F124" i="114" s="1"/>
  <c r="O124" i="114" s="1"/>
  <c r="E124" i="114" a="1"/>
  <c r="E124" i="114" s="1"/>
  <c r="N124" i="114" s="1"/>
  <c r="D124" i="114" a="1"/>
  <c r="D124" i="114" s="1"/>
  <c r="I123" i="114" a="1"/>
  <c r="I123" i="114" s="1"/>
  <c r="H123" i="114" a="1"/>
  <c r="H123" i="114" s="1"/>
  <c r="G123" i="114" a="1"/>
  <c r="G123" i="114" s="1"/>
  <c r="F123" i="114" a="1"/>
  <c r="F123" i="114" s="1"/>
  <c r="O123" i="114" s="1"/>
  <c r="E123" i="114" a="1"/>
  <c r="E123" i="114" s="1"/>
  <c r="N123" i="114" s="1"/>
  <c r="D123" i="114" a="1"/>
  <c r="D123" i="114" s="1"/>
  <c r="I122" i="114" a="1"/>
  <c r="I122" i="114" s="1"/>
  <c r="H122" i="114" a="1"/>
  <c r="H122" i="114" s="1"/>
  <c r="G122" i="114" a="1"/>
  <c r="G122" i="114" s="1"/>
  <c r="F122" i="114" a="1"/>
  <c r="F122" i="114" s="1"/>
  <c r="O122" i="114" s="1"/>
  <c r="E122" i="114"/>
  <c r="N122" i="114" s="1"/>
  <c r="E122" i="114" a="1"/>
  <c r="D122" i="114" a="1"/>
  <c r="D122" i="114" s="1"/>
  <c r="I121" i="114" a="1"/>
  <c r="I121" i="114" s="1"/>
  <c r="H121" i="114" a="1"/>
  <c r="H121" i="114" s="1"/>
  <c r="G121" i="114" a="1"/>
  <c r="G121" i="114" s="1"/>
  <c r="F121" i="114" a="1"/>
  <c r="F121" i="114" s="1"/>
  <c r="O121" i="114" s="1"/>
  <c r="E121" i="114" a="1"/>
  <c r="E121" i="114" s="1"/>
  <c r="N121" i="114" s="1"/>
  <c r="D121" i="114" a="1"/>
  <c r="D121" i="114" s="1"/>
  <c r="I120" i="114" a="1"/>
  <c r="I120" i="114" s="1"/>
  <c r="H120" i="114" a="1"/>
  <c r="H120" i="114" s="1"/>
  <c r="G120" i="114" a="1"/>
  <c r="G120" i="114" s="1"/>
  <c r="F120" i="114" a="1"/>
  <c r="F120" i="114" s="1"/>
  <c r="O120" i="114" s="1"/>
  <c r="E120" i="114" a="1"/>
  <c r="E120" i="114" s="1"/>
  <c r="N120" i="114" s="1"/>
  <c r="D120" i="114" a="1"/>
  <c r="D120" i="114" s="1"/>
  <c r="I119" i="114" a="1"/>
  <c r="I119" i="114" s="1"/>
  <c r="H119" i="114" a="1"/>
  <c r="H119" i="114" s="1"/>
  <c r="G119" i="114" a="1"/>
  <c r="G119" i="114" s="1"/>
  <c r="F119" i="114" a="1"/>
  <c r="F119" i="114" s="1"/>
  <c r="O119" i="114" s="1"/>
  <c r="E119" i="114" a="1"/>
  <c r="E119" i="114" s="1"/>
  <c r="N119" i="114" s="1"/>
  <c r="P118" i="114" s="1"/>
  <c r="D119" i="114" a="1"/>
  <c r="D119" i="114" s="1"/>
  <c r="I118" i="114" a="1"/>
  <c r="I118" i="114" s="1"/>
  <c r="H118" i="114" a="1"/>
  <c r="H118" i="114" s="1"/>
  <c r="G118" i="114" a="1"/>
  <c r="G118" i="114" s="1"/>
  <c r="F118" i="114" a="1"/>
  <c r="F118" i="114" s="1"/>
  <c r="L118" i="114" s="1"/>
  <c r="E118" i="114" a="1"/>
  <c r="E118" i="114" s="1"/>
  <c r="K118" i="114" s="1"/>
  <c r="D118" i="114" a="1"/>
  <c r="D118" i="114" s="1"/>
  <c r="I117" i="114" a="1"/>
  <c r="I117" i="114" s="1"/>
  <c r="H117" i="114" a="1"/>
  <c r="H117" i="114" s="1"/>
  <c r="G117" i="114" a="1"/>
  <c r="G117" i="114" s="1"/>
  <c r="F117" i="114" a="1"/>
  <c r="F117" i="114" s="1"/>
  <c r="L117" i="114" s="1"/>
  <c r="E117" i="114" a="1"/>
  <c r="E117" i="114" s="1"/>
  <c r="K117" i="114" s="1"/>
  <c r="D117" i="114" a="1"/>
  <c r="D117" i="114" s="1"/>
  <c r="I116" i="114" a="1"/>
  <c r="I116" i="114" s="1"/>
  <c r="H116" i="114" a="1"/>
  <c r="H116" i="114" s="1"/>
  <c r="G116" i="114" a="1"/>
  <c r="G116" i="114" s="1"/>
  <c r="F116" i="114" a="1"/>
  <c r="F116" i="114" s="1"/>
  <c r="L116" i="114" s="1"/>
  <c r="E116" i="114" a="1"/>
  <c r="E116" i="114" s="1"/>
  <c r="K116" i="114" s="1"/>
  <c r="D116" i="114" a="1"/>
  <c r="D116" i="114" s="1"/>
  <c r="I115" i="114" a="1"/>
  <c r="I115" i="114" s="1"/>
  <c r="H115" i="114" a="1"/>
  <c r="H115" i="114" s="1"/>
  <c r="G115" i="114" a="1"/>
  <c r="G115" i="114" s="1"/>
  <c r="F115" i="114" a="1"/>
  <c r="F115" i="114" s="1"/>
  <c r="L115" i="114" s="1"/>
  <c r="E115" i="114" a="1"/>
  <c r="E115" i="114" s="1"/>
  <c r="K115" i="114" s="1"/>
  <c r="D115" i="114" a="1"/>
  <c r="D115" i="114" s="1"/>
  <c r="I114" i="114" a="1"/>
  <c r="I114" i="114" s="1"/>
  <c r="H114" i="114" a="1"/>
  <c r="H114" i="114" s="1"/>
  <c r="G114" i="114" a="1"/>
  <c r="G114" i="114" s="1"/>
  <c r="F114" i="114" a="1"/>
  <c r="F114" i="114" s="1"/>
  <c r="L114" i="114" s="1"/>
  <c r="E114" i="114" a="1"/>
  <c r="E114" i="114" s="1"/>
  <c r="K114" i="114" s="1"/>
  <c r="D114" i="114" a="1"/>
  <c r="D114" i="114" s="1"/>
  <c r="I113" i="114" a="1"/>
  <c r="I113" i="114" s="1"/>
  <c r="H113" i="114" a="1"/>
  <c r="H113" i="114" s="1"/>
  <c r="G113" i="114" a="1"/>
  <c r="G113" i="114" s="1"/>
  <c r="F113" i="114" a="1"/>
  <c r="F113" i="114" s="1"/>
  <c r="L113" i="114" s="1"/>
  <c r="E113" i="114" a="1"/>
  <c r="E113" i="114" s="1"/>
  <c r="K113" i="114" s="1"/>
  <c r="D113" i="114" a="1"/>
  <c r="D113" i="114" s="1"/>
  <c r="I112" i="114" a="1"/>
  <c r="I112" i="114" s="1"/>
  <c r="H112" i="114" a="1"/>
  <c r="H112" i="114" s="1"/>
  <c r="G112" i="114" a="1"/>
  <c r="G112" i="114" s="1"/>
  <c r="F112" i="114" a="1"/>
  <c r="F112" i="114" s="1"/>
  <c r="L112" i="114" s="1"/>
  <c r="E112" i="114" a="1"/>
  <c r="E112" i="114" s="1"/>
  <c r="K112" i="114" s="1"/>
  <c r="D112" i="114" a="1"/>
  <c r="D112" i="114" s="1"/>
  <c r="I111" i="114" a="1"/>
  <c r="I111" i="114" s="1"/>
  <c r="H111" i="114" a="1"/>
  <c r="H111" i="114" s="1"/>
  <c r="G111" i="114" a="1"/>
  <c r="G111" i="114" s="1"/>
  <c r="F111" i="114" a="1"/>
  <c r="F111" i="114" s="1"/>
  <c r="L111" i="114" s="1"/>
  <c r="E111" i="114" a="1"/>
  <c r="E111" i="114" s="1"/>
  <c r="K111" i="114" s="1"/>
  <c r="M110" i="114" s="1"/>
  <c r="D111" i="114" a="1"/>
  <c r="D111" i="114" s="1"/>
  <c r="I110" i="114" a="1"/>
  <c r="I110" i="114" s="1"/>
  <c r="H110" i="114" a="1"/>
  <c r="H110" i="114" s="1"/>
  <c r="G110" i="114" a="1"/>
  <c r="G110" i="114" s="1"/>
  <c r="F110" i="114" a="1"/>
  <c r="F110" i="114" s="1"/>
  <c r="O110" i="114" s="1"/>
  <c r="E110" i="114" a="1"/>
  <c r="E110" i="114" s="1"/>
  <c r="N110" i="114" s="1"/>
  <c r="D110" i="114" a="1"/>
  <c r="D110" i="114" s="1"/>
  <c r="I109" i="114" a="1"/>
  <c r="I109" i="114" s="1"/>
  <c r="H109" i="114" a="1"/>
  <c r="H109" i="114" s="1"/>
  <c r="G109" i="114" a="1"/>
  <c r="G109" i="114" s="1"/>
  <c r="F109" i="114" a="1"/>
  <c r="F109" i="114" s="1"/>
  <c r="O109" i="114" s="1"/>
  <c r="E109" i="114" a="1"/>
  <c r="E109" i="114" s="1"/>
  <c r="N109" i="114" s="1"/>
  <c r="D109" i="114" a="1"/>
  <c r="D109" i="114" s="1"/>
  <c r="I108" i="114" a="1"/>
  <c r="I108" i="114" s="1"/>
  <c r="H108" i="114" a="1"/>
  <c r="H108" i="114" s="1"/>
  <c r="G108" i="114" a="1"/>
  <c r="G108" i="114" s="1"/>
  <c r="F108" i="114" a="1"/>
  <c r="F108" i="114" s="1"/>
  <c r="O108" i="114" s="1"/>
  <c r="E108" i="114" a="1"/>
  <c r="E108" i="114" s="1"/>
  <c r="N108" i="114" s="1"/>
  <c r="D108" i="114" a="1"/>
  <c r="D108" i="114" s="1"/>
  <c r="I107" i="114" a="1"/>
  <c r="I107" i="114" s="1"/>
  <c r="H107" i="114" a="1"/>
  <c r="H107" i="114" s="1"/>
  <c r="G107" i="114" a="1"/>
  <c r="G107" i="114" s="1"/>
  <c r="F107" i="114" a="1"/>
  <c r="F107" i="114" s="1"/>
  <c r="O107" i="114" s="1"/>
  <c r="E107" i="114" a="1"/>
  <c r="E107" i="114" s="1"/>
  <c r="N107" i="114" s="1"/>
  <c r="D107" i="114" a="1"/>
  <c r="D107" i="114" s="1"/>
  <c r="I106" i="114" a="1"/>
  <c r="I106" i="114" s="1"/>
  <c r="H106" i="114" a="1"/>
  <c r="H106" i="114" s="1"/>
  <c r="G106" i="114" a="1"/>
  <c r="G106" i="114" s="1"/>
  <c r="F106" i="114" a="1"/>
  <c r="F106" i="114" s="1"/>
  <c r="O106" i="114" s="1"/>
  <c r="E106" i="114" a="1"/>
  <c r="E106" i="114" s="1"/>
  <c r="N106" i="114" s="1"/>
  <c r="P105" i="114" s="1"/>
  <c r="D106" i="114" a="1"/>
  <c r="D106" i="114" s="1"/>
  <c r="I105" i="114" a="1"/>
  <c r="I105" i="114" s="1"/>
  <c r="H105" i="114" a="1"/>
  <c r="H105" i="114" s="1"/>
  <c r="G105" i="114" a="1"/>
  <c r="G105" i="114" s="1"/>
  <c r="F105" i="114" a="1"/>
  <c r="F105" i="114" s="1"/>
  <c r="L105" i="114" s="1"/>
  <c r="E105" i="114" a="1"/>
  <c r="E105" i="114" s="1"/>
  <c r="K105" i="114" s="1"/>
  <c r="D105" i="114" a="1"/>
  <c r="D105" i="114" s="1"/>
  <c r="I104" i="114" a="1"/>
  <c r="I104" i="114" s="1"/>
  <c r="H104" i="114" a="1"/>
  <c r="H104" i="114" s="1"/>
  <c r="G104" i="114" a="1"/>
  <c r="G104" i="114" s="1"/>
  <c r="F104" i="114" a="1"/>
  <c r="F104" i="114" s="1"/>
  <c r="L104" i="114" s="1"/>
  <c r="E104" i="114" a="1"/>
  <c r="E104" i="114" s="1"/>
  <c r="K104" i="114" s="1"/>
  <c r="D104" i="114" a="1"/>
  <c r="D104" i="114" s="1"/>
  <c r="I103" i="114" a="1"/>
  <c r="I103" i="114" s="1"/>
  <c r="H103" i="114" a="1"/>
  <c r="H103" i="114" s="1"/>
  <c r="G103" i="114" a="1"/>
  <c r="G103" i="114" s="1"/>
  <c r="F103" i="114" a="1"/>
  <c r="F103" i="114" s="1"/>
  <c r="L103" i="114" s="1"/>
  <c r="E103" i="114" a="1"/>
  <c r="E103" i="114" s="1"/>
  <c r="K103" i="114" s="1"/>
  <c r="D103" i="114" a="1"/>
  <c r="D103" i="114" s="1"/>
  <c r="I102" i="114" a="1"/>
  <c r="I102" i="114" s="1"/>
  <c r="H102" i="114" a="1"/>
  <c r="H102" i="114" s="1"/>
  <c r="G102" i="114" a="1"/>
  <c r="G102" i="114" s="1"/>
  <c r="F102" i="114" a="1"/>
  <c r="F102" i="114" s="1"/>
  <c r="L102" i="114" s="1"/>
  <c r="E102" i="114" a="1"/>
  <c r="E102" i="114" s="1"/>
  <c r="K102" i="114" s="1"/>
  <c r="D102" i="114" a="1"/>
  <c r="D102" i="114" s="1"/>
  <c r="I101" i="114" a="1"/>
  <c r="I101" i="114" s="1"/>
  <c r="H101" i="114" a="1"/>
  <c r="H101" i="114" s="1"/>
  <c r="G101" i="114" a="1"/>
  <c r="G101" i="114" s="1"/>
  <c r="F101" i="114" a="1"/>
  <c r="F101" i="114" s="1"/>
  <c r="L101" i="114" s="1"/>
  <c r="E101" i="114" a="1"/>
  <c r="E101" i="114" s="1"/>
  <c r="K101" i="114" s="1"/>
  <c r="D101" i="114" a="1"/>
  <c r="D101" i="114" s="1"/>
  <c r="I100" i="114" a="1"/>
  <c r="I100" i="114" s="1"/>
  <c r="H100" i="114" a="1"/>
  <c r="H100" i="114" s="1"/>
  <c r="G100" i="114" a="1"/>
  <c r="G100" i="114" s="1"/>
  <c r="F100" i="114" a="1"/>
  <c r="F100" i="114" s="1"/>
  <c r="L100" i="114" s="1"/>
  <c r="E100" i="114" a="1"/>
  <c r="E100" i="114" s="1"/>
  <c r="K100" i="114" s="1"/>
  <c r="D100" i="114" a="1"/>
  <c r="D100" i="114" s="1"/>
  <c r="I99" i="114" a="1"/>
  <c r="I99" i="114" s="1"/>
  <c r="H99" i="114" a="1"/>
  <c r="H99" i="114" s="1"/>
  <c r="G99" i="114" a="1"/>
  <c r="G99" i="114" s="1"/>
  <c r="F99" i="114" a="1"/>
  <c r="F99" i="114" s="1"/>
  <c r="L99" i="114" s="1"/>
  <c r="E99" i="114" a="1"/>
  <c r="E99" i="114" s="1"/>
  <c r="K99" i="114" s="1"/>
  <c r="M98" i="114" s="1"/>
  <c r="D99" i="114" a="1"/>
  <c r="D99" i="114" s="1"/>
  <c r="I98" i="114" a="1"/>
  <c r="I98" i="114" s="1"/>
  <c r="H98" i="114" a="1"/>
  <c r="H98" i="114" s="1"/>
  <c r="G98" i="114" a="1"/>
  <c r="G98" i="114" s="1"/>
  <c r="F98" i="114" a="1"/>
  <c r="F98" i="114" s="1"/>
  <c r="O98" i="114" s="1"/>
  <c r="E98" i="114" a="1"/>
  <c r="E98" i="114" s="1"/>
  <c r="N98" i="114" s="1"/>
  <c r="D98" i="114" a="1"/>
  <c r="D98" i="114" s="1"/>
  <c r="I97" i="114" a="1"/>
  <c r="I97" i="114" s="1"/>
  <c r="H97" i="114" a="1"/>
  <c r="H97" i="114" s="1"/>
  <c r="G97" i="114" a="1"/>
  <c r="G97" i="114" s="1"/>
  <c r="F97" i="114" a="1"/>
  <c r="F97" i="114" s="1"/>
  <c r="O97" i="114" s="1"/>
  <c r="E97" i="114" a="1"/>
  <c r="E97" i="114" s="1"/>
  <c r="N97" i="114" s="1"/>
  <c r="D97" i="114" a="1"/>
  <c r="D97" i="114" s="1"/>
  <c r="I96" i="114" a="1"/>
  <c r="I96" i="114" s="1"/>
  <c r="H96" i="114" a="1"/>
  <c r="H96" i="114" s="1"/>
  <c r="G96" i="114" a="1"/>
  <c r="G96" i="114" s="1"/>
  <c r="F96" i="114" a="1"/>
  <c r="F96" i="114" s="1"/>
  <c r="O96" i="114" s="1"/>
  <c r="E96" i="114" a="1"/>
  <c r="E96" i="114" s="1"/>
  <c r="N96" i="114" s="1"/>
  <c r="D96" i="114" a="1"/>
  <c r="D96" i="114" s="1"/>
  <c r="I95" i="114" a="1"/>
  <c r="I95" i="114" s="1"/>
  <c r="H95" i="114" a="1"/>
  <c r="H95" i="114" s="1"/>
  <c r="G95" i="114" a="1"/>
  <c r="G95" i="114" s="1"/>
  <c r="F95" i="114" a="1"/>
  <c r="F95" i="114" s="1"/>
  <c r="O95" i="114" s="1"/>
  <c r="E95" i="114" a="1"/>
  <c r="E95" i="114" s="1"/>
  <c r="N95" i="114" s="1"/>
  <c r="D95" i="114" a="1"/>
  <c r="D95" i="114" s="1"/>
  <c r="I94" i="114" a="1"/>
  <c r="I94" i="114" s="1"/>
  <c r="H94" i="114" a="1"/>
  <c r="H94" i="114" s="1"/>
  <c r="G94" i="114" a="1"/>
  <c r="G94" i="114" s="1"/>
  <c r="F94" i="114" a="1"/>
  <c r="F94" i="114" s="1"/>
  <c r="O94" i="114" s="1"/>
  <c r="E94" i="114" a="1"/>
  <c r="E94" i="114" s="1"/>
  <c r="N94" i="114" s="1"/>
  <c r="D94" i="114" a="1"/>
  <c r="D94" i="114" s="1"/>
  <c r="I93" i="114" a="1"/>
  <c r="I93" i="114" s="1"/>
  <c r="H93" i="114" a="1"/>
  <c r="H93" i="114" s="1"/>
  <c r="G93" i="114" a="1"/>
  <c r="G93" i="114" s="1"/>
  <c r="F93" i="114" a="1"/>
  <c r="F93" i="114" s="1"/>
  <c r="O93" i="114" s="1"/>
  <c r="E93" i="114" a="1"/>
  <c r="E93" i="114" s="1"/>
  <c r="N93" i="114" s="1"/>
  <c r="D93" i="114" a="1"/>
  <c r="D93" i="114" s="1"/>
  <c r="I92" i="114" a="1"/>
  <c r="I92" i="114" s="1"/>
  <c r="H92" i="114" a="1"/>
  <c r="H92" i="114" s="1"/>
  <c r="G92" i="114" a="1"/>
  <c r="G92" i="114" s="1"/>
  <c r="F92" i="114" a="1"/>
  <c r="F92" i="114" s="1"/>
  <c r="O92" i="114" s="1"/>
  <c r="E92" i="114" a="1"/>
  <c r="E92" i="114" s="1"/>
  <c r="N92" i="114" s="1"/>
  <c r="D92" i="114" a="1"/>
  <c r="D92" i="114" s="1"/>
  <c r="I91" i="114" a="1"/>
  <c r="I91" i="114" s="1"/>
  <c r="H91" i="114" a="1"/>
  <c r="H91" i="114" s="1"/>
  <c r="G91" i="114" a="1"/>
  <c r="G91" i="114" s="1"/>
  <c r="F91" i="114" a="1"/>
  <c r="F91" i="114" s="1"/>
  <c r="O91" i="114" s="1"/>
  <c r="E91" i="114" a="1"/>
  <c r="E91" i="114" s="1"/>
  <c r="N91" i="114" s="1"/>
  <c r="P90" i="114" s="1"/>
  <c r="D91" i="114" a="1"/>
  <c r="D91" i="114" s="1"/>
  <c r="I90" i="114" a="1"/>
  <c r="I90" i="114" s="1"/>
  <c r="H90" i="114" a="1"/>
  <c r="H90" i="114" s="1"/>
  <c r="G90" i="114" a="1"/>
  <c r="G90" i="114" s="1"/>
  <c r="F90" i="114" a="1"/>
  <c r="F90" i="114" s="1"/>
  <c r="L90" i="114" s="1"/>
  <c r="E90" i="114" a="1"/>
  <c r="E90" i="114" s="1"/>
  <c r="D90" i="114" a="1"/>
  <c r="D90" i="114" s="1"/>
  <c r="I86" i="114" a="1"/>
  <c r="I86" i="114" s="1"/>
  <c r="H86" i="114" a="1"/>
  <c r="H86" i="114" s="1"/>
  <c r="G86" i="114" a="1"/>
  <c r="G86" i="114" s="1"/>
  <c r="F86" i="114" a="1"/>
  <c r="F86" i="114" s="1"/>
  <c r="E86" i="114" a="1"/>
  <c r="E86" i="114" s="1"/>
  <c r="D86" i="114" a="1"/>
  <c r="D86" i="114" s="1"/>
  <c r="I85" i="114" a="1"/>
  <c r="I85" i="114" s="1"/>
  <c r="H85" i="114" a="1"/>
  <c r="H85" i="114" s="1"/>
  <c r="G85" i="114" a="1"/>
  <c r="G85" i="114" s="1"/>
  <c r="F85" i="114" a="1"/>
  <c r="F85" i="114" s="1"/>
  <c r="E85" i="114" a="1"/>
  <c r="E85" i="114" s="1"/>
  <c r="D85" i="114" a="1"/>
  <c r="D85" i="114" s="1"/>
  <c r="I84" i="114" a="1"/>
  <c r="I84" i="114" s="1"/>
  <c r="H84" i="114" a="1"/>
  <c r="H84" i="114" s="1"/>
  <c r="G84" i="114" a="1"/>
  <c r="G84" i="114" s="1"/>
  <c r="F84" i="114" a="1"/>
  <c r="F84" i="114" s="1"/>
  <c r="E84" i="114" a="1"/>
  <c r="E84" i="114" s="1"/>
  <c r="D84" i="114" a="1"/>
  <c r="D84" i="114" s="1"/>
  <c r="I83" i="114" a="1"/>
  <c r="I83" i="114" s="1"/>
  <c r="H83" i="114" a="1"/>
  <c r="H83" i="114" s="1"/>
  <c r="G83" i="114" a="1"/>
  <c r="G83" i="114" s="1"/>
  <c r="F83" i="114" a="1"/>
  <c r="F83" i="114" s="1"/>
  <c r="E83" i="114" a="1"/>
  <c r="E83" i="114" s="1"/>
  <c r="D83" i="114" a="1"/>
  <c r="D83" i="114" s="1"/>
  <c r="I80" i="114" a="1"/>
  <c r="I80" i="114" s="1"/>
  <c r="H80" i="114" a="1"/>
  <c r="H80" i="114" s="1"/>
  <c r="G80" i="114" a="1"/>
  <c r="G80" i="114" s="1"/>
  <c r="F80" i="114" a="1"/>
  <c r="F80" i="114" s="1"/>
  <c r="E80" i="114" a="1"/>
  <c r="E80" i="114" s="1"/>
  <c r="D80" i="114" a="1"/>
  <c r="D80" i="114" s="1"/>
  <c r="I79" i="114" a="1"/>
  <c r="I79" i="114" s="1"/>
  <c r="H79" i="114" a="1"/>
  <c r="H79" i="114" s="1"/>
  <c r="G79" i="114" a="1"/>
  <c r="G79" i="114" s="1"/>
  <c r="F79" i="114" a="1"/>
  <c r="F79" i="114" s="1"/>
  <c r="E79" i="114" a="1"/>
  <c r="E79" i="114" s="1"/>
  <c r="D79" i="114" a="1"/>
  <c r="D79" i="114" s="1"/>
  <c r="I78" i="114" a="1"/>
  <c r="I78" i="114" s="1"/>
  <c r="H78" i="114" a="1"/>
  <c r="H78" i="114" s="1"/>
  <c r="G78" i="114"/>
  <c r="G78" i="114" a="1"/>
  <c r="F78" i="114" a="1"/>
  <c r="F78" i="114" s="1"/>
  <c r="E78" i="114" a="1"/>
  <c r="E78" i="114" s="1"/>
  <c r="D78" i="114" a="1"/>
  <c r="D78" i="114" s="1"/>
  <c r="I74" i="114" a="1"/>
  <c r="I74" i="114" s="1"/>
  <c r="H74" i="114" a="1"/>
  <c r="H74" i="114" s="1"/>
  <c r="G74" i="114" a="1"/>
  <c r="G74" i="114" s="1"/>
  <c r="F74" i="114" a="1"/>
  <c r="F74" i="114" s="1"/>
  <c r="E74" i="114" a="1"/>
  <c r="E74" i="114" s="1"/>
  <c r="D74" i="114" a="1"/>
  <c r="D74" i="114" s="1"/>
  <c r="I73" i="114" a="1"/>
  <c r="I73" i="114" s="1"/>
  <c r="H73" i="114" a="1"/>
  <c r="H73" i="114" s="1"/>
  <c r="G73" i="114" a="1"/>
  <c r="G73" i="114" s="1"/>
  <c r="F73" i="114" a="1"/>
  <c r="F73" i="114" s="1"/>
  <c r="E73" i="114" a="1"/>
  <c r="E73" i="114" s="1"/>
  <c r="D73" i="114" a="1"/>
  <c r="D73" i="114" s="1"/>
  <c r="I72" i="114" a="1"/>
  <c r="I72" i="114" s="1"/>
  <c r="H72" i="114" a="1"/>
  <c r="H72" i="114" s="1"/>
  <c r="G72" i="114" a="1"/>
  <c r="G72" i="114" s="1"/>
  <c r="F72" i="114" a="1"/>
  <c r="F72" i="114" s="1"/>
  <c r="E72" i="114" a="1"/>
  <c r="E72" i="114" s="1"/>
  <c r="D72" i="114" a="1"/>
  <c r="D72" i="114" s="1"/>
  <c r="I71" i="114" a="1"/>
  <c r="I71" i="114" s="1"/>
  <c r="H71" i="114" a="1"/>
  <c r="H71" i="114" s="1"/>
  <c r="G71" i="114" a="1"/>
  <c r="G71" i="114" s="1"/>
  <c r="F71" i="114" a="1"/>
  <c r="F71" i="114" s="1"/>
  <c r="E71" i="114" a="1"/>
  <c r="E71" i="114" s="1"/>
  <c r="D71" i="114" a="1"/>
  <c r="D71" i="114" s="1"/>
  <c r="I70" i="114" a="1"/>
  <c r="I70" i="114" s="1"/>
  <c r="H70" i="114" a="1"/>
  <c r="H70" i="114" s="1"/>
  <c r="G70" i="114" a="1"/>
  <c r="G70" i="114" s="1"/>
  <c r="F70" i="114" a="1"/>
  <c r="F70" i="114" s="1"/>
  <c r="E70" i="114" a="1"/>
  <c r="E70" i="114" s="1"/>
  <c r="D70" i="114" a="1"/>
  <c r="D70" i="114" s="1"/>
  <c r="I69" i="114" a="1"/>
  <c r="I69" i="114" s="1"/>
  <c r="H69" i="114" a="1"/>
  <c r="H69" i="114" s="1"/>
  <c r="G69" i="114" a="1"/>
  <c r="G69" i="114" s="1"/>
  <c r="F69" i="114" a="1"/>
  <c r="F69" i="114" s="1"/>
  <c r="E69" i="114" a="1"/>
  <c r="E69" i="114" s="1"/>
  <c r="D69" i="114" a="1"/>
  <c r="D69" i="114" s="1"/>
  <c r="I68" i="114" a="1"/>
  <c r="I68" i="114" s="1"/>
  <c r="H68" i="114" a="1"/>
  <c r="H68" i="114" s="1"/>
  <c r="G68" i="114" a="1"/>
  <c r="G68" i="114" s="1"/>
  <c r="F68" i="114" a="1"/>
  <c r="F68" i="114" s="1"/>
  <c r="E68" i="114" a="1"/>
  <c r="E68" i="114" s="1"/>
  <c r="D68" i="114" a="1"/>
  <c r="D68" i="114" s="1"/>
  <c r="I67" i="114" a="1"/>
  <c r="I67" i="114" s="1"/>
  <c r="H67" i="114" a="1"/>
  <c r="H67" i="114" s="1"/>
  <c r="G67" i="114" a="1"/>
  <c r="G67" i="114" s="1"/>
  <c r="F67" i="114" a="1"/>
  <c r="F67" i="114" s="1"/>
  <c r="E67" i="114" a="1"/>
  <c r="E67" i="114" s="1"/>
  <c r="D67" i="114" a="1"/>
  <c r="D67" i="114" s="1"/>
  <c r="I66" i="114" a="1"/>
  <c r="I66" i="114" s="1"/>
  <c r="H66" i="114" a="1"/>
  <c r="H66" i="114" s="1"/>
  <c r="G66" i="114" a="1"/>
  <c r="G66" i="114" s="1"/>
  <c r="F66" i="114" a="1"/>
  <c r="F66" i="114" s="1"/>
  <c r="E66" i="114" a="1"/>
  <c r="E66" i="114" s="1"/>
  <c r="D66" i="114" a="1"/>
  <c r="D66" i="114" s="1"/>
  <c r="I65" i="114" a="1"/>
  <c r="I65" i="114" s="1"/>
  <c r="H65" i="114" a="1"/>
  <c r="H65" i="114" s="1"/>
  <c r="G65" i="114" a="1"/>
  <c r="G65" i="114" s="1"/>
  <c r="F65" i="114" a="1"/>
  <c r="F65" i="114" s="1"/>
  <c r="E65" i="114" a="1"/>
  <c r="E65" i="114" s="1"/>
  <c r="D65" i="114" a="1"/>
  <c r="D65" i="114" s="1"/>
  <c r="I64" i="114" a="1"/>
  <c r="I64" i="114" s="1"/>
  <c r="H64" i="114" a="1"/>
  <c r="H64" i="114" s="1"/>
  <c r="G64" i="114" a="1"/>
  <c r="G64" i="114" s="1"/>
  <c r="F64" i="114" a="1"/>
  <c r="F64" i="114" s="1"/>
  <c r="E64" i="114" a="1"/>
  <c r="E64" i="114" s="1"/>
  <c r="D64" i="114" a="1"/>
  <c r="D64" i="114" s="1"/>
  <c r="I63" i="114" a="1"/>
  <c r="I63" i="114" s="1"/>
  <c r="H63" i="114" a="1"/>
  <c r="H63" i="114" s="1"/>
  <c r="G63" i="114" a="1"/>
  <c r="G63" i="114" s="1"/>
  <c r="F63" i="114" a="1"/>
  <c r="F63" i="114" s="1"/>
  <c r="E63" i="114" a="1"/>
  <c r="E63" i="114" s="1"/>
  <c r="D63" i="114" a="1"/>
  <c r="D63" i="114" s="1"/>
  <c r="I62" i="114" a="1"/>
  <c r="I62" i="114" s="1"/>
  <c r="H62" i="114" a="1"/>
  <c r="H62" i="114" s="1"/>
  <c r="G62" i="114" a="1"/>
  <c r="G62" i="114" s="1"/>
  <c r="F62" i="114" a="1"/>
  <c r="F62" i="114" s="1"/>
  <c r="E62" i="114" a="1"/>
  <c r="E62" i="114" s="1"/>
  <c r="D62" i="114" a="1"/>
  <c r="D62" i="114" s="1"/>
  <c r="I61" i="114" a="1"/>
  <c r="I61" i="114" s="1"/>
  <c r="H61" i="114" a="1"/>
  <c r="H61" i="114" s="1"/>
  <c r="G61" i="114" a="1"/>
  <c r="G61" i="114" s="1"/>
  <c r="F61" i="114" a="1"/>
  <c r="F61" i="114" s="1"/>
  <c r="E61" i="114" a="1"/>
  <c r="E61" i="114" s="1"/>
  <c r="D61" i="114" a="1"/>
  <c r="D61" i="114" s="1"/>
  <c r="I60" i="114" a="1"/>
  <c r="I60" i="114" s="1"/>
  <c r="H60" i="114" a="1"/>
  <c r="H60" i="114" s="1"/>
  <c r="G60" i="114" a="1"/>
  <c r="G60" i="114" s="1"/>
  <c r="F60" i="114" a="1"/>
  <c r="F60" i="114" s="1"/>
  <c r="E60" i="114" a="1"/>
  <c r="E60" i="114" s="1"/>
  <c r="D60" i="114" a="1"/>
  <c r="D60" i="114" s="1"/>
  <c r="I59" i="114" a="1"/>
  <c r="I59" i="114" s="1"/>
  <c r="H59" i="114" a="1"/>
  <c r="H59" i="114" s="1"/>
  <c r="G59" i="114" a="1"/>
  <c r="G59" i="114" s="1"/>
  <c r="F59" i="114" a="1"/>
  <c r="F59" i="114" s="1"/>
  <c r="E59" i="114" a="1"/>
  <c r="E59" i="114" s="1"/>
  <c r="D59" i="114" a="1"/>
  <c r="D59" i="114" s="1"/>
  <c r="I58" i="114" a="1"/>
  <c r="I58" i="114" s="1"/>
  <c r="H58" i="114" a="1"/>
  <c r="H58" i="114" s="1"/>
  <c r="G58" i="114" a="1"/>
  <c r="G58" i="114" s="1"/>
  <c r="F58" i="114" a="1"/>
  <c r="F58" i="114" s="1"/>
  <c r="E58" i="114" a="1"/>
  <c r="E58" i="114" s="1"/>
  <c r="D58" i="114" a="1"/>
  <c r="D58" i="114" s="1"/>
  <c r="I57" i="114" a="1"/>
  <c r="I57" i="114" s="1"/>
  <c r="H57" i="114" a="1"/>
  <c r="H57" i="114" s="1"/>
  <c r="G57" i="114" a="1"/>
  <c r="G57" i="114" s="1"/>
  <c r="F57" i="114" a="1"/>
  <c r="F57" i="114" s="1"/>
  <c r="E57" i="114" a="1"/>
  <c r="E57" i="114" s="1"/>
  <c r="D57" i="114" a="1"/>
  <c r="D57" i="114" s="1"/>
  <c r="I56" i="114" a="1"/>
  <c r="I56" i="114" s="1"/>
  <c r="H56" i="114" a="1"/>
  <c r="H56" i="114" s="1"/>
  <c r="G56" i="114" a="1"/>
  <c r="G56" i="114" s="1"/>
  <c r="F56" i="114" a="1"/>
  <c r="F56" i="114" s="1"/>
  <c r="E56" i="114" a="1"/>
  <c r="E56" i="114" s="1"/>
  <c r="D56" i="114" a="1"/>
  <c r="D56" i="114" s="1"/>
  <c r="I55" i="114" a="1"/>
  <c r="I55" i="114" s="1"/>
  <c r="H55" i="114" a="1"/>
  <c r="H55" i="114" s="1"/>
  <c r="G55" i="114" a="1"/>
  <c r="G55" i="114" s="1"/>
  <c r="F55" i="114" a="1"/>
  <c r="F55" i="114" s="1"/>
  <c r="E55" i="114" a="1"/>
  <c r="E55" i="114" s="1"/>
  <c r="D55" i="114" a="1"/>
  <c r="D55" i="114" s="1"/>
  <c r="I54" i="114" a="1"/>
  <c r="I54" i="114" s="1"/>
  <c r="H54" i="114" a="1"/>
  <c r="H54" i="114" s="1"/>
  <c r="G54" i="114" a="1"/>
  <c r="G54" i="114" s="1"/>
  <c r="F54" i="114" a="1"/>
  <c r="F54" i="114" s="1"/>
  <c r="E54" i="114" a="1"/>
  <c r="E54" i="114" s="1"/>
  <c r="D54" i="114" a="1"/>
  <c r="D54" i="114" s="1"/>
  <c r="I53" i="114" a="1"/>
  <c r="I53" i="114" s="1"/>
  <c r="H53" i="114" a="1"/>
  <c r="H53" i="114" s="1"/>
  <c r="G53" i="114" a="1"/>
  <c r="G53" i="114" s="1"/>
  <c r="F53" i="114" a="1"/>
  <c r="F53" i="114" s="1"/>
  <c r="E53" i="114" a="1"/>
  <c r="E53" i="114" s="1"/>
  <c r="D53" i="114" a="1"/>
  <c r="D53" i="114" s="1"/>
  <c r="I52" i="114" a="1"/>
  <c r="I52" i="114" s="1"/>
  <c r="H52" i="114" a="1"/>
  <c r="H52" i="114" s="1"/>
  <c r="G52" i="114" a="1"/>
  <c r="G52" i="114" s="1"/>
  <c r="F52" i="114" a="1"/>
  <c r="F52" i="114" s="1"/>
  <c r="E52" i="114" a="1"/>
  <c r="E52" i="114" s="1"/>
  <c r="D52" i="114" a="1"/>
  <c r="D52" i="114" s="1"/>
  <c r="I51" i="114" a="1"/>
  <c r="I51" i="114" s="1"/>
  <c r="H51" i="114" a="1"/>
  <c r="H51" i="114" s="1"/>
  <c r="G51" i="114" a="1"/>
  <c r="G51" i="114" s="1"/>
  <c r="F51" i="114" a="1"/>
  <c r="F51" i="114" s="1"/>
  <c r="E51" i="114" a="1"/>
  <c r="E51" i="114" s="1"/>
  <c r="D51" i="114" a="1"/>
  <c r="D51" i="114" s="1"/>
  <c r="I50" i="114" a="1"/>
  <c r="I50" i="114" s="1"/>
  <c r="H50" i="114" a="1"/>
  <c r="H50" i="114" s="1"/>
  <c r="G50" i="114" a="1"/>
  <c r="G50" i="114" s="1"/>
  <c r="F50" i="114" a="1"/>
  <c r="F50" i="114" s="1"/>
  <c r="E50" i="114" a="1"/>
  <c r="E50" i="114" s="1"/>
  <c r="D50" i="114" a="1"/>
  <c r="D50" i="114" s="1"/>
  <c r="I49" i="114" a="1"/>
  <c r="I49" i="114" s="1"/>
  <c r="H49" i="114" a="1"/>
  <c r="H49" i="114" s="1"/>
  <c r="G49" i="114" a="1"/>
  <c r="G49" i="114" s="1"/>
  <c r="F49" i="114" a="1"/>
  <c r="F49" i="114" s="1"/>
  <c r="E49" i="114" a="1"/>
  <c r="E49" i="114" s="1"/>
  <c r="D49" i="114" a="1"/>
  <c r="D49" i="114" s="1"/>
  <c r="I48" i="114" a="1"/>
  <c r="I48" i="114" s="1"/>
  <c r="H48" i="114" a="1"/>
  <c r="H48" i="114" s="1"/>
  <c r="G48" i="114" a="1"/>
  <c r="G48" i="114" s="1"/>
  <c r="F48" i="114" a="1"/>
  <c r="F48" i="114" s="1"/>
  <c r="E48" i="114" a="1"/>
  <c r="E48" i="114" s="1"/>
  <c r="D48" i="114" a="1"/>
  <c r="D48" i="114" s="1"/>
  <c r="I47" i="114" a="1"/>
  <c r="I47" i="114" s="1"/>
  <c r="H47" i="114" a="1"/>
  <c r="H47" i="114" s="1"/>
  <c r="G47" i="114" a="1"/>
  <c r="G47" i="114" s="1"/>
  <c r="F47" i="114" a="1"/>
  <c r="F47" i="114" s="1"/>
  <c r="E47" i="114" a="1"/>
  <c r="E47" i="114" s="1"/>
  <c r="D47" i="114" a="1"/>
  <c r="D47" i="114" s="1"/>
  <c r="I46" i="114" a="1"/>
  <c r="I46" i="114" s="1"/>
  <c r="H46" i="114" a="1"/>
  <c r="H46" i="114" s="1"/>
  <c r="G46" i="114" a="1"/>
  <c r="G46" i="114" s="1"/>
  <c r="F46" i="114" a="1"/>
  <c r="F46" i="114" s="1"/>
  <c r="E46" i="114" a="1"/>
  <c r="E46" i="114" s="1"/>
  <c r="D46" i="114" a="1"/>
  <c r="D46" i="114" s="1"/>
  <c r="I45" i="114" a="1"/>
  <c r="I45" i="114" s="1"/>
  <c r="H45" i="114" a="1"/>
  <c r="H45" i="114" s="1"/>
  <c r="G45" i="114" a="1"/>
  <c r="G45" i="114" s="1"/>
  <c r="F45" i="114" a="1"/>
  <c r="F45" i="114" s="1"/>
  <c r="E45" i="114" a="1"/>
  <c r="E45" i="114" s="1"/>
  <c r="D45" i="114" a="1"/>
  <c r="D45" i="114" s="1"/>
  <c r="I44" i="114" a="1"/>
  <c r="I44" i="114" s="1"/>
  <c r="H44" i="114" a="1"/>
  <c r="H44" i="114" s="1"/>
  <c r="G44" i="114" a="1"/>
  <c r="G44" i="114" s="1"/>
  <c r="F44" i="114" a="1"/>
  <c r="F44" i="114" s="1"/>
  <c r="E44" i="114" a="1"/>
  <c r="E44" i="114" s="1"/>
  <c r="D44" i="114" a="1"/>
  <c r="D44" i="114" s="1"/>
  <c r="I43" i="114" a="1"/>
  <c r="I43" i="114" s="1"/>
  <c r="H43" i="114" a="1"/>
  <c r="H43" i="114" s="1"/>
  <c r="G43" i="114" a="1"/>
  <c r="G43" i="114" s="1"/>
  <c r="F43" i="114" a="1"/>
  <c r="F43" i="114" s="1"/>
  <c r="E43" i="114" a="1"/>
  <c r="E43" i="114" s="1"/>
  <c r="D43" i="114" a="1"/>
  <c r="D43" i="114" s="1"/>
  <c r="I42" i="114" a="1"/>
  <c r="I42" i="114" s="1"/>
  <c r="H42" i="114" a="1"/>
  <c r="H42" i="114" s="1"/>
  <c r="G42" i="114" a="1"/>
  <c r="G42" i="114" s="1"/>
  <c r="F42" i="114" a="1"/>
  <c r="F42" i="114" s="1"/>
  <c r="E42" i="114" a="1"/>
  <c r="E42" i="114" s="1"/>
  <c r="D42" i="114" a="1"/>
  <c r="D42" i="114" s="1"/>
  <c r="I41" i="114" a="1"/>
  <c r="I41" i="114" s="1"/>
  <c r="H41" i="114" a="1"/>
  <c r="H41" i="114" s="1"/>
  <c r="G41" i="114" a="1"/>
  <c r="G41" i="114" s="1"/>
  <c r="F41" i="114" a="1"/>
  <c r="F41" i="114" s="1"/>
  <c r="E41" i="114" a="1"/>
  <c r="E41" i="114" s="1"/>
  <c r="D41" i="114" a="1"/>
  <c r="D41" i="114" s="1"/>
  <c r="I40" i="114" a="1"/>
  <c r="I40" i="114" s="1"/>
  <c r="H40" i="114" a="1"/>
  <c r="H40" i="114" s="1"/>
  <c r="G40" i="114" a="1"/>
  <c r="G40" i="114" s="1"/>
  <c r="F40" i="114" a="1"/>
  <c r="F40" i="114" s="1"/>
  <c r="E40" i="114" a="1"/>
  <c r="E40" i="114" s="1"/>
  <c r="D40" i="114" a="1"/>
  <c r="D40" i="114" s="1"/>
  <c r="I39" i="114" a="1"/>
  <c r="I39" i="114" s="1"/>
  <c r="H39" i="114" a="1"/>
  <c r="H39" i="114" s="1"/>
  <c r="G39" i="114" a="1"/>
  <c r="G39" i="114" s="1"/>
  <c r="F39" i="114" a="1"/>
  <c r="F39" i="114" s="1"/>
  <c r="E39" i="114" a="1"/>
  <c r="E39" i="114" s="1"/>
  <c r="D39" i="114" a="1"/>
  <c r="D39" i="114" s="1"/>
  <c r="I38" i="114" a="1"/>
  <c r="I38" i="114" s="1"/>
  <c r="H38" i="114" a="1"/>
  <c r="H38" i="114" s="1"/>
  <c r="G38" i="114" a="1"/>
  <c r="G38" i="114" s="1"/>
  <c r="F38" i="114" a="1"/>
  <c r="F38" i="114" s="1"/>
  <c r="E38" i="114" a="1"/>
  <c r="E38" i="114" s="1"/>
  <c r="D38" i="114" a="1"/>
  <c r="D38" i="114" s="1"/>
  <c r="I37" i="114" a="1"/>
  <c r="I37" i="114" s="1"/>
  <c r="H37" i="114" a="1"/>
  <c r="H37" i="114" s="1"/>
  <c r="G37" i="114" a="1"/>
  <c r="G37" i="114" s="1"/>
  <c r="F37" i="114" a="1"/>
  <c r="F37" i="114" s="1"/>
  <c r="E37" i="114" a="1"/>
  <c r="E37" i="114" s="1"/>
  <c r="D37" i="114" a="1"/>
  <c r="D37" i="114" s="1"/>
  <c r="I36" i="114" a="1"/>
  <c r="I36" i="114" s="1"/>
  <c r="H36" i="114" a="1"/>
  <c r="H36" i="114" s="1"/>
  <c r="G36" i="114" a="1"/>
  <c r="G36" i="114" s="1"/>
  <c r="F36" i="114" a="1"/>
  <c r="F36" i="114" s="1"/>
  <c r="E36" i="114" a="1"/>
  <c r="E36" i="114" s="1"/>
  <c r="D36" i="114" a="1"/>
  <c r="D36" i="114" s="1"/>
  <c r="I35" i="114" a="1"/>
  <c r="I35" i="114" s="1"/>
  <c r="H35" i="114" a="1"/>
  <c r="H35" i="114" s="1"/>
  <c r="G35" i="114" a="1"/>
  <c r="G35" i="114" s="1"/>
  <c r="F35" i="114" a="1"/>
  <c r="F35" i="114" s="1"/>
  <c r="E35" i="114" a="1"/>
  <c r="E35" i="114" s="1"/>
  <c r="D35" i="114" a="1"/>
  <c r="D35" i="114" s="1"/>
  <c r="I34" i="114" a="1"/>
  <c r="I34" i="114" s="1"/>
  <c r="H34" i="114" a="1"/>
  <c r="H34" i="114" s="1"/>
  <c r="G34" i="114" a="1"/>
  <c r="G34" i="114" s="1"/>
  <c r="F34" i="114" a="1"/>
  <c r="F34" i="114" s="1"/>
  <c r="E34" i="114" a="1"/>
  <c r="E34" i="114" s="1"/>
  <c r="D34" i="114" a="1"/>
  <c r="D34" i="114" s="1"/>
  <c r="R85" i="113" a="1"/>
  <c r="R85" i="113" s="1"/>
  <c r="N85" i="113" a="1"/>
  <c r="N85" i="113" s="1"/>
  <c r="H85" i="113" a="1"/>
  <c r="H85" i="113" s="1"/>
  <c r="D85" i="113" a="1"/>
  <c r="D85" i="113" s="1"/>
  <c r="O83" i="113" a="1"/>
  <c r="O83" i="113" s="1"/>
  <c r="E83" i="113" a="1"/>
  <c r="E83" i="113" s="1"/>
  <c r="O82" i="113" a="1"/>
  <c r="O82" i="113" s="1"/>
  <c r="E82" i="113" a="1"/>
  <c r="E82" i="113" s="1"/>
  <c r="N78" i="113" a="1"/>
  <c r="N78" i="113" s="1"/>
  <c r="D78" i="113" a="1"/>
  <c r="D78" i="113" s="1"/>
  <c r="N77" i="113" a="1"/>
  <c r="N77" i="113" s="1"/>
  <c r="D77" i="113" a="1"/>
  <c r="D77" i="113" s="1"/>
  <c r="I72" i="113"/>
  <c r="I71" i="113"/>
  <c r="I70" i="113"/>
  <c r="S67" i="113"/>
  <c r="Q67" i="113" a="1"/>
  <c r="Q67" i="113" s="1"/>
  <c r="N67" i="113" a="1"/>
  <c r="N67" i="113" s="1"/>
  <c r="I67" i="113"/>
  <c r="G67" i="113" a="1"/>
  <c r="G67" i="113" s="1"/>
  <c r="D67" i="113" a="1"/>
  <c r="D67" i="113" s="1"/>
  <c r="O65" i="113" a="1"/>
  <c r="O65" i="113" s="1"/>
  <c r="E65" i="113" a="1"/>
  <c r="E65" i="113" s="1"/>
  <c r="P74" i="113" s="1"/>
  <c r="O64" i="113"/>
  <c r="O64" i="113" a="1"/>
  <c r="E64" i="113" a="1"/>
  <c r="E64" i="113" s="1"/>
  <c r="N60" i="113" a="1"/>
  <c r="N60" i="113" s="1"/>
  <c r="D60" i="113" a="1"/>
  <c r="D60" i="113" s="1"/>
  <c r="N59" i="113" a="1"/>
  <c r="N59" i="113" s="1"/>
  <c r="D59" i="113" a="1"/>
  <c r="D59" i="113" s="1"/>
  <c r="I52" i="113"/>
  <c r="I51" i="113"/>
  <c r="Q48" i="113" a="1"/>
  <c r="Q48" i="113" s="1"/>
  <c r="N48" i="113" a="1"/>
  <c r="N48" i="113" s="1"/>
  <c r="G48" i="113" a="1"/>
  <c r="G48" i="113" s="1"/>
  <c r="D48" i="113" a="1"/>
  <c r="D48" i="113" s="1"/>
  <c r="O46" i="113" a="1"/>
  <c r="O46" i="113" s="1"/>
  <c r="E46" i="113" a="1"/>
  <c r="E46" i="113" s="1"/>
  <c r="O45" i="113" a="1"/>
  <c r="O45" i="113" s="1"/>
  <c r="E45" i="113" a="1"/>
  <c r="E45" i="113" s="1"/>
  <c r="N41" i="113" a="1"/>
  <c r="N41" i="113" s="1"/>
  <c r="D41" i="113" a="1"/>
  <c r="D41" i="113" s="1"/>
  <c r="N40" i="113" a="1"/>
  <c r="N40" i="113" s="1"/>
  <c r="D40" i="113" a="1"/>
  <c r="D40" i="113" s="1"/>
  <c r="S32" i="113"/>
  <c r="Q32" i="113" a="1"/>
  <c r="Q32" i="113" s="1"/>
  <c r="N32" i="113" a="1"/>
  <c r="N32" i="113" s="1"/>
  <c r="I32" i="113"/>
  <c r="G32" i="113" a="1"/>
  <c r="G32" i="113" s="1"/>
  <c r="D32" i="113" a="1"/>
  <c r="D32" i="113" s="1"/>
  <c r="O30" i="113" a="1"/>
  <c r="O30" i="113" s="1"/>
  <c r="P35" i="113" s="1"/>
  <c r="E30" i="113" a="1"/>
  <c r="E30" i="113" s="1"/>
  <c r="F35" i="113" s="1"/>
  <c r="O29" i="113" a="1"/>
  <c r="O29" i="113" s="1"/>
  <c r="E29" i="113" a="1"/>
  <c r="E29" i="113" s="1"/>
  <c r="N25" i="113" a="1"/>
  <c r="N25" i="113" s="1"/>
  <c r="D25" i="113" a="1"/>
  <c r="D25" i="113" s="1"/>
  <c r="N24" i="113" a="1"/>
  <c r="N24" i="113" s="1"/>
  <c r="D24" i="113" a="1"/>
  <c r="D24" i="113" s="1"/>
  <c r="J16" i="113"/>
  <c r="T13" i="113"/>
  <c r="R13" i="113" a="1"/>
  <c r="R13" i="113" s="1"/>
  <c r="N13" i="113" a="1"/>
  <c r="N13" i="113" s="1"/>
  <c r="J13" i="113"/>
  <c r="H13" i="113" a="1"/>
  <c r="H13" i="113" s="1"/>
  <c r="D13" i="113" a="1"/>
  <c r="D13" i="113" s="1"/>
  <c r="O11" i="113" a="1"/>
  <c r="O11" i="113" s="1"/>
  <c r="E11" i="113" a="1"/>
  <c r="E11" i="113" s="1"/>
  <c r="O10" i="113" a="1"/>
  <c r="O10" i="113" s="1"/>
  <c r="E10" i="113" a="1"/>
  <c r="E10" i="113" s="1"/>
  <c r="N6" i="113" a="1"/>
  <c r="N6" i="113" s="1"/>
  <c r="D6" i="113" a="1"/>
  <c r="D6" i="113" s="1"/>
  <c r="N5" i="113" a="1"/>
  <c r="N5" i="113" s="1"/>
  <c r="D5" i="113" a="1"/>
  <c r="D5" i="113" s="1"/>
  <c r="J632" i="112" a="1"/>
  <c r="J632" i="112" s="1"/>
  <c r="J629" i="112" a="1"/>
  <c r="J629" i="112" s="1"/>
  <c r="J634" i="112" a="1"/>
  <c r="J634" i="112" s="1"/>
  <c r="G601" i="112" a="1"/>
  <c r="G601" i="112" s="1"/>
  <c r="D601" i="112" a="1"/>
  <c r="D601" i="112" s="1"/>
  <c r="E599" i="112" a="1"/>
  <c r="E599" i="112" s="1"/>
  <c r="E598" i="112" a="1"/>
  <c r="E598" i="112" s="1"/>
  <c r="D593" i="112" a="1"/>
  <c r="D593" i="112" s="1"/>
  <c r="D592" i="112" a="1"/>
  <c r="D592" i="112" s="1"/>
  <c r="E586" i="112" a="1"/>
  <c r="E586" i="112" s="1"/>
  <c r="F588" i="112" s="1"/>
  <c r="E585" i="112" a="1"/>
  <c r="E585" i="112" s="1"/>
  <c r="D583" i="112" a="1"/>
  <c r="D583" i="112" s="1"/>
  <c r="D582" i="112" a="1"/>
  <c r="D582" i="112" s="1"/>
  <c r="N578" i="112" a="1"/>
  <c r="N578" i="112" s="1"/>
  <c r="F578" i="112" a="1"/>
  <c r="F578" i="112" s="1"/>
  <c r="L575" i="112" a="1"/>
  <c r="L575" i="112" s="1"/>
  <c r="D575" i="112" a="1"/>
  <c r="D575" i="112" s="1"/>
  <c r="P569" i="112" a="1"/>
  <c r="P569" i="112" s="1"/>
  <c r="L569" i="112" a="1"/>
  <c r="L569" i="112" s="1"/>
  <c r="H569" i="112" a="1"/>
  <c r="H569" i="112" s="1"/>
  <c r="D569" i="112" a="1"/>
  <c r="D569" i="112" s="1"/>
  <c r="E565" i="112" a="1"/>
  <c r="E565" i="112" s="1"/>
  <c r="N573" i="112" s="1"/>
  <c r="E564" i="112" a="1"/>
  <c r="E564" i="112" s="1"/>
  <c r="D560" i="112" a="1"/>
  <c r="D560" i="112" s="1"/>
  <c r="D559" i="112" a="1"/>
  <c r="D559" i="112" s="1"/>
  <c r="I553" i="112"/>
  <c r="I549" i="112"/>
  <c r="I548" i="112"/>
  <c r="I547" i="112"/>
  <c r="G547" i="112" a="1"/>
  <c r="G547" i="112" s="1"/>
  <c r="D547" i="112" a="1"/>
  <c r="D547" i="112" s="1"/>
  <c r="E545" i="112" a="1"/>
  <c r="E545" i="112" s="1"/>
  <c r="E544" i="112" a="1"/>
  <c r="E544" i="112" s="1"/>
  <c r="D539" i="112" a="1"/>
  <c r="D539" i="112" s="1"/>
  <c r="D538" i="112" a="1"/>
  <c r="D538" i="112" s="1"/>
  <c r="D537" i="112" a="1"/>
  <c r="D537" i="112" s="1"/>
  <c r="I531" i="112"/>
  <c r="I529" i="112"/>
  <c r="G529" i="112" a="1"/>
  <c r="G529" i="112" s="1"/>
  <c r="D529" i="112" a="1"/>
  <c r="D529" i="112" s="1"/>
  <c r="E527" i="112" a="1"/>
  <c r="E527" i="112" s="1"/>
  <c r="E526" i="112" a="1"/>
  <c r="E526" i="112" s="1"/>
  <c r="D522" i="112" a="1"/>
  <c r="D522" i="112" s="1"/>
  <c r="D521" i="112" a="1"/>
  <c r="D521" i="112" s="1"/>
  <c r="G515" i="112" a="1"/>
  <c r="G515" i="112" s="1"/>
  <c r="D515" i="112" a="1"/>
  <c r="D515" i="112" s="1"/>
  <c r="E513" i="112" a="1"/>
  <c r="E513" i="112" s="1"/>
  <c r="E512" i="112" a="1"/>
  <c r="E512" i="112" s="1"/>
  <c r="D507" i="112" a="1"/>
  <c r="D507" i="112" s="1"/>
  <c r="D506" i="112" a="1"/>
  <c r="D506" i="112" s="1"/>
  <c r="K499" i="112" a="1"/>
  <c r="K499" i="112" s="1"/>
  <c r="K498" i="112" a="1"/>
  <c r="K498" i="112" s="1"/>
  <c r="K497" i="112" a="1"/>
  <c r="K497" i="112" s="1"/>
  <c r="K496" i="112" a="1"/>
  <c r="K496" i="112" s="1"/>
  <c r="K494" i="112" a="1"/>
  <c r="K494" i="112" s="1"/>
  <c r="K492" i="112" a="1"/>
  <c r="K492" i="112" s="1"/>
  <c r="K491" i="112" a="1"/>
  <c r="K491" i="112" s="1"/>
  <c r="K495" i="112" a="1"/>
  <c r="K495" i="112" s="1"/>
  <c r="E481" i="112"/>
  <c r="I481" i="112" s="1" a="1"/>
  <c r="I481" i="112" s="1"/>
  <c r="E480" i="112"/>
  <c r="E479" i="112"/>
  <c r="I479" i="112" s="1" a="1"/>
  <c r="I479" i="112" s="1"/>
  <c r="E470" i="112"/>
  <c r="I470" i="112" s="1" a="1"/>
  <c r="I470" i="112" s="1"/>
  <c r="E469" i="112"/>
  <c r="E468" i="112"/>
  <c r="I468" i="112" s="1" a="1"/>
  <c r="I468" i="112" s="1"/>
  <c r="E467" i="112"/>
  <c r="E466" i="112"/>
  <c r="I466" i="112" s="1" a="1"/>
  <c r="I466" i="112" s="1"/>
  <c r="J453" i="112" a="1"/>
  <c r="J453" i="112" s="1"/>
  <c r="J452" i="112" a="1"/>
  <c r="J452" i="112" s="1"/>
  <c r="J450" i="112" a="1"/>
  <c r="J450" i="112" s="1"/>
  <c r="J449" i="112" a="1"/>
  <c r="J449" i="112" s="1"/>
  <c r="J451" i="112" a="1"/>
  <c r="J451" i="112" s="1"/>
  <c r="J435" i="112" a="1"/>
  <c r="J435" i="112" s="1"/>
  <c r="J434" i="112" a="1"/>
  <c r="J434" i="112" s="1"/>
  <c r="J432" i="112" a="1"/>
  <c r="J432" i="112" s="1"/>
  <c r="J431" i="112" a="1"/>
  <c r="J431" i="112" s="1"/>
  <c r="J433" i="112" a="1"/>
  <c r="J433" i="112" s="1"/>
  <c r="G424" i="112" a="1"/>
  <c r="G424" i="112" s="1"/>
  <c r="D424" i="112" a="1"/>
  <c r="D424" i="112" s="1"/>
  <c r="E422" i="112" a="1"/>
  <c r="E422" i="112" s="1"/>
  <c r="E421" i="112" a="1"/>
  <c r="E421" i="112" s="1"/>
  <c r="D416" i="112" a="1"/>
  <c r="D416" i="112" s="1"/>
  <c r="D415" i="112" a="1"/>
  <c r="D415" i="112" s="1"/>
  <c r="K408" i="112"/>
  <c r="J408" i="112" a="1"/>
  <c r="J408" i="112" s="1"/>
  <c r="K407" i="112"/>
  <c r="J406" i="112" a="1"/>
  <c r="J406" i="112" s="1"/>
  <c r="J405" i="112" a="1"/>
  <c r="J405" i="112" s="1"/>
  <c r="J404" i="112" a="1"/>
  <c r="J404" i="112" s="1"/>
  <c r="K403" i="112"/>
  <c r="J403" i="112" a="1"/>
  <c r="J403" i="112" s="1"/>
  <c r="K402" i="112"/>
  <c r="J402" i="112" a="1"/>
  <c r="J402" i="112" s="1"/>
  <c r="K401" i="112"/>
  <c r="J401" i="112" a="1"/>
  <c r="J401" i="112" s="1"/>
  <c r="J400" i="112" a="1"/>
  <c r="J400" i="112" s="1"/>
  <c r="J407" i="112" a="1"/>
  <c r="J407" i="112" s="1"/>
  <c r="F392" i="112" a="1"/>
  <c r="F392" i="112" s="1"/>
  <c r="D392" i="112" a="1"/>
  <c r="D392" i="112" s="1"/>
  <c r="E390" i="112" a="1"/>
  <c r="E390" i="112" s="1"/>
  <c r="E389" i="112" a="1"/>
  <c r="E389" i="112" s="1"/>
  <c r="D384" i="112" a="1"/>
  <c r="D384" i="112" s="1"/>
  <c r="D383" i="112" a="1"/>
  <c r="D383" i="112" s="1"/>
  <c r="F362" i="112" a="1"/>
  <c r="F362" i="112" s="1"/>
  <c r="D362" i="112" a="1"/>
  <c r="D362" i="112" s="1"/>
  <c r="E360" i="112" a="1"/>
  <c r="E360" i="112" s="1"/>
  <c r="E359" i="112" a="1"/>
  <c r="E359" i="112" s="1"/>
  <c r="D354" i="112" a="1"/>
  <c r="D354" i="112" s="1"/>
  <c r="D353" i="112" a="1"/>
  <c r="D353" i="112" s="1"/>
  <c r="D352" i="112" a="1"/>
  <c r="D352" i="112" s="1"/>
  <c r="K344" i="112" a="1"/>
  <c r="K344" i="112" s="1"/>
  <c r="K343" i="112" a="1"/>
  <c r="K343" i="112" s="1"/>
  <c r="K341" i="112" a="1"/>
  <c r="K341" i="112" s="1"/>
  <c r="K340" i="112" a="1"/>
  <c r="K340" i="112" s="1"/>
  <c r="L342" i="112"/>
  <c r="K345" i="112" a="1"/>
  <c r="K345" i="112" s="1"/>
  <c r="G329" i="112" a="1"/>
  <c r="G329" i="112" s="1"/>
  <c r="D329" i="112" a="1"/>
  <c r="D329" i="112" s="1"/>
  <c r="E327" i="112" a="1"/>
  <c r="E327" i="112" s="1"/>
  <c r="E326" i="112" a="1"/>
  <c r="E326" i="112" s="1"/>
  <c r="D322" i="112" a="1"/>
  <c r="D322" i="112" s="1"/>
  <c r="D321" i="112" a="1"/>
  <c r="D321" i="112" s="1"/>
  <c r="F296" i="112" a="1"/>
  <c r="G300" i="112" s="1"/>
  <c r="D296" i="112" a="1"/>
  <c r="D296" i="112" s="1"/>
  <c r="E294" i="112" a="1"/>
  <c r="E294" i="112" s="1"/>
  <c r="E293" i="112" a="1"/>
  <c r="E293" i="112" s="1"/>
  <c r="D289" i="112" a="1"/>
  <c r="D289" i="112" s="1"/>
  <c r="D288" i="112" a="1"/>
  <c r="D288" i="112" s="1"/>
  <c r="G265" i="112" a="1"/>
  <c r="G265" i="112" s="1"/>
  <c r="D265" i="112" a="1"/>
  <c r="D265" i="112" s="1"/>
  <c r="E263" i="112" a="1"/>
  <c r="E263" i="112" s="1"/>
  <c r="E262" i="112" a="1"/>
  <c r="E262" i="112" s="1"/>
  <c r="D257" i="112" a="1"/>
  <c r="D257" i="112" s="1"/>
  <c r="D256" i="112" a="1"/>
  <c r="D256" i="112" s="1"/>
  <c r="P237" i="112" a="1"/>
  <c r="P237" i="112" s="1"/>
  <c r="O237" i="112" a="1"/>
  <c r="G209" i="112" a="1"/>
  <c r="G209" i="112" s="1"/>
  <c r="D209" i="112" a="1"/>
  <c r="D209" i="112" s="1"/>
  <c r="E207" i="112" a="1"/>
  <c r="E207" i="112" s="1"/>
  <c r="E206" i="112" a="1"/>
  <c r="E206" i="112" s="1"/>
  <c r="D202" i="112"/>
  <c r="D202" i="112" a="1"/>
  <c r="D201" i="112" a="1"/>
  <c r="D201" i="112" s="1"/>
  <c r="D200" i="112" a="1"/>
  <c r="D200" i="112" s="1"/>
  <c r="G194" i="112" a="1"/>
  <c r="G194" i="112" s="1"/>
  <c r="D194" i="112" a="1"/>
  <c r="D194" i="112" s="1"/>
  <c r="E192" i="112" a="1"/>
  <c r="E192" i="112" s="1"/>
  <c r="E191" i="112" a="1"/>
  <c r="E191" i="112" s="1"/>
  <c r="D187" i="112" a="1"/>
  <c r="D187" i="112" s="1"/>
  <c r="D186" i="112" a="1"/>
  <c r="D186" i="112" s="1"/>
  <c r="G180" i="112" a="1"/>
  <c r="G180" i="112" s="1"/>
  <c r="D180" i="112" a="1"/>
  <c r="D180" i="112" s="1"/>
  <c r="E178" i="112" a="1"/>
  <c r="E178" i="112" s="1"/>
  <c r="E177" i="112" a="1"/>
  <c r="E177" i="112" s="1"/>
  <c r="D173" i="112" a="1"/>
  <c r="D173" i="112" s="1"/>
  <c r="D172" i="112" a="1"/>
  <c r="D172" i="112" s="1"/>
  <c r="D171" i="112" a="1"/>
  <c r="D171" i="112" s="1"/>
  <c r="E164" i="112"/>
  <c r="I164" i="112" s="1" a="1"/>
  <c r="I164" i="112" s="1"/>
  <c r="E163" i="112"/>
  <c r="E162" i="112"/>
  <c r="I162" i="112" s="1" a="1"/>
  <c r="I162" i="112" s="1"/>
  <c r="G157" i="112" a="1"/>
  <c r="G157" i="112" s="1"/>
  <c r="D157" i="112" a="1"/>
  <c r="D157" i="112" s="1"/>
  <c r="E155" i="112" a="1"/>
  <c r="E155" i="112" s="1"/>
  <c r="E154" i="112" a="1"/>
  <c r="E154" i="112" s="1"/>
  <c r="D150" i="112" a="1"/>
  <c r="D150" i="112" s="1"/>
  <c r="D149" i="112" a="1"/>
  <c r="D149" i="112" s="1"/>
  <c r="E139" i="112"/>
  <c r="E138" i="112"/>
  <c r="E137" i="112"/>
  <c r="I137" i="112" s="1" a="1"/>
  <c r="I137" i="112" s="1"/>
  <c r="E136" i="112"/>
  <c r="I136" i="112" s="1" a="1"/>
  <c r="I136" i="112" s="1"/>
  <c r="I121" i="112" a="1"/>
  <c r="I121" i="112" s="1"/>
  <c r="I120" i="112" a="1"/>
  <c r="I120" i="112" s="1"/>
  <c r="G106" i="112" a="1"/>
  <c r="G106" i="112" s="1"/>
  <c r="D106" i="112" a="1"/>
  <c r="D106" i="112" s="1"/>
  <c r="E104" i="112" a="1"/>
  <c r="E104" i="112" s="1"/>
  <c r="E103" i="112" a="1"/>
  <c r="E103" i="112" s="1"/>
  <c r="D99" i="112"/>
  <c r="D99" i="112" a="1"/>
  <c r="D98" i="112" a="1"/>
  <c r="D98" i="112" s="1"/>
  <c r="J62" i="112" a="1"/>
  <c r="J62" i="112" s="1"/>
  <c r="J61" i="112" a="1"/>
  <c r="J61" i="112" s="1"/>
  <c r="M24" i="112" a="1"/>
  <c r="M24" i="112" s="1"/>
  <c r="G13" i="112" a="1"/>
  <c r="G13" i="112" s="1"/>
  <c r="D13" i="112" a="1"/>
  <c r="D13" i="112" s="1"/>
  <c r="E11" i="112" a="1"/>
  <c r="E11" i="112" s="1"/>
  <c r="E10" i="112" a="1"/>
  <c r="E10" i="112" s="1"/>
  <c r="D6" i="112" a="1"/>
  <c r="D6" i="112" s="1"/>
  <c r="D5" i="112" a="1"/>
  <c r="D5" i="112" s="1"/>
  <c r="H102" i="109"/>
  <c r="H101" i="109"/>
  <c r="H100" i="109"/>
  <c r="H99" i="109"/>
  <c r="H98" i="109"/>
  <c r="H97" i="109"/>
  <c r="H96" i="109"/>
  <c r="H95" i="109"/>
  <c r="H94" i="109"/>
  <c r="H93" i="109"/>
  <c r="H20" i="109"/>
  <c r="R20" i="109" s="1"/>
  <c r="H19" i="109"/>
  <c r="R19" i="109" s="1"/>
  <c r="H18" i="109"/>
  <c r="R18" i="109" s="1"/>
  <c r="H17" i="109"/>
  <c r="O17" i="109" s="1"/>
  <c r="H16" i="109"/>
  <c r="R16" i="109" s="1"/>
  <c r="H15" i="109"/>
  <c r="L15" i="109" s="1"/>
  <c r="L14" i="109"/>
  <c r="H14" i="109"/>
  <c r="R14" i="109" s="1"/>
  <c r="H13" i="109"/>
  <c r="R13" i="109" s="1"/>
  <c r="H12" i="109"/>
  <c r="L12" i="109" s="1"/>
  <c r="H11" i="109"/>
  <c r="R11" i="109" s="1"/>
  <c r="Q9" i="109" a="1"/>
  <c r="Q9" i="109" s="1"/>
  <c r="N9" i="109" a="1"/>
  <c r="N9" i="109" s="1"/>
  <c r="K9" i="109" a="1"/>
  <c r="K9" i="109" s="1"/>
  <c r="F235" i="107" a="1"/>
  <c r="F235" i="107" s="1"/>
  <c r="E235" i="107" a="1"/>
  <c r="E235" i="107" s="1"/>
  <c r="D235" i="107" a="1"/>
  <c r="D235" i="107" s="1"/>
  <c r="F234" i="107" a="1"/>
  <c r="F234" i="107" s="1"/>
  <c r="E234" i="107" a="1"/>
  <c r="E234" i="107" s="1"/>
  <c r="D234" i="107" a="1"/>
  <c r="D234" i="107" s="1"/>
  <c r="F233" i="107" a="1"/>
  <c r="F233" i="107" s="1"/>
  <c r="E233" i="107" a="1"/>
  <c r="E233" i="107" s="1"/>
  <c r="D233" i="107" a="1"/>
  <c r="D233" i="107" s="1"/>
  <c r="F232" i="107" a="1"/>
  <c r="F232" i="107" s="1"/>
  <c r="E232" i="107" a="1"/>
  <c r="E232" i="107" s="1"/>
  <c r="D232" i="107" a="1"/>
  <c r="D232" i="107" s="1"/>
  <c r="F231" i="107" a="1"/>
  <c r="F231" i="107" s="1"/>
  <c r="E231" i="107" a="1"/>
  <c r="E231" i="107" s="1"/>
  <c r="D231" i="107" a="1"/>
  <c r="D231" i="107" s="1"/>
  <c r="F230" i="107" a="1"/>
  <c r="F230" i="107" s="1"/>
  <c r="E230" i="107" a="1"/>
  <c r="E230" i="107" s="1"/>
  <c r="D230" i="107" a="1"/>
  <c r="D230" i="107" s="1"/>
  <c r="F229" i="107" a="1"/>
  <c r="F229" i="107" s="1"/>
  <c r="E229" i="107" a="1"/>
  <c r="E229" i="107" s="1"/>
  <c r="D229" i="107" a="1"/>
  <c r="D229" i="107" s="1"/>
  <c r="F228" i="107" a="1"/>
  <c r="F228" i="107" s="1"/>
  <c r="E228" i="107" a="1"/>
  <c r="E228" i="107" s="1"/>
  <c r="D228" i="107" a="1"/>
  <c r="D228" i="107" s="1"/>
  <c r="F227" i="107" a="1"/>
  <c r="F227" i="107" s="1"/>
  <c r="E227" i="107" a="1"/>
  <c r="E227" i="107" s="1"/>
  <c r="D227" i="107" a="1"/>
  <c r="D227" i="107" s="1"/>
  <c r="F226" i="107" a="1"/>
  <c r="F226" i="107" s="1"/>
  <c r="E226" i="107" a="1"/>
  <c r="E226" i="107" s="1"/>
  <c r="D226" i="107" a="1"/>
  <c r="D226" i="107" s="1"/>
  <c r="F225" i="107" a="1"/>
  <c r="F225" i="107" s="1"/>
  <c r="E225" i="107" a="1"/>
  <c r="E225" i="107" s="1"/>
  <c r="D225" i="107" a="1"/>
  <c r="D225" i="107" s="1"/>
  <c r="F224" i="107" a="1"/>
  <c r="F224" i="107" s="1"/>
  <c r="E224" i="107" a="1"/>
  <c r="E224" i="107" s="1"/>
  <c r="D224" i="107" a="1"/>
  <c r="D224" i="107" s="1"/>
  <c r="F223" i="107" a="1"/>
  <c r="F223" i="107" s="1"/>
  <c r="E223" i="107" a="1"/>
  <c r="E223" i="107" s="1"/>
  <c r="D223" i="107" a="1"/>
  <c r="D223" i="107" s="1"/>
  <c r="F222" i="107" a="1"/>
  <c r="F222" i="107" s="1"/>
  <c r="E222" i="107" a="1"/>
  <c r="E222" i="107" s="1"/>
  <c r="D222" i="107" a="1"/>
  <c r="D222" i="107" s="1"/>
  <c r="F221" i="107" a="1"/>
  <c r="F221" i="107" s="1"/>
  <c r="E221" i="107" a="1"/>
  <c r="E221" i="107" s="1"/>
  <c r="D221" i="107" a="1"/>
  <c r="D221" i="107" s="1"/>
  <c r="F220" i="107" a="1"/>
  <c r="F220" i="107" s="1"/>
  <c r="E220" i="107" a="1"/>
  <c r="E220" i="107" s="1"/>
  <c r="D220" i="107" a="1"/>
  <c r="D220" i="107" s="1"/>
  <c r="F219" i="107" a="1"/>
  <c r="F219" i="107" s="1"/>
  <c r="E219" i="107" a="1"/>
  <c r="E219" i="107" s="1"/>
  <c r="D219" i="107" a="1"/>
  <c r="D219" i="107" s="1"/>
  <c r="F218" i="107" a="1"/>
  <c r="F218" i="107" s="1"/>
  <c r="E218" i="107" a="1"/>
  <c r="E218" i="107" s="1"/>
  <c r="D218" i="107" a="1"/>
  <c r="D218" i="107" s="1"/>
  <c r="F217" i="107" a="1"/>
  <c r="F217" i="107" s="1"/>
  <c r="E217" i="107" a="1"/>
  <c r="E217" i="107" s="1"/>
  <c r="D217" i="107" a="1"/>
  <c r="D217" i="107" s="1"/>
  <c r="F216" i="107" a="1"/>
  <c r="F216" i="107" s="1"/>
  <c r="E216" i="107" a="1"/>
  <c r="E216" i="107" s="1"/>
  <c r="D216" i="107" a="1"/>
  <c r="D216" i="107" s="1"/>
  <c r="F215" i="107" a="1"/>
  <c r="F215" i="107" s="1"/>
  <c r="E215" i="107" a="1"/>
  <c r="E215" i="107" s="1"/>
  <c r="D215" i="107" a="1"/>
  <c r="D215" i="107" s="1"/>
  <c r="F214" i="107" a="1"/>
  <c r="F214" i="107" s="1"/>
  <c r="E214" i="107" a="1"/>
  <c r="E214" i="107" s="1"/>
  <c r="D214" i="107" a="1"/>
  <c r="D214" i="107" s="1"/>
  <c r="F213" i="107" a="1"/>
  <c r="F213" i="107" s="1"/>
  <c r="E213" i="107" a="1"/>
  <c r="E213" i="107" s="1"/>
  <c r="D213" i="107" a="1"/>
  <c r="D213" i="107" s="1"/>
  <c r="F212" i="107" a="1"/>
  <c r="F212" i="107" s="1"/>
  <c r="E212" i="107" a="1"/>
  <c r="E212" i="107" s="1"/>
  <c r="D212" i="107" a="1"/>
  <c r="D212" i="107" s="1"/>
  <c r="F211" i="107" a="1"/>
  <c r="F211" i="107" s="1"/>
  <c r="E211" i="107" a="1"/>
  <c r="E211" i="107" s="1"/>
  <c r="D211" i="107" a="1"/>
  <c r="D211" i="107" s="1"/>
  <c r="F210" i="107" a="1"/>
  <c r="F210" i="107" s="1"/>
  <c r="E210" i="107" a="1"/>
  <c r="E210" i="107" s="1"/>
  <c r="D210" i="107" a="1"/>
  <c r="D210" i="107" s="1"/>
  <c r="F209" i="107" a="1"/>
  <c r="F209" i="107" s="1"/>
  <c r="E209" i="107" a="1"/>
  <c r="E209" i="107" s="1"/>
  <c r="D209" i="107" a="1"/>
  <c r="D209" i="107" s="1"/>
  <c r="F208" i="107" a="1"/>
  <c r="F208" i="107" s="1"/>
  <c r="E208" i="107" a="1"/>
  <c r="E208" i="107" s="1"/>
  <c r="D208" i="107" a="1"/>
  <c r="D208" i="107" s="1"/>
  <c r="F207" i="107" a="1"/>
  <c r="F207" i="107" s="1"/>
  <c r="E207" i="107" a="1"/>
  <c r="E207" i="107" s="1"/>
  <c r="D207" i="107" a="1"/>
  <c r="D207" i="107" s="1"/>
  <c r="F206" i="107" a="1"/>
  <c r="F206" i="107" s="1"/>
  <c r="E206" i="107" a="1"/>
  <c r="E206" i="107" s="1"/>
  <c r="D206" i="107" a="1"/>
  <c r="D206" i="107" s="1"/>
  <c r="F205" i="107" a="1"/>
  <c r="F205" i="107" s="1"/>
  <c r="E205" i="107" a="1"/>
  <c r="E205" i="107" s="1"/>
  <c r="D205" i="107" a="1"/>
  <c r="D205" i="107" s="1"/>
  <c r="F204" i="107" a="1"/>
  <c r="F204" i="107" s="1"/>
  <c r="E204" i="107" a="1"/>
  <c r="E204" i="107" s="1"/>
  <c r="D204" i="107" a="1"/>
  <c r="D204" i="107" s="1"/>
  <c r="F203" i="107" a="1"/>
  <c r="F203" i="107" s="1"/>
  <c r="E203" i="107" a="1"/>
  <c r="E203" i="107" s="1"/>
  <c r="D203" i="107" a="1"/>
  <c r="D203" i="107" s="1"/>
  <c r="F202" i="107" a="1"/>
  <c r="F202" i="107" s="1"/>
  <c r="E202" i="107" a="1"/>
  <c r="E202" i="107" s="1"/>
  <c r="D202" i="107" a="1"/>
  <c r="D202" i="107" s="1"/>
  <c r="F201" i="107" a="1"/>
  <c r="F201" i="107" s="1"/>
  <c r="E201" i="107" a="1"/>
  <c r="E201" i="107" s="1"/>
  <c r="D201" i="107" a="1"/>
  <c r="D201" i="107" s="1"/>
  <c r="F200" i="107" a="1"/>
  <c r="F200" i="107" s="1"/>
  <c r="E200" i="107" a="1"/>
  <c r="E200" i="107" s="1"/>
  <c r="D200" i="107" a="1"/>
  <c r="D200" i="107" s="1"/>
  <c r="F199" i="107" a="1"/>
  <c r="F199" i="107" s="1"/>
  <c r="E199" i="107" a="1"/>
  <c r="E199" i="107" s="1"/>
  <c r="D199" i="107" a="1"/>
  <c r="D199" i="107" s="1"/>
  <c r="F198" i="107" a="1"/>
  <c r="F198" i="107" s="1"/>
  <c r="E198" i="107" a="1"/>
  <c r="E198" i="107" s="1"/>
  <c r="D198" i="107" a="1"/>
  <c r="D198" i="107" s="1"/>
  <c r="F197" i="107" a="1"/>
  <c r="F197" i="107" s="1"/>
  <c r="E197" i="107" a="1"/>
  <c r="E197" i="107" s="1"/>
  <c r="D197" i="107" a="1"/>
  <c r="D197" i="107" s="1"/>
  <c r="F196" i="107" a="1"/>
  <c r="F196" i="107" s="1"/>
  <c r="E196" i="107" a="1"/>
  <c r="E196" i="107" s="1"/>
  <c r="D196" i="107" a="1"/>
  <c r="D196" i="107" s="1"/>
  <c r="F195" i="107" a="1"/>
  <c r="F195" i="107" s="1"/>
  <c r="E195" i="107" a="1"/>
  <c r="E195" i="107" s="1"/>
  <c r="D195" i="107" a="1"/>
  <c r="D195" i="107" s="1"/>
  <c r="F194" i="107" a="1"/>
  <c r="F194" i="107" s="1"/>
  <c r="E194" i="107" a="1"/>
  <c r="E194" i="107" s="1"/>
  <c r="D194" i="107" a="1"/>
  <c r="D194" i="107" s="1"/>
  <c r="F193" i="107" a="1"/>
  <c r="F193" i="107" s="1"/>
  <c r="E193" i="107" a="1"/>
  <c r="E193" i="107" s="1"/>
  <c r="D193" i="107" a="1"/>
  <c r="D193" i="107" s="1"/>
  <c r="F192" i="107" a="1"/>
  <c r="F192" i="107" s="1"/>
  <c r="E192" i="107" a="1"/>
  <c r="E192" i="107" s="1"/>
  <c r="D192" i="107" a="1"/>
  <c r="D192" i="107" s="1"/>
  <c r="F191" i="107" a="1"/>
  <c r="F191" i="107" s="1"/>
  <c r="E191" i="107" a="1"/>
  <c r="E191" i="107" s="1"/>
  <c r="D191" i="107" a="1"/>
  <c r="D191" i="107" s="1"/>
  <c r="F190" i="107" a="1"/>
  <c r="F190" i="107" s="1"/>
  <c r="E190" i="107" a="1"/>
  <c r="E190" i="107" s="1"/>
  <c r="D190" i="107" a="1"/>
  <c r="D190" i="107" s="1"/>
  <c r="F189" i="107" a="1"/>
  <c r="F189" i="107" s="1"/>
  <c r="E189" i="107" a="1"/>
  <c r="E189" i="107" s="1"/>
  <c r="D189" i="107" a="1"/>
  <c r="D189" i="107" s="1"/>
  <c r="F188" i="107" a="1"/>
  <c r="F188" i="107" s="1"/>
  <c r="E188" i="107" a="1"/>
  <c r="E188" i="107" s="1"/>
  <c r="D188" i="107" a="1"/>
  <c r="D188" i="107" s="1"/>
  <c r="F187" i="107" a="1"/>
  <c r="F187" i="107" s="1"/>
  <c r="E187" i="107" a="1"/>
  <c r="E187" i="107" s="1"/>
  <c r="D187" i="107" a="1"/>
  <c r="D187" i="107" s="1"/>
  <c r="F186" i="107" a="1"/>
  <c r="F186" i="107" s="1"/>
  <c r="E186" i="107" a="1"/>
  <c r="E186" i="107" s="1"/>
  <c r="D186" i="107" a="1"/>
  <c r="D186" i="107" s="1"/>
  <c r="F185" i="107" a="1"/>
  <c r="F185" i="107" s="1"/>
  <c r="E185" i="107" a="1"/>
  <c r="E185" i="107" s="1"/>
  <c r="D185" i="107" a="1"/>
  <c r="D185" i="107" s="1"/>
  <c r="F184" i="107" a="1"/>
  <c r="F184" i="107" s="1"/>
  <c r="E184" i="107" a="1"/>
  <c r="E184" i="107" s="1"/>
  <c r="D184" i="107" a="1"/>
  <c r="D184" i="107" s="1"/>
  <c r="F183" i="107" a="1"/>
  <c r="F183" i="107" s="1"/>
  <c r="E183" i="107" a="1"/>
  <c r="E183" i="107" s="1"/>
  <c r="D183" i="107" a="1"/>
  <c r="D183" i="107" s="1"/>
  <c r="F182" i="107" a="1"/>
  <c r="F182" i="107" s="1"/>
  <c r="E182" i="107" a="1"/>
  <c r="E182" i="107" s="1"/>
  <c r="D182" i="107" a="1"/>
  <c r="D182" i="107" s="1"/>
  <c r="F181" i="107" a="1"/>
  <c r="F181" i="107" s="1"/>
  <c r="E181" i="107" a="1"/>
  <c r="E181" i="107" s="1"/>
  <c r="D181" i="107" a="1"/>
  <c r="D181" i="107" s="1"/>
  <c r="F180" i="107" a="1"/>
  <c r="F180" i="107" s="1"/>
  <c r="E180" i="107" a="1"/>
  <c r="E180" i="107" s="1"/>
  <c r="D180" i="107" a="1"/>
  <c r="D180" i="107" s="1"/>
  <c r="F179" i="107" a="1"/>
  <c r="F179" i="107" s="1"/>
  <c r="E179" i="107" a="1"/>
  <c r="E179" i="107" s="1"/>
  <c r="D179" i="107" a="1"/>
  <c r="D179" i="107" s="1"/>
  <c r="F178" i="107" a="1"/>
  <c r="F178" i="107" s="1"/>
  <c r="E178" i="107" a="1"/>
  <c r="E178" i="107" s="1"/>
  <c r="D178" i="107" a="1"/>
  <c r="D178" i="107" s="1"/>
  <c r="F177" i="107" a="1"/>
  <c r="F177" i="107" s="1"/>
  <c r="E177" i="107" a="1"/>
  <c r="E177" i="107" s="1"/>
  <c r="D177" i="107" a="1"/>
  <c r="D177" i="107" s="1"/>
  <c r="F176" i="107" a="1"/>
  <c r="F176" i="107" s="1"/>
  <c r="E176" i="107" a="1"/>
  <c r="E176" i="107" s="1"/>
  <c r="D176" i="107" a="1"/>
  <c r="D176" i="107" s="1"/>
  <c r="F175" i="107" a="1"/>
  <c r="F175" i="107" s="1"/>
  <c r="E175" i="107" a="1"/>
  <c r="E175" i="107" s="1"/>
  <c r="D175" i="107" a="1"/>
  <c r="D175" i="107" s="1"/>
  <c r="F174" i="107" a="1"/>
  <c r="F174" i="107" s="1"/>
  <c r="E174" i="107" a="1"/>
  <c r="E174" i="107" s="1"/>
  <c r="D174" i="107" a="1"/>
  <c r="D174" i="107" s="1"/>
  <c r="F173" i="107" a="1"/>
  <c r="F173" i="107" s="1"/>
  <c r="E173" i="107" a="1"/>
  <c r="E173" i="107" s="1"/>
  <c r="D173" i="107" a="1"/>
  <c r="D173" i="107" s="1"/>
  <c r="F172" i="107" a="1"/>
  <c r="F172" i="107" s="1"/>
  <c r="E172" i="107" a="1"/>
  <c r="E172" i="107" s="1"/>
  <c r="D172" i="107" a="1"/>
  <c r="D172" i="107" s="1"/>
  <c r="F171" i="107" a="1"/>
  <c r="F171" i="107" s="1"/>
  <c r="E171" i="107" a="1"/>
  <c r="E171" i="107" s="1"/>
  <c r="D171" i="107" a="1"/>
  <c r="D171" i="107" s="1"/>
  <c r="F170" i="107" a="1"/>
  <c r="F170" i="107" s="1"/>
  <c r="E170" i="107" a="1"/>
  <c r="E170" i="107" s="1"/>
  <c r="D170" i="107" a="1"/>
  <c r="D170" i="107" s="1"/>
  <c r="F169" i="107" a="1"/>
  <c r="F169" i="107" s="1"/>
  <c r="E169" i="107" a="1"/>
  <c r="E169" i="107" s="1"/>
  <c r="D169" i="107" a="1"/>
  <c r="D169" i="107" s="1"/>
  <c r="F168" i="107" a="1"/>
  <c r="F168" i="107" s="1"/>
  <c r="E168" i="107" a="1"/>
  <c r="E168" i="107" s="1"/>
  <c r="D168" i="107" a="1"/>
  <c r="D168" i="107" s="1"/>
  <c r="F167" i="107" a="1"/>
  <c r="F167" i="107" s="1"/>
  <c r="E167" i="107" a="1"/>
  <c r="E167" i="107" s="1"/>
  <c r="D167" i="107" a="1"/>
  <c r="D167" i="107" s="1"/>
  <c r="F166" i="107" a="1"/>
  <c r="F166" i="107" s="1"/>
  <c r="E166" i="107" a="1"/>
  <c r="E166" i="107" s="1"/>
  <c r="D166" i="107" a="1"/>
  <c r="D166" i="107" s="1"/>
  <c r="F165" i="107" a="1"/>
  <c r="F165" i="107" s="1"/>
  <c r="E165" i="107" a="1"/>
  <c r="E165" i="107" s="1"/>
  <c r="D165" i="107" a="1"/>
  <c r="D165" i="107" s="1"/>
  <c r="F164" i="107" a="1"/>
  <c r="F164" i="107" s="1"/>
  <c r="E164" i="107" a="1"/>
  <c r="E164" i="107" s="1"/>
  <c r="D164" i="107" a="1"/>
  <c r="D164" i="107" s="1"/>
  <c r="F163" i="107" a="1"/>
  <c r="F163" i="107" s="1"/>
  <c r="E163" i="107" a="1"/>
  <c r="E163" i="107" s="1"/>
  <c r="D163" i="107" a="1"/>
  <c r="D163" i="107" s="1"/>
  <c r="F162" i="107" a="1"/>
  <c r="F162" i="107" s="1"/>
  <c r="E162" i="107" a="1"/>
  <c r="E162" i="107" s="1"/>
  <c r="D162" i="107" a="1"/>
  <c r="D162" i="107" s="1"/>
  <c r="F161" i="107" a="1"/>
  <c r="F161" i="107" s="1"/>
  <c r="E161" i="107" a="1"/>
  <c r="E161" i="107" s="1"/>
  <c r="D161" i="107" a="1"/>
  <c r="D161" i="107" s="1"/>
  <c r="F160" i="107" a="1"/>
  <c r="F160" i="107" s="1"/>
  <c r="E160" i="107" a="1"/>
  <c r="E160" i="107" s="1"/>
  <c r="D160" i="107" a="1"/>
  <c r="D160" i="107" s="1"/>
  <c r="F159" i="107" a="1"/>
  <c r="F159" i="107" s="1"/>
  <c r="E159" i="107" a="1"/>
  <c r="E159" i="107" s="1"/>
  <c r="D159" i="107" a="1"/>
  <c r="D159" i="107" s="1"/>
  <c r="F158" i="107" a="1"/>
  <c r="F158" i="107" s="1"/>
  <c r="E158" i="107" a="1"/>
  <c r="E158" i="107" s="1"/>
  <c r="D158" i="107" a="1"/>
  <c r="D158" i="107" s="1"/>
  <c r="F157" i="107" a="1"/>
  <c r="F157" i="107" s="1"/>
  <c r="E157" i="107" a="1"/>
  <c r="E157" i="107" s="1"/>
  <c r="D157" i="107" a="1"/>
  <c r="D157" i="107" s="1"/>
  <c r="F156" i="107" a="1"/>
  <c r="F156" i="107" s="1"/>
  <c r="E156" i="107" a="1"/>
  <c r="E156" i="107" s="1"/>
  <c r="D156" i="107" a="1"/>
  <c r="D156" i="107" s="1"/>
  <c r="F155" i="107" a="1"/>
  <c r="F155" i="107" s="1"/>
  <c r="E155" i="107" a="1"/>
  <c r="E155" i="107" s="1"/>
  <c r="D155" i="107" a="1"/>
  <c r="D155" i="107" s="1"/>
  <c r="F154" i="107" a="1"/>
  <c r="F154" i="107" s="1"/>
  <c r="E154" i="107" a="1"/>
  <c r="E154" i="107" s="1"/>
  <c r="D154" i="107" a="1"/>
  <c r="D154" i="107" s="1"/>
  <c r="F153" i="107" a="1"/>
  <c r="F153" i="107" s="1"/>
  <c r="E153" i="107" a="1"/>
  <c r="E153" i="107" s="1"/>
  <c r="D153" i="107" a="1"/>
  <c r="D153" i="107" s="1"/>
  <c r="F152" i="107" a="1"/>
  <c r="F152" i="107" s="1"/>
  <c r="E152" i="107" a="1"/>
  <c r="E152" i="107" s="1"/>
  <c r="D152" i="107" a="1"/>
  <c r="D152" i="107" s="1"/>
  <c r="F151" i="107" a="1"/>
  <c r="F151" i="107" s="1"/>
  <c r="E151" i="107" a="1"/>
  <c r="E151" i="107" s="1"/>
  <c r="D151" i="107" a="1"/>
  <c r="D151" i="107" s="1"/>
  <c r="F150" i="107" a="1"/>
  <c r="F150" i="107" s="1"/>
  <c r="E150" i="107" a="1"/>
  <c r="E150" i="107" s="1"/>
  <c r="D150" i="107" a="1"/>
  <c r="D150" i="107" s="1"/>
  <c r="F149" i="107" a="1"/>
  <c r="F149" i="107" s="1"/>
  <c r="E149" i="107" a="1"/>
  <c r="E149" i="107" s="1"/>
  <c r="D149" i="107" a="1"/>
  <c r="D149" i="107" s="1"/>
  <c r="F148" i="107" a="1"/>
  <c r="F148" i="107" s="1"/>
  <c r="E148" i="107" a="1"/>
  <c r="E148" i="107" s="1"/>
  <c r="D148" i="107" a="1"/>
  <c r="D148" i="107" s="1"/>
  <c r="F147" i="107" a="1"/>
  <c r="F147" i="107" s="1"/>
  <c r="E147" i="107" a="1"/>
  <c r="E147" i="107" s="1"/>
  <c r="D147" i="107" a="1"/>
  <c r="D147" i="107" s="1"/>
  <c r="F146" i="107" a="1"/>
  <c r="F146" i="107" s="1"/>
  <c r="E146" i="107" a="1"/>
  <c r="E146" i="107" s="1"/>
  <c r="D146" i="107" a="1"/>
  <c r="D146" i="107" s="1"/>
  <c r="F145" i="107" a="1"/>
  <c r="F145" i="107" s="1"/>
  <c r="E145" i="107" a="1"/>
  <c r="E145" i="107" s="1"/>
  <c r="D145" i="107" a="1"/>
  <c r="D145" i="107" s="1"/>
  <c r="F144" i="107" a="1"/>
  <c r="F144" i="107" s="1"/>
  <c r="E144" i="107" a="1"/>
  <c r="E144" i="107" s="1"/>
  <c r="D144" i="107" a="1"/>
  <c r="D144" i="107" s="1"/>
  <c r="F143" i="107" a="1"/>
  <c r="F143" i="107" s="1"/>
  <c r="E143" i="107" a="1"/>
  <c r="E143" i="107" s="1"/>
  <c r="D143" i="107" a="1"/>
  <c r="D143" i="107" s="1"/>
  <c r="F142" i="107" a="1"/>
  <c r="F142" i="107" s="1"/>
  <c r="E142" i="107" a="1"/>
  <c r="E142" i="107" s="1"/>
  <c r="D142" i="107" a="1"/>
  <c r="D142" i="107" s="1"/>
  <c r="F141" i="107" a="1"/>
  <c r="F141" i="107" s="1"/>
  <c r="E141" i="107" a="1"/>
  <c r="E141" i="107" s="1"/>
  <c r="D141" i="107" a="1"/>
  <c r="D141" i="107" s="1"/>
  <c r="F140" i="107" a="1"/>
  <c r="F140" i="107" s="1"/>
  <c r="E140" i="107" a="1"/>
  <c r="E140" i="107" s="1"/>
  <c r="D140" i="107" a="1"/>
  <c r="D140" i="107" s="1"/>
  <c r="F139" i="107" a="1"/>
  <c r="F139" i="107" s="1"/>
  <c r="E139" i="107" a="1"/>
  <c r="E139" i="107" s="1"/>
  <c r="D139" i="107" a="1"/>
  <c r="D139" i="107" s="1"/>
  <c r="F138" i="107" a="1"/>
  <c r="F138" i="107" s="1"/>
  <c r="E138" i="107" a="1"/>
  <c r="E138" i="107" s="1"/>
  <c r="D138" i="107" a="1"/>
  <c r="D138" i="107" s="1"/>
  <c r="F137" i="107" a="1"/>
  <c r="F137" i="107" s="1"/>
  <c r="E137" i="107" a="1"/>
  <c r="E137" i="107" s="1"/>
  <c r="D137" i="107" a="1"/>
  <c r="D137" i="107" s="1"/>
  <c r="F136" i="107" a="1"/>
  <c r="F136" i="107" s="1"/>
  <c r="E136" i="107" a="1"/>
  <c r="E136" i="107" s="1"/>
  <c r="D136" i="107" a="1"/>
  <c r="D136" i="107" s="1"/>
  <c r="F135" i="107" a="1"/>
  <c r="F135" i="107" s="1"/>
  <c r="E135" i="107" a="1"/>
  <c r="E135" i="107" s="1"/>
  <c r="D135" i="107" a="1"/>
  <c r="D135" i="107" s="1"/>
  <c r="F134" i="107" a="1"/>
  <c r="F134" i="107" s="1"/>
  <c r="E134" i="107" a="1"/>
  <c r="E134" i="107" s="1"/>
  <c r="D134" i="107" a="1"/>
  <c r="D134" i="107" s="1"/>
  <c r="F133" i="107" a="1"/>
  <c r="F133" i="107" s="1"/>
  <c r="E133" i="107" a="1"/>
  <c r="E133" i="107" s="1"/>
  <c r="D133" i="107" a="1"/>
  <c r="D133" i="107" s="1"/>
  <c r="F132" i="107" a="1"/>
  <c r="F132" i="107" s="1"/>
  <c r="E132" i="107" a="1"/>
  <c r="E132" i="107" s="1"/>
  <c r="D132" i="107" a="1"/>
  <c r="D132" i="107" s="1"/>
  <c r="F131" i="107" a="1"/>
  <c r="F131" i="107" s="1"/>
  <c r="E131" i="107" a="1"/>
  <c r="E131" i="107" s="1"/>
  <c r="D131" i="107" a="1"/>
  <c r="D131" i="107" s="1"/>
  <c r="F130" i="107" a="1"/>
  <c r="F130" i="107" s="1"/>
  <c r="E130" i="107" a="1"/>
  <c r="E130" i="107" s="1"/>
  <c r="D130" i="107" a="1"/>
  <c r="D130" i="107" s="1"/>
  <c r="F129" i="107" a="1"/>
  <c r="F129" i="107" s="1"/>
  <c r="E129" i="107" a="1"/>
  <c r="E129" i="107" s="1"/>
  <c r="D129" i="107" a="1"/>
  <c r="D129" i="107" s="1"/>
  <c r="F128" i="107" a="1"/>
  <c r="F128" i="107" s="1"/>
  <c r="E128" i="107" a="1"/>
  <c r="E128" i="107" s="1"/>
  <c r="D128" i="107" a="1"/>
  <c r="D128" i="107" s="1"/>
  <c r="F127" i="107" a="1"/>
  <c r="F127" i="107" s="1"/>
  <c r="E127" i="107" a="1"/>
  <c r="E127" i="107" s="1"/>
  <c r="D127" i="107" a="1"/>
  <c r="D127" i="107" s="1"/>
  <c r="F126" i="107" a="1"/>
  <c r="F126" i="107" s="1"/>
  <c r="E126" i="107" a="1"/>
  <c r="E126" i="107" s="1"/>
  <c r="D126" i="107" a="1"/>
  <c r="D126" i="107" s="1"/>
  <c r="F125" i="107" a="1"/>
  <c r="F125" i="107" s="1"/>
  <c r="E125" i="107" a="1"/>
  <c r="E125" i="107" s="1"/>
  <c r="D125" i="107" a="1"/>
  <c r="D125" i="107" s="1"/>
  <c r="F124" i="107" a="1"/>
  <c r="F124" i="107" s="1"/>
  <c r="E124" i="107" a="1"/>
  <c r="E124" i="107" s="1"/>
  <c r="D124" i="107" a="1"/>
  <c r="D124" i="107" s="1"/>
  <c r="F123" i="107" a="1"/>
  <c r="F123" i="107" s="1"/>
  <c r="E123" i="107" a="1"/>
  <c r="E123" i="107" s="1"/>
  <c r="D123" i="107" a="1"/>
  <c r="D123" i="107" s="1"/>
  <c r="F122" i="107" a="1"/>
  <c r="F122" i="107" s="1"/>
  <c r="E122" i="107" a="1"/>
  <c r="E122" i="107" s="1"/>
  <c r="D122" i="107" a="1"/>
  <c r="D122" i="107" s="1"/>
  <c r="F121" i="107" a="1"/>
  <c r="F121" i="107" s="1"/>
  <c r="E121" i="107" a="1"/>
  <c r="E121" i="107" s="1"/>
  <c r="D121" i="107" a="1"/>
  <c r="D121" i="107" s="1"/>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F113" i="107" a="1"/>
  <c r="F113" i="107" s="1"/>
  <c r="E113" i="107" a="1"/>
  <c r="E113" i="107" s="1"/>
  <c r="D113" i="107" a="1"/>
  <c r="D113" i="107" s="1"/>
  <c r="F112" i="107" a="1"/>
  <c r="F112" i="107" s="1"/>
  <c r="E112" i="107" a="1"/>
  <c r="E112" i="107" s="1"/>
  <c r="D112" i="107" a="1"/>
  <c r="D112" i="107" s="1"/>
  <c r="F111" i="107" a="1"/>
  <c r="F111" i="107" s="1"/>
  <c r="E111" i="107" a="1"/>
  <c r="E111" i="107" s="1"/>
  <c r="D111" i="107" a="1"/>
  <c r="D111" i="107" s="1"/>
  <c r="F110" i="107" a="1"/>
  <c r="F110" i="107" s="1"/>
  <c r="E110" i="107" a="1"/>
  <c r="E110" i="107" s="1"/>
  <c r="D110" i="107" a="1"/>
  <c r="D110" i="107" s="1"/>
  <c r="F109" i="107" a="1"/>
  <c r="F109" i="107" s="1"/>
  <c r="E109" i="107" a="1"/>
  <c r="E109" i="107" s="1"/>
  <c r="D109" i="107" a="1"/>
  <c r="D109" i="107" s="1"/>
  <c r="F108" i="107" a="1"/>
  <c r="F108" i="107" s="1"/>
  <c r="E108" i="107" a="1"/>
  <c r="E108" i="107" s="1"/>
  <c r="D108" i="107" a="1"/>
  <c r="D108" i="107" s="1"/>
  <c r="F107" i="107" a="1"/>
  <c r="F107" i="107" s="1"/>
  <c r="E107" i="107" a="1"/>
  <c r="E107" i="107" s="1"/>
  <c r="D107" i="107" a="1"/>
  <c r="D107" i="107" s="1"/>
  <c r="F106" i="107" a="1"/>
  <c r="F106" i="107" s="1"/>
  <c r="E106" i="107" a="1"/>
  <c r="E106" i="107" s="1"/>
  <c r="D106" i="107" a="1"/>
  <c r="D106" i="107" s="1"/>
  <c r="F105" i="107" a="1"/>
  <c r="F105" i="107" s="1"/>
  <c r="E105" i="107" a="1"/>
  <c r="E105" i="107" s="1"/>
  <c r="D105" i="107" a="1"/>
  <c r="D105" i="107" s="1"/>
  <c r="F104" i="107" a="1"/>
  <c r="F104" i="107" s="1"/>
  <c r="E104" i="107" a="1"/>
  <c r="E104" i="107" s="1"/>
  <c r="D104" i="107" a="1"/>
  <c r="D104" i="107" s="1"/>
  <c r="F103" i="107" a="1"/>
  <c r="F103" i="107" s="1"/>
  <c r="E103" i="107" a="1"/>
  <c r="E103" i="107" s="1"/>
  <c r="D103" i="107" a="1"/>
  <c r="D103" i="107" s="1"/>
  <c r="F102" i="107" a="1"/>
  <c r="F102" i="107" s="1"/>
  <c r="E102" i="107" a="1"/>
  <c r="E102" i="107" s="1"/>
  <c r="D102" i="107" a="1"/>
  <c r="D102" i="107" s="1"/>
  <c r="F101" i="107" a="1"/>
  <c r="F101" i="107" s="1"/>
  <c r="E101" i="107" a="1"/>
  <c r="E101" i="107" s="1"/>
  <c r="D101" i="107" a="1"/>
  <c r="D101" i="107" s="1"/>
  <c r="F100" i="107" a="1"/>
  <c r="F100" i="107" s="1"/>
  <c r="E100" i="107" a="1"/>
  <c r="E100" i="107" s="1"/>
  <c r="D100" i="107" a="1"/>
  <c r="D100" i="107" s="1"/>
  <c r="F99" i="107" a="1"/>
  <c r="F99" i="107" s="1"/>
  <c r="E99" i="107" a="1"/>
  <c r="E99" i="107" s="1"/>
  <c r="D99" i="107" a="1"/>
  <c r="D99" i="107" s="1"/>
  <c r="F98" i="107" a="1"/>
  <c r="F98" i="107" s="1"/>
  <c r="E98" i="107" a="1"/>
  <c r="E98" i="107" s="1"/>
  <c r="D98" i="107" a="1"/>
  <c r="D98" i="107" s="1"/>
  <c r="F97" i="107" a="1"/>
  <c r="F97" i="107" s="1"/>
  <c r="E97" i="107" a="1"/>
  <c r="E97" i="107" s="1"/>
  <c r="D97" i="107" a="1"/>
  <c r="D97" i="107" s="1"/>
  <c r="F96" i="107" a="1"/>
  <c r="F96" i="107" s="1"/>
  <c r="E96" i="107" a="1"/>
  <c r="E96" i="107" s="1"/>
  <c r="D96" i="107" a="1"/>
  <c r="D96" i="107" s="1"/>
  <c r="F95" i="107" a="1"/>
  <c r="F95" i="107" s="1"/>
  <c r="E95" i="107" a="1"/>
  <c r="E95" i="107" s="1"/>
  <c r="D95" i="107" a="1"/>
  <c r="D95" i="107" s="1"/>
  <c r="F94" i="107" a="1"/>
  <c r="F94" i="107" s="1"/>
  <c r="E94" i="107" a="1"/>
  <c r="E94" i="107" s="1"/>
  <c r="D94" i="107" a="1"/>
  <c r="D94" i="107" s="1"/>
  <c r="F93" i="107" a="1"/>
  <c r="F93" i="107" s="1"/>
  <c r="E93" i="107" a="1"/>
  <c r="E93" i="107" s="1"/>
  <c r="D93" i="107" a="1"/>
  <c r="D93" i="107" s="1"/>
  <c r="D91" i="107" a="1"/>
  <c r="D91" i="107" s="1"/>
  <c r="F89" i="107" a="1"/>
  <c r="F89" i="107" s="1"/>
  <c r="E89" i="107" a="1"/>
  <c r="E89" i="107" s="1"/>
  <c r="D89" i="107" a="1"/>
  <c r="D89" i="107" s="1"/>
  <c r="F88" i="107" a="1"/>
  <c r="F88" i="107" s="1"/>
  <c r="E88" i="107" a="1"/>
  <c r="E88" i="107" s="1"/>
  <c r="D88" i="107" a="1"/>
  <c r="D88" i="107" s="1"/>
  <c r="F87" i="107" a="1"/>
  <c r="F87" i="107" s="1"/>
  <c r="E87" i="107" a="1"/>
  <c r="E87" i="107" s="1"/>
  <c r="D87" i="107" a="1"/>
  <c r="D87" i="107" s="1"/>
  <c r="F86" i="107" a="1"/>
  <c r="F86" i="107" s="1"/>
  <c r="E86" i="107" a="1"/>
  <c r="E86" i="107" s="1"/>
  <c r="D86" i="107" a="1"/>
  <c r="D86" i="107" s="1"/>
  <c r="F85" i="107" a="1"/>
  <c r="F85" i="107" s="1"/>
  <c r="E85" i="107" a="1"/>
  <c r="E85" i="107" s="1"/>
  <c r="D85" i="107" a="1"/>
  <c r="D85" i="107" s="1"/>
  <c r="F84" i="107" a="1"/>
  <c r="F84" i="107" s="1"/>
  <c r="E84" i="107" a="1"/>
  <c r="E84" i="107" s="1"/>
  <c r="D84" i="107" a="1"/>
  <c r="D84" i="107" s="1"/>
  <c r="F83" i="107" a="1"/>
  <c r="F83" i="107" s="1"/>
  <c r="E83" i="107" a="1"/>
  <c r="E83" i="107" s="1"/>
  <c r="D83" i="107" a="1"/>
  <c r="D83" i="107" s="1"/>
  <c r="F82" i="107" a="1"/>
  <c r="F82" i="107" s="1"/>
  <c r="E82" i="107" a="1"/>
  <c r="E82" i="107" s="1"/>
  <c r="D82" i="107" a="1"/>
  <c r="D82" i="107" s="1"/>
  <c r="F81" i="107" a="1"/>
  <c r="F81" i="107" s="1"/>
  <c r="E81" i="107" a="1"/>
  <c r="E81" i="107" s="1"/>
  <c r="D81" i="107" a="1"/>
  <c r="D81" i="107" s="1"/>
  <c r="F80" i="107" a="1"/>
  <c r="F80" i="107" s="1"/>
  <c r="E80" i="107" a="1"/>
  <c r="E80" i="107" s="1"/>
  <c r="D80" i="107" a="1"/>
  <c r="D80" i="107" s="1"/>
  <c r="F79" i="107" a="1"/>
  <c r="F79" i="107" s="1"/>
  <c r="E79" i="107" a="1"/>
  <c r="E79" i="107" s="1"/>
  <c r="D79" i="107" a="1"/>
  <c r="D79" i="107" s="1"/>
  <c r="F78" i="107" a="1"/>
  <c r="F78" i="107" s="1"/>
  <c r="E78" i="107" a="1"/>
  <c r="E78" i="107" s="1"/>
  <c r="D78" i="107" a="1"/>
  <c r="D78" i="107" s="1"/>
  <c r="F77" i="107" a="1"/>
  <c r="F77" i="107" s="1"/>
  <c r="E77" i="107" a="1"/>
  <c r="E77" i="107" s="1"/>
  <c r="D77" i="107" a="1"/>
  <c r="D77" i="107" s="1"/>
  <c r="F76" i="107" a="1"/>
  <c r="F76" i="107" s="1"/>
  <c r="E76" i="107" a="1"/>
  <c r="E76" i="107" s="1"/>
  <c r="D76" i="107" a="1"/>
  <c r="D76" i="107" s="1"/>
  <c r="F75" i="107" a="1"/>
  <c r="F75" i="107" s="1"/>
  <c r="E75" i="107" a="1"/>
  <c r="E75" i="107" s="1"/>
  <c r="D75" i="107" a="1"/>
  <c r="D75" i="107" s="1"/>
  <c r="F74" i="107" a="1"/>
  <c r="F74" i="107" s="1"/>
  <c r="E74" i="107" a="1"/>
  <c r="E74" i="107" s="1"/>
  <c r="D74" i="107" a="1"/>
  <c r="D74" i="107" s="1"/>
  <c r="D71" i="107" a="1"/>
  <c r="D71" i="107" s="1"/>
  <c r="D70" i="107" a="1"/>
  <c r="D70" i="107" s="1"/>
  <c r="F67" i="107" a="1"/>
  <c r="F67" i="107" s="1"/>
  <c r="E67" i="107" a="1"/>
  <c r="E67" i="107" s="1"/>
  <c r="D67" i="107" a="1"/>
  <c r="D67" i="107" s="1"/>
  <c r="F66" i="107" a="1"/>
  <c r="F66" i="107" s="1"/>
  <c r="E66" i="107" a="1"/>
  <c r="E66" i="107" s="1"/>
  <c r="D66" i="107" a="1"/>
  <c r="D66" i="107" s="1"/>
  <c r="F65" i="107" a="1"/>
  <c r="F65" i="107" s="1"/>
  <c r="E65" i="107" a="1"/>
  <c r="E65" i="107" s="1"/>
  <c r="D65" i="107" a="1"/>
  <c r="D65" i="107" s="1"/>
  <c r="F64" i="107" a="1"/>
  <c r="F64" i="107" s="1"/>
  <c r="E64" i="107" a="1"/>
  <c r="E64" i="107" s="1"/>
  <c r="D64" i="107" a="1"/>
  <c r="D64" i="107" s="1"/>
  <c r="F63" i="107" a="1"/>
  <c r="F63" i="107" s="1"/>
  <c r="E63" i="107" a="1"/>
  <c r="E63" i="107" s="1"/>
  <c r="D63" i="107" a="1"/>
  <c r="D63" i="107" s="1"/>
  <c r="D60" i="107" a="1"/>
  <c r="D60" i="107" s="1"/>
  <c r="D59" i="107" a="1"/>
  <c r="D59" i="107" s="1"/>
  <c r="I56" i="107" a="1"/>
  <c r="I56" i="107" s="1"/>
  <c r="H56" i="107" a="1"/>
  <c r="H56" i="107" s="1"/>
  <c r="G56" i="107" a="1"/>
  <c r="G56" i="107" s="1"/>
  <c r="F56" i="107" a="1"/>
  <c r="F56" i="107" s="1"/>
  <c r="E56" i="107" a="1"/>
  <c r="E56" i="107" s="1"/>
  <c r="D56" i="107" a="1"/>
  <c r="D56" i="107" s="1"/>
  <c r="I55" i="107" a="1"/>
  <c r="I55" i="107" s="1"/>
  <c r="H55" i="107" a="1"/>
  <c r="H55" i="107" s="1"/>
  <c r="G55" i="107" a="1"/>
  <c r="G55" i="107" s="1"/>
  <c r="F55" i="107" a="1"/>
  <c r="F55" i="107" s="1"/>
  <c r="E55" i="107" a="1"/>
  <c r="E55" i="107" s="1"/>
  <c r="D55" i="107" a="1"/>
  <c r="D55" i="107" s="1"/>
  <c r="I54" i="107" a="1"/>
  <c r="I54" i="107" s="1"/>
  <c r="H54" i="107" a="1"/>
  <c r="H54" i="107" s="1"/>
  <c r="G54" i="107" a="1"/>
  <c r="G54" i="107" s="1"/>
  <c r="F54" i="107" a="1"/>
  <c r="F54" i="107" s="1"/>
  <c r="E54" i="107" a="1"/>
  <c r="E54" i="107" s="1"/>
  <c r="D54" i="107" a="1"/>
  <c r="D54" i="107" s="1"/>
  <c r="I53" i="107" a="1"/>
  <c r="I53" i="107" s="1"/>
  <c r="H53" i="107" a="1"/>
  <c r="H53" i="107" s="1"/>
  <c r="G53" i="107" a="1"/>
  <c r="G53" i="107" s="1"/>
  <c r="F53" i="107" a="1"/>
  <c r="F53" i="107" s="1"/>
  <c r="E53" i="107" a="1"/>
  <c r="E53" i="107" s="1"/>
  <c r="D53" i="107" a="1"/>
  <c r="D53" i="107" s="1"/>
  <c r="I52" i="107" a="1"/>
  <c r="I52" i="107" s="1"/>
  <c r="H52" i="107" a="1"/>
  <c r="H52" i="107" s="1"/>
  <c r="G52" i="107" a="1"/>
  <c r="G52" i="107" s="1"/>
  <c r="F52" i="107" a="1"/>
  <c r="F52" i="107" s="1"/>
  <c r="E52" i="107" a="1"/>
  <c r="E52" i="107" s="1"/>
  <c r="D52" i="107" a="1"/>
  <c r="D52" i="107" s="1"/>
  <c r="D49" i="107" a="1"/>
  <c r="D49" i="107" s="1"/>
  <c r="D48" i="107" a="1"/>
  <c r="D48" i="107" s="1"/>
  <c r="E45" i="107" a="1"/>
  <c r="E45" i="107" s="1"/>
  <c r="D45" i="107" a="1"/>
  <c r="D45" i="107" s="1"/>
  <c r="E44" i="107" a="1"/>
  <c r="E44" i="107" s="1"/>
  <c r="D44" i="107" a="1"/>
  <c r="D44" i="107" s="1"/>
  <c r="D41" i="107" a="1"/>
  <c r="D41" i="107" s="1"/>
  <c r="D40" i="107" a="1"/>
  <c r="D40" i="107" s="1"/>
  <c r="L37" i="107" a="1"/>
  <c r="L37" i="107" s="1"/>
  <c r="K37" i="107" a="1"/>
  <c r="K37" i="107" s="1"/>
  <c r="J37" i="107" a="1"/>
  <c r="J37" i="107" s="1"/>
  <c r="I37" i="107" a="1"/>
  <c r="I37" i="107" s="1"/>
  <c r="H37" i="107" a="1"/>
  <c r="H37" i="107" s="1"/>
  <c r="G37" i="107" a="1"/>
  <c r="G37" i="107" s="1"/>
  <c r="F37" i="107" a="1"/>
  <c r="F37" i="107" s="1"/>
  <c r="E37" i="107" a="1"/>
  <c r="E37" i="107" s="1"/>
  <c r="D37" i="107" a="1"/>
  <c r="D37" i="107" s="1"/>
  <c r="L36" i="107" a="1"/>
  <c r="L36" i="107" s="1"/>
  <c r="K36" i="107" a="1"/>
  <c r="K36" i="107" s="1"/>
  <c r="J36" i="107" a="1"/>
  <c r="J36" i="107" s="1"/>
  <c r="I36" i="107" a="1"/>
  <c r="I36" i="107" s="1"/>
  <c r="H36" i="107" a="1"/>
  <c r="H36" i="107" s="1"/>
  <c r="G36" i="107" a="1"/>
  <c r="G36" i="107" s="1"/>
  <c r="F36" i="107" a="1"/>
  <c r="F36" i="107" s="1"/>
  <c r="E36" i="107" a="1"/>
  <c r="E36" i="107" s="1"/>
  <c r="D36" i="107" a="1"/>
  <c r="D36" i="107" s="1"/>
  <c r="L35" i="107" a="1"/>
  <c r="L35" i="107" s="1"/>
  <c r="K35" i="107" a="1"/>
  <c r="K35" i="107" s="1"/>
  <c r="J35" i="107" a="1"/>
  <c r="J35" i="107" s="1"/>
  <c r="I35" i="107" a="1"/>
  <c r="I35" i="107" s="1"/>
  <c r="H35" i="107" a="1"/>
  <c r="H35" i="107" s="1"/>
  <c r="G35" i="107" a="1"/>
  <c r="G35" i="107" s="1"/>
  <c r="F35" i="107" a="1"/>
  <c r="F35" i="107" s="1"/>
  <c r="E35" i="107" a="1"/>
  <c r="E35" i="107" s="1"/>
  <c r="D35" i="107" a="1"/>
  <c r="D35"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D30" i="107" a="1"/>
  <c r="D30" i="107" s="1"/>
  <c r="L29" i="107" a="1"/>
  <c r="L29" i="107" s="1"/>
  <c r="K29" i="107" a="1"/>
  <c r="K29" i="107" s="1"/>
  <c r="J29" i="107" a="1"/>
  <c r="J29" i="107" s="1"/>
  <c r="I29" i="107" a="1"/>
  <c r="I29" i="107" s="1"/>
  <c r="H29" i="107" a="1"/>
  <c r="H29" i="107" s="1"/>
  <c r="G29" i="107" a="1"/>
  <c r="G29" i="107" s="1"/>
  <c r="F29" i="107" a="1"/>
  <c r="F29" i="107" s="1"/>
  <c r="E29" i="107" a="1"/>
  <c r="E29" i="107" s="1"/>
  <c r="D29" i="107" a="1"/>
  <c r="D29" i="107" s="1"/>
  <c r="L28" i="107" a="1"/>
  <c r="L28" i="107" s="1"/>
  <c r="K28" i="107" a="1"/>
  <c r="K28" i="107" s="1"/>
  <c r="J28" i="107" a="1"/>
  <c r="J28" i="107" s="1"/>
  <c r="I28" i="107" a="1"/>
  <c r="I28" i="107" s="1"/>
  <c r="H28" i="107" a="1"/>
  <c r="H28" i="107" s="1"/>
  <c r="G28" i="107" a="1"/>
  <c r="G28" i="107" s="1"/>
  <c r="F28" i="107" a="1"/>
  <c r="F28" i="107" s="1"/>
  <c r="E28" i="107" a="1"/>
  <c r="E28" i="107"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D17" i="107" a="1"/>
  <c r="D17" i="107" s="1"/>
  <c r="D16" i="107" a="1"/>
  <c r="D16" i="107" s="1"/>
  <c r="D15" i="107" a="1"/>
  <c r="D15" i="107" s="1"/>
  <c r="K10" i="107" a="1"/>
  <c r="K10" i="107" s="1"/>
  <c r="J10" i="107" a="1"/>
  <c r="J10" i="107" s="1"/>
  <c r="I10" i="107" a="1"/>
  <c r="I10" i="107" s="1"/>
  <c r="H10" i="107" a="1"/>
  <c r="H10" i="107" s="1"/>
  <c r="G10" i="107" a="1"/>
  <c r="G10" i="107" s="1"/>
  <c r="F10" i="107" a="1"/>
  <c r="F10" i="107" s="1"/>
  <c r="E10" i="107" a="1"/>
  <c r="E10" i="107" s="1"/>
  <c r="D10" i="107" a="1"/>
  <c r="D10" i="107" s="1"/>
  <c r="K9" i="107" a="1"/>
  <c r="K9" i="107" s="1"/>
  <c r="J9" i="107" a="1"/>
  <c r="J9" i="107" s="1"/>
  <c r="I9" i="107" a="1"/>
  <c r="I9" i="107" s="1"/>
  <c r="H9" i="107" a="1"/>
  <c r="H9" i="107" s="1"/>
  <c r="G9" i="107" a="1"/>
  <c r="G9" i="107" s="1"/>
  <c r="F9" i="107" a="1"/>
  <c r="F9" i="107" s="1"/>
  <c r="E9" i="107" a="1"/>
  <c r="E9" i="107" s="1"/>
  <c r="D9" i="107" a="1"/>
  <c r="D9" i="107" s="1"/>
  <c r="K8" i="107" a="1"/>
  <c r="K8" i="107" s="1"/>
  <c r="J8" i="107" a="1"/>
  <c r="J8" i="107" s="1"/>
  <c r="I8" i="107" a="1"/>
  <c r="I8" i="107" s="1"/>
  <c r="H8" i="107" a="1"/>
  <c r="H8" i="107" s="1"/>
  <c r="G8" i="107" a="1"/>
  <c r="G8" i="107" s="1"/>
  <c r="F8" i="107" a="1"/>
  <c r="F8" i="107" s="1"/>
  <c r="E8" i="107" a="1"/>
  <c r="E8" i="107" s="1"/>
  <c r="D8" i="107" a="1"/>
  <c r="D8" i="107" s="1"/>
  <c r="D5" i="107" a="1"/>
  <c r="D5" i="107" s="1"/>
  <c r="P53" i="106" a="1"/>
  <c r="P53" i="106" s="1"/>
  <c r="F53" i="106" a="1"/>
  <c r="F53" i="106" s="1"/>
  <c r="N50" i="106" a="1"/>
  <c r="N50" i="106" s="1"/>
  <c r="D50" i="106" a="1"/>
  <c r="D50" i="106" s="1"/>
  <c r="N45" i="106"/>
  <c r="D45" i="106"/>
  <c r="J40" i="106"/>
  <c r="J36" i="106" a="1"/>
  <c r="J36" i="106" s="1"/>
  <c r="H36" i="106" a="1"/>
  <c r="H36" i="106" s="1"/>
  <c r="D36" i="106" a="1"/>
  <c r="D36" i="106" s="1"/>
  <c r="E34" i="106" a="1"/>
  <c r="E34" i="106" s="1"/>
  <c r="P48" i="106" s="1"/>
  <c r="E33" i="106" a="1"/>
  <c r="E33" i="106" s="1"/>
  <c r="D29" i="106" a="1"/>
  <c r="D29" i="106" s="1"/>
  <c r="D28" i="106" a="1"/>
  <c r="D28" i="106" s="1"/>
  <c r="G25" i="106"/>
  <c r="F25" i="106"/>
  <c r="J19" i="106" a="1"/>
  <c r="J19" i="106" s="1"/>
  <c r="J18" i="106"/>
  <c r="J16" i="106" a="1"/>
  <c r="J16" i="106" s="1"/>
  <c r="J14" i="106" a="1"/>
  <c r="J14" i="106" s="1"/>
  <c r="J13" i="106" a="1"/>
  <c r="J13" i="106" s="1"/>
  <c r="H13" i="106" a="1"/>
  <c r="H13" i="106" s="1"/>
  <c r="D13" i="106" a="1"/>
  <c r="D13" i="106" s="1"/>
  <c r="E11" i="106" a="1"/>
  <c r="E11" i="106" s="1"/>
  <c r="E10" i="106" a="1"/>
  <c r="E10" i="106" s="1"/>
  <c r="D6" i="106" a="1"/>
  <c r="D6" i="106" s="1"/>
  <c r="D5" i="106" a="1"/>
  <c r="D5" i="106" s="1"/>
  <c r="P45" i="105" a="1"/>
  <c r="P45" i="105" s="1"/>
  <c r="F45" i="105" a="1"/>
  <c r="F45" i="105" s="1"/>
  <c r="N42" i="105" a="1"/>
  <c r="N42" i="105" s="1"/>
  <c r="D42" i="105" a="1"/>
  <c r="D42" i="105" s="1"/>
  <c r="P40" i="105" a="1"/>
  <c r="P40" i="105" s="1"/>
  <c r="F40" i="105" a="1"/>
  <c r="F40" i="105" s="1"/>
  <c r="J36" i="105"/>
  <c r="R33" i="105" a="1"/>
  <c r="R33" i="105" s="1"/>
  <c r="N33" i="105" a="1"/>
  <c r="N33" i="105" s="1"/>
  <c r="H33" i="105" a="1"/>
  <c r="H33" i="105" s="1"/>
  <c r="D33" i="105" a="1"/>
  <c r="D33" i="105" s="1"/>
  <c r="O31" i="105" a="1"/>
  <c r="O31" i="105" s="1"/>
  <c r="E31" i="105" a="1"/>
  <c r="E31" i="105" s="1"/>
  <c r="O30" i="105" a="1"/>
  <c r="O30" i="105" s="1"/>
  <c r="E30" i="105" a="1"/>
  <c r="E30" i="105" s="1"/>
  <c r="N26" i="105" a="1"/>
  <c r="N26" i="105" s="1"/>
  <c r="D26" i="105" a="1"/>
  <c r="D26" i="105" s="1"/>
  <c r="N25" i="105" a="1"/>
  <c r="N25" i="105" s="1"/>
  <c r="D25" i="105" a="1"/>
  <c r="D25" i="105" s="1"/>
  <c r="P21" i="105" a="1"/>
  <c r="P21" i="105" s="1"/>
  <c r="F21" i="105" a="1"/>
  <c r="F21" i="105" s="1"/>
  <c r="J19" i="105"/>
  <c r="R13" i="105" a="1"/>
  <c r="R13" i="105" s="1"/>
  <c r="N13" i="105" a="1"/>
  <c r="N13" i="105" s="1"/>
  <c r="J13" i="105"/>
  <c r="H13" i="105" a="1"/>
  <c r="H13" i="105" s="1"/>
  <c r="D13" i="105" a="1"/>
  <c r="D13" i="105" s="1"/>
  <c r="E11" i="105" a="1"/>
  <c r="E11" i="105" s="1"/>
  <c r="E10" i="105" a="1"/>
  <c r="E10" i="105" s="1"/>
  <c r="D6" i="105" a="1"/>
  <c r="D6" i="105" s="1"/>
  <c r="D5" i="105" a="1"/>
  <c r="D5" i="105"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E63" i="103" a="1"/>
  <c r="E63" i="103" s="1"/>
  <c r="D63" i="103" a="1"/>
  <c r="D63" i="103" s="1"/>
  <c r="E62" i="103" a="1"/>
  <c r="E62" i="103" s="1"/>
  <c r="D62" i="103" a="1"/>
  <c r="D62" i="103" s="1"/>
  <c r="E61" i="103" a="1"/>
  <c r="E61" i="103" s="1"/>
  <c r="D61" i="103" a="1"/>
  <c r="D61" i="103" s="1"/>
  <c r="E60" i="103" a="1"/>
  <c r="E60" i="103" s="1"/>
  <c r="D60" i="103" a="1"/>
  <c r="D60" i="103" s="1"/>
  <c r="E59" i="103" a="1"/>
  <c r="E59" i="103" s="1"/>
  <c r="D59" i="103" a="1"/>
  <c r="D59" i="103" s="1"/>
  <c r="E58" i="103" a="1"/>
  <c r="E58" i="103" s="1"/>
  <c r="D58" i="103" a="1"/>
  <c r="D58" i="103" s="1"/>
  <c r="D56" i="103" a="1"/>
  <c r="D56" i="103" s="1"/>
  <c r="D55" i="103" a="1"/>
  <c r="D55" i="103" s="1"/>
  <c r="D54" i="103" a="1"/>
  <c r="D54" i="103" s="1"/>
  <c r="D53" i="103" a="1"/>
  <c r="D53" i="103" s="1"/>
  <c r="D52" i="103" a="1"/>
  <c r="D52" i="103" s="1"/>
  <c r="G50" i="103" a="1"/>
  <c r="G50" i="103" s="1"/>
  <c r="F50" i="103" a="1"/>
  <c r="F50" i="103" s="1"/>
  <c r="E50" i="103" a="1"/>
  <c r="E50" i="103" s="1"/>
  <c r="O21" i="103" s="1"/>
  <c r="D50" i="103" a="1"/>
  <c r="D50" i="103" s="1"/>
  <c r="G49" i="103" a="1"/>
  <c r="G49" i="103" s="1"/>
  <c r="F49" i="103" a="1"/>
  <c r="F49" i="103" s="1"/>
  <c r="E49" i="103" a="1"/>
  <c r="E49" i="103" s="1"/>
  <c r="O20" i="103" s="1"/>
  <c r="D49" i="103" a="1"/>
  <c r="D49" i="103" s="1"/>
  <c r="G48" i="103" a="1"/>
  <c r="G48" i="103" s="1"/>
  <c r="F48" i="103" a="1"/>
  <c r="F48" i="103" s="1"/>
  <c r="E48" i="103" a="1"/>
  <c r="E48" i="103" s="1"/>
  <c r="O19" i="103" s="1"/>
  <c r="D48" i="103" a="1"/>
  <c r="D48" i="103" s="1"/>
  <c r="G47" i="103" a="1"/>
  <c r="G47" i="103" s="1"/>
  <c r="F47" i="103" a="1"/>
  <c r="F47" i="103" s="1"/>
  <c r="E47" i="103" a="1"/>
  <c r="E47" i="103" s="1"/>
  <c r="O18" i="103" s="1"/>
  <c r="D47" i="103" a="1"/>
  <c r="D47" i="103" s="1"/>
  <c r="G46" i="103" a="1"/>
  <c r="G46" i="103" s="1"/>
  <c r="F46" i="103" a="1"/>
  <c r="F46" i="103" s="1"/>
  <c r="E46" i="103" a="1"/>
  <c r="E46" i="103" s="1"/>
  <c r="O17" i="103" s="1"/>
  <c r="D46" i="103" a="1"/>
  <c r="D46" i="103" s="1"/>
  <c r="G45" i="103" a="1"/>
  <c r="G45" i="103" s="1"/>
  <c r="F45" i="103" a="1"/>
  <c r="F45" i="103" s="1"/>
  <c r="E45" i="103" a="1"/>
  <c r="E45" i="103" s="1"/>
  <c r="D45" i="103" a="1"/>
  <c r="D45" i="103" s="1"/>
  <c r="G44" i="103" a="1"/>
  <c r="G44" i="103" s="1"/>
  <c r="F44" i="103" a="1"/>
  <c r="F44" i="103" s="1"/>
  <c r="E44" i="103" a="1"/>
  <c r="E44" i="103" s="1"/>
  <c r="M21" i="103" s="1"/>
  <c r="D44" i="103" a="1"/>
  <c r="D44" i="103" s="1"/>
  <c r="G43" i="103" a="1"/>
  <c r="G43" i="103" s="1"/>
  <c r="F43" i="103" a="1"/>
  <c r="F43" i="103" s="1"/>
  <c r="E43" i="103" a="1"/>
  <c r="E43" i="103" s="1"/>
  <c r="M20" i="103" s="1"/>
  <c r="D43" i="103" a="1"/>
  <c r="D43" i="103" s="1"/>
  <c r="G42" i="103" a="1"/>
  <c r="G42" i="103" s="1"/>
  <c r="F42" i="103" a="1"/>
  <c r="F42" i="103" s="1"/>
  <c r="E42" i="103" a="1"/>
  <c r="E42" i="103" s="1"/>
  <c r="M19" i="103" s="1"/>
  <c r="D42" i="103" a="1"/>
  <c r="D42" i="103" s="1"/>
  <c r="G41" i="103" a="1"/>
  <c r="G41" i="103" s="1"/>
  <c r="F41" i="103" a="1"/>
  <c r="F41" i="103" s="1"/>
  <c r="E41" i="103" a="1"/>
  <c r="E41" i="103" s="1"/>
  <c r="M18" i="103" s="1"/>
  <c r="D41" i="103" a="1"/>
  <c r="D41" i="103" s="1"/>
  <c r="G40" i="103" a="1"/>
  <c r="G40" i="103" s="1"/>
  <c r="F40" i="103" a="1"/>
  <c r="F40" i="103" s="1"/>
  <c r="E40" i="103" a="1"/>
  <c r="E40" i="103" s="1"/>
  <c r="M17" i="103" s="1"/>
  <c r="D40" i="103" a="1"/>
  <c r="D40" i="103" s="1"/>
  <c r="G39" i="103" a="1"/>
  <c r="G39" i="103" s="1"/>
  <c r="F39" i="103" a="1"/>
  <c r="F39" i="103" s="1"/>
  <c r="E39" i="103" a="1"/>
  <c r="E39" i="103" s="1"/>
  <c r="D39" i="103" a="1"/>
  <c r="D39" i="103" s="1"/>
  <c r="G38" i="103" a="1"/>
  <c r="G38" i="103" s="1"/>
  <c r="F38" i="103" a="1"/>
  <c r="F38" i="103" s="1"/>
  <c r="E38" i="103" a="1"/>
  <c r="E38" i="103" s="1"/>
  <c r="K26" i="103" s="1"/>
  <c r="D38" i="103" a="1"/>
  <c r="D38" i="103" s="1"/>
  <c r="G37" i="103" a="1"/>
  <c r="G37" i="103" s="1"/>
  <c r="F37" i="103" a="1"/>
  <c r="F37" i="103" s="1"/>
  <c r="E37" i="103" a="1"/>
  <c r="E37" i="103" s="1"/>
  <c r="K25" i="103" s="1"/>
  <c r="D37" i="103" a="1"/>
  <c r="D37" i="103" s="1"/>
  <c r="G36" i="103" a="1"/>
  <c r="G36" i="103" s="1"/>
  <c r="F36" i="103" a="1"/>
  <c r="F36" i="103" s="1"/>
  <c r="E36" i="103" a="1"/>
  <c r="E36" i="103" s="1"/>
  <c r="K24" i="103" s="1"/>
  <c r="D36" i="103" a="1"/>
  <c r="D36" i="103" s="1"/>
  <c r="G35" i="103" a="1"/>
  <c r="G35" i="103" s="1"/>
  <c r="F35" i="103" a="1"/>
  <c r="F35" i="103" s="1"/>
  <c r="E35" i="103" a="1"/>
  <c r="E35" i="103" s="1"/>
  <c r="K23" i="103" s="1"/>
  <c r="D35" i="103" a="1"/>
  <c r="D35" i="103" s="1"/>
  <c r="G34" i="103" a="1"/>
  <c r="G34" i="103" s="1"/>
  <c r="F34" i="103" a="1"/>
  <c r="F34" i="103" s="1"/>
  <c r="E34" i="103" a="1"/>
  <c r="E34" i="103" s="1"/>
  <c r="K22" i="103" s="1"/>
  <c r="D34" i="103" a="1"/>
  <c r="D34" i="103" s="1"/>
  <c r="G33" i="103" a="1"/>
  <c r="G33" i="103" s="1"/>
  <c r="F33" i="103" a="1"/>
  <c r="F33" i="103" s="1"/>
  <c r="E33" i="103" a="1"/>
  <c r="E33" i="103" s="1"/>
  <c r="K21" i="103" s="1"/>
  <c r="D33" i="103" a="1"/>
  <c r="D33" i="103" s="1"/>
  <c r="G32" i="103" a="1"/>
  <c r="G32" i="103" s="1"/>
  <c r="F32" i="103" a="1"/>
  <c r="F32" i="103" s="1"/>
  <c r="E32" i="103" a="1"/>
  <c r="E32" i="103" s="1"/>
  <c r="K20" i="103" s="1"/>
  <c r="D32" i="103" a="1"/>
  <c r="D32" i="103" s="1"/>
  <c r="G31" i="103" a="1"/>
  <c r="G31" i="103" s="1"/>
  <c r="F31" i="103" a="1"/>
  <c r="F31" i="103" s="1"/>
  <c r="E31" i="103" a="1"/>
  <c r="E31" i="103" s="1"/>
  <c r="K19" i="103" s="1"/>
  <c r="D31" i="103" a="1"/>
  <c r="D31" i="103" s="1"/>
  <c r="G30" i="103" a="1"/>
  <c r="G30" i="103" s="1"/>
  <c r="F30" i="103" a="1"/>
  <c r="F30" i="103" s="1"/>
  <c r="E30" i="103" a="1"/>
  <c r="E30" i="103" s="1"/>
  <c r="K18" i="103" s="1"/>
  <c r="D30" i="103" a="1"/>
  <c r="D30" i="103" s="1"/>
  <c r="G29" i="103" a="1"/>
  <c r="G29" i="103" s="1"/>
  <c r="F29" i="103" a="1"/>
  <c r="F29" i="103" s="1"/>
  <c r="E29" i="103" a="1"/>
  <c r="E29" i="103" s="1"/>
  <c r="K17" i="103" s="1"/>
  <c r="D29" i="103" a="1"/>
  <c r="D29" i="103" s="1"/>
  <c r="G28" i="103" a="1"/>
  <c r="G28" i="103" s="1"/>
  <c r="F28" i="103" a="1"/>
  <c r="F28" i="103" s="1"/>
  <c r="E28" i="103" a="1"/>
  <c r="E28" i="103" s="1"/>
  <c r="D28" i="103" a="1"/>
  <c r="D28" i="103" s="1"/>
  <c r="G27" i="103" a="1"/>
  <c r="G27" i="103" s="1"/>
  <c r="F27" i="103" a="1"/>
  <c r="F27" i="103" s="1"/>
  <c r="E27" i="103" a="1"/>
  <c r="E27" i="103" s="1"/>
  <c r="I27" i="103" s="1"/>
  <c r="D27" i="103" a="1"/>
  <c r="D27" i="103" s="1"/>
  <c r="G26" i="103" a="1"/>
  <c r="G26" i="103" s="1"/>
  <c r="F26" i="103" a="1"/>
  <c r="F26" i="103" s="1"/>
  <c r="E26" i="103" a="1"/>
  <c r="E26" i="103" s="1"/>
  <c r="I26" i="103" s="1"/>
  <c r="D26" i="103" a="1"/>
  <c r="D26" i="103" s="1"/>
  <c r="G25" i="103" a="1"/>
  <c r="G25" i="103" s="1"/>
  <c r="F25" i="103" a="1"/>
  <c r="F25" i="103" s="1"/>
  <c r="E25" i="103" a="1"/>
  <c r="E25" i="103" s="1"/>
  <c r="I25" i="103" s="1"/>
  <c r="D25" i="103" a="1"/>
  <c r="D25" i="103" s="1"/>
  <c r="G24" i="103" a="1"/>
  <c r="G24" i="103" s="1"/>
  <c r="F24" i="103" a="1"/>
  <c r="F24" i="103" s="1"/>
  <c r="E24" i="103" a="1"/>
  <c r="E24" i="103" s="1"/>
  <c r="I24" i="103" s="1"/>
  <c r="D24" i="103" a="1"/>
  <c r="D24" i="103" s="1"/>
  <c r="G23" i="103" a="1"/>
  <c r="G23" i="103" s="1"/>
  <c r="F23" i="103" a="1"/>
  <c r="F23" i="103" s="1"/>
  <c r="E23" i="103" a="1"/>
  <c r="E23" i="103" s="1"/>
  <c r="I23" i="103" s="1"/>
  <c r="D23" i="103" a="1"/>
  <c r="D23" i="103" s="1"/>
  <c r="G22" i="103" a="1"/>
  <c r="G22" i="103" s="1"/>
  <c r="F22" i="103" a="1"/>
  <c r="F22" i="103" s="1"/>
  <c r="E22" i="103" a="1"/>
  <c r="E22" i="103" s="1"/>
  <c r="I22" i="103" s="1"/>
  <c r="D22" i="103" a="1"/>
  <c r="D22" i="103" s="1"/>
  <c r="G21" i="103" a="1"/>
  <c r="G21" i="103" s="1"/>
  <c r="F21" i="103" a="1"/>
  <c r="F21" i="103" s="1"/>
  <c r="E21" i="103" a="1"/>
  <c r="E21" i="103" s="1"/>
  <c r="I21" i="103" s="1"/>
  <c r="D21" i="103" a="1"/>
  <c r="D21" i="103" s="1"/>
  <c r="G20" i="103" a="1"/>
  <c r="G20" i="103" s="1"/>
  <c r="F20" i="103" a="1"/>
  <c r="F20" i="103" s="1"/>
  <c r="E20" i="103" a="1"/>
  <c r="E20" i="103" s="1"/>
  <c r="I20" i="103" s="1"/>
  <c r="D20" i="103" a="1"/>
  <c r="D20" i="103" s="1"/>
  <c r="G19" i="103" a="1"/>
  <c r="G19" i="103" s="1"/>
  <c r="F19" i="103" a="1"/>
  <c r="F19" i="103" s="1"/>
  <c r="E19" i="103" a="1"/>
  <c r="E19" i="103" s="1"/>
  <c r="I19" i="103" s="1"/>
  <c r="D19" i="103" a="1"/>
  <c r="D19" i="103" s="1"/>
  <c r="G18" i="103" a="1"/>
  <c r="G18" i="103" s="1"/>
  <c r="F18" i="103" a="1"/>
  <c r="F18" i="103" s="1"/>
  <c r="E18" i="103" a="1"/>
  <c r="E18" i="103" s="1"/>
  <c r="I18" i="103" s="1"/>
  <c r="D18" i="103" a="1"/>
  <c r="D18" i="103" s="1"/>
  <c r="G17" i="103" a="1"/>
  <c r="G17" i="103" s="1"/>
  <c r="F17" i="103" a="1"/>
  <c r="F17" i="103" s="1"/>
  <c r="E17" i="103" a="1"/>
  <c r="E17" i="103" s="1"/>
  <c r="D17" i="103" a="1"/>
  <c r="D17" i="103" s="1"/>
  <c r="D15" i="103" a="1"/>
  <c r="D15" i="103" s="1"/>
  <c r="D14" i="103" a="1"/>
  <c r="D14" i="103" s="1"/>
  <c r="D7" i="103" a="1"/>
  <c r="D7" i="103" s="1"/>
  <c r="D6" i="103" a="1"/>
  <c r="D6" i="103" s="1"/>
  <c r="D5" i="103" a="1"/>
  <c r="D5" i="103" s="1"/>
  <c r="H185" i="102"/>
  <c r="H179" i="102"/>
  <c r="H168" i="102"/>
  <c r="H144" i="102"/>
  <c r="H138" i="102"/>
  <c r="H127" i="102"/>
  <c r="H105" i="102" a="1"/>
  <c r="H105" i="102" s="1"/>
  <c r="D105" i="102" a="1"/>
  <c r="D105" i="102" s="1"/>
  <c r="E103" i="102" a="1"/>
  <c r="E103" i="102" s="1"/>
  <c r="E102" i="102" a="1"/>
  <c r="E102" i="102" s="1"/>
  <c r="D98" i="102" a="1"/>
  <c r="D98" i="102" s="1"/>
  <c r="D97" i="102" a="1"/>
  <c r="D97" i="102" s="1"/>
  <c r="D96" i="102" a="1"/>
  <c r="D96" i="102" s="1"/>
  <c r="J16" i="102" a="1"/>
  <c r="J16" i="102" s="1"/>
  <c r="I16" i="102" a="1"/>
  <c r="I16" i="102" s="1"/>
  <c r="J15" i="102" a="1"/>
  <c r="J15" i="102" s="1"/>
  <c r="I15" i="102" a="1"/>
  <c r="I15" i="102" s="1"/>
  <c r="J14" i="102" a="1"/>
  <c r="J14" i="102" s="1"/>
  <c r="I14" i="102" a="1"/>
  <c r="I14" i="102" s="1"/>
  <c r="J13" i="102" a="1"/>
  <c r="J13" i="102" s="1"/>
  <c r="I13" i="102" a="1"/>
  <c r="I13" i="102" s="1"/>
  <c r="G13" i="102" a="1"/>
  <c r="G13" i="102" s="1"/>
  <c r="D13" i="102" a="1"/>
  <c r="D13" i="102" s="1"/>
  <c r="E11" i="102" a="1"/>
  <c r="E11" i="102" s="1"/>
  <c r="E10" i="102" a="1"/>
  <c r="E10" i="102" s="1"/>
  <c r="D6" i="102" a="1"/>
  <c r="D6" i="102" s="1"/>
  <c r="D5" i="102" a="1"/>
  <c r="D5" i="102" s="1"/>
  <c r="E139" i="100"/>
  <c r="F40" i="99" s="1"/>
  <c r="G138" i="100"/>
  <c r="F32" i="98" s="1"/>
  <c r="E138" i="100"/>
  <c r="F39" i="99" s="1"/>
  <c r="G137" i="100"/>
  <c r="F31" i="98" s="1"/>
  <c r="E137" i="100"/>
  <c r="F38" i="99" s="1"/>
  <c r="D137" i="100"/>
  <c r="F31" i="99" s="1"/>
  <c r="G136" i="100"/>
  <c r="F30" i="98" s="1"/>
  <c r="E136" i="100"/>
  <c r="F37" i="99" s="1"/>
  <c r="D136" i="100"/>
  <c r="F30" i="99" s="1"/>
  <c r="G135" i="100"/>
  <c r="F29" i="98" s="1"/>
  <c r="E135" i="100"/>
  <c r="F36" i="99" s="1"/>
  <c r="D135" i="100"/>
  <c r="F29" i="99" s="1"/>
  <c r="G134" i="100"/>
  <c r="F28" i="98" s="1"/>
  <c r="E134" i="100"/>
  <c r="F35" i="99" s="1"/>
  <c r="D134" i="100"/>
  <c r="F28" i="99" s="1"/>
  <c r="G133" i="100"/>
  <c r="F27" i="98" s="1"/>
  <c r="F133" i="100"/>
  <c r="F36" i="98" s="1"/>
  <c r="E133" i="100"/>
  <c r="F34" i="99" s="1"/>
  <c r="D133" i="100"/>
  <c r="F27" i="99" s="1"/>
  <c r="I132" i="100"/>
  <c r="F38" i="98" s="1"/>
  <c r="G132" i="100"/>
  <c r="F26" i="98" s="1"/>
  <c r="F132" i="100"/>
  <c r="F35" i="98" s="1"/>
  <c r="E132" i="100"/>
  <c r="F33" i="99" s="1"/>
  <c r="D132" i="100"/>
  <c r="F26" i="99" s="1"/>
  <c r="I131" i="100"/>
  <c r="F37" i="98" s="1"/>
  <c r="H131" i="100"/>
  <c r="F33" i="98" s="1"/>
  <c r="G131" i="100"/>
  <c r="F25" i="98" s="1"/>
  <c r="F131" i="100"/>
  <c r="F34" i="98" s="1"/>
  <c r="E131" i="100"/>
  <c r="F32" i="99" s="1"/>
  <c r="D131" i="100"/>
  <c r="F25" i="99" s="1"/>
  <c r="F120" i="100" a="1"/>
  <c r="F120" i="100" s="1"/>
  <c r="E120" i="100" a="1"/>
  <c r="E120" i="100" s="1"/>
  <c r="D120" i="100" a="1"/>
  <c r="D120" i="100" s="1"/>
  <c r="F119" i="100" a="1"/>
  <c r="F119" i="100" s="1"/>
  <c r="E119" i="100" a="1"/>
  <c r="E119" i="100" s="1"/>
  <c r="D119" i="100" a="1"/>
  <c r="D119" i="100" s="1"/>
  <c r="F118" i="100" a="1"/>
  <c r="F118" i="100" s="1"/>
  <c r="E118" i="100" a="1"/>
  <c r="E118" i="100" s="1"/>
  <c r="D118" i="100" a="1"/>
  <c r="D118" i="100" s="1"/>
  <c r="F117" i="100" a="1"/>
  <c r="F117" i="100" s="1"/>
  <c r="E117" i="100" a="1"/>
  <c r="E117" i="100" s="1"/>
  <c r="D117" i="100" a="1"/>
  <c r="D117" i="100" s="1"/>
  <c r="F116" i="100" a="1"/>
  <c r="F116" i="100" s="1"/>
  <c r="E116" i="100" a="1"/>
  <c r="E116" i="100" s="1"/>
  <c r="D116" i="100" a="1"/>
  <c r="D116" i="100" s="1"/>
  <c r="F115" i="100" a="1"/>
  <c r="F115" i="100" s="1"/>
  <c r="E115" i="100" a="1"/>
  <c r="E115" i="100" s="1"/>
  <c r="D115" i="100" a="1"/>
  <c r="D115" i="100" s="1"/>
  <c r="F114" i="100" a="1"/>
  <c r="F114" i="100" s="1"/>
  <c r="E114" i="100" a="1"/>
  <c r="E114" i="100" s="1"/>
  <c r="D114" i="100" a="1"/>
  <c r="D114" i="100" s="1"/>
  <c r="G113" i="100" a="1"/>
  <c r="G113" i="100" s="1"/>
  <c r="F113" i="100" a="1"/>
  <c r="F113" i="100" s="1"/>
  <c r="E113" i="100" a="1"/>
  <c r="E113" i="100" s="1"/>
  <c r="D113" i="100" a="1"/>
  <c r="D113" i="100" s="1"/>
  <c r="D110" i="100" a="1"/>
  <c r="D110" i="100" s="1"/>
  <c r="D109" i="100" a="1"/>
  <c r="D109" i="100" s="1"/>
  <c r="D108" i="100" a="1"/>
  <c r="D108" i="100" s="1"/>
  <c r="D107" i="100" a="1"/>
  <c r="D107" i="100" s="1"/>
  <c r="J104" i="100" a="1"/>
  <c r="J104" i="100" s="1"/>
  <c r="I104" i="100" a="1"/>
  <c r="I104" i="100" s="1"/>
  <c r="H104" i="100" a="1"/>
  <c r="H104" i="100" s="1"/>
  <c r="G104" i="100" a="1"/>
  <c r="G104" i="100" s="1"/>
  <c r="F104" i="100" a="1"/>
  <c r="F104" i="100" s="1"/>
  <c r="E104" i="100" a="1"/>
  <c r="E104" i="100" s="1"/>
  <c r="D104" i="100" a="1"/>
  <c r="D104" i="100" s="1"/>
  <c r="E40" i="99" s="1"/>
  <c r="J103" i="100" a="1"/>
  <c r="J103" i="100" s="1"/>
  <c r="I103" i="100" a="1"/>
  <c r="I103" i="100" s="1"/>
  <c r="H103" i="100" a="1"/>
  <c r="H103" i="100" s="1"/>
  <c r="G103" i="100" a="1"/>
  <c r="G103" i="100" s="1"/>
  <c r="F103" i="100" a="1"/>
  <c r="F103" i="100" s="1"/>
  <c r="E103" i="100" a="1"/>
  <c r="E103" i="100" s="1"/>
  <c r="D103" i="100" a="1"/>
  <c r="D103" i="100" s="1"/>
  <c r="E39" i="99" s="1"/>
  <c r="J102" i="100" a="1"/>
  <c r="J102" i="100" s="1"/>
  <c r="I102" i="100" a="1"/>
  <c r="I102" i="100" s="1"/>
  <c r="H102" i="100" a="1"/>
  <c r="H102" i="100" s="1"/>
  <c r="G102" i="100" a="1"/>
  <c r="G102" i="100" s="1"/>
  <c r="F102" i="100" a="1"/>
  <c r="F102" i="100" s="1"/>
  <c r="E102" i="100" a="1"/>
  <c r="E102" i="100" s="1"/>
  <c r="D102" i="100" a="1"/>
  <c r="D102" i="100" s="1"/>
  <c r="J101" i="100" a="1"/>
  <c r="J101" i="100" s="1"/>
  <c r="I101" i="100" a="1"/>
  <c r="I101" i="100" s="1"/>
  <c r="H101" i="100" a="1"/>
  <c r="H101" i="100" s="1"/>
  <c r="G101" i="100" a="1"/>
  <c r="G101" i="100" s="1"/>
  <c r="F101" i="100" a="1"/>
  <c r="F101" i="100" s="1"/>
  <c r="E101" i="100" a="1"/>
  <c r="E101" i="100" s="1"/>
  <c r="D101" i="100" a="1"/>
  <c r="D101" i="100" s="1"/>
  <c r="J100" i="100" a="1"/>
  <c r="J100" i="100" s="1"/>
  <c r="I100" i="100" a="1"/>
  <c r="I100" i="100" s="1"/>
  <c r="H100" i="100" a="1"/>
  <c r="H100" i="100" s="1"/>
  <c r="G100" i="100" a="1"/>
  <c r="G100" i="100" s="1"/>
  <c r="F100" i="100" a="1"/>
  <c r="F100" i="100" s="1"/>
  <c r="E100" i="100" a="1"/>
  <c r="E100" i="100" s="1"/>
  <c r="D100" i="100" a="1"/>
  <c r="D100" i="100" s="1"/>
  <c r="J99" i="100" a="1"/>
  <c r="J99" i="100" s="1"/>
  <c r="I99" i="100" a="1"/>
  <c r="I99" i="100" s="1"/>
  <c r="H99" i="100" a="1"/>
  <c r="H99" i="100" s="1"/>
  <c r="G99" i="100" a="1"/>
  <c r="G99" i="100" s="1"/>
  <c r="F99" i="100" a="1"/>
  <c r="F99" i="100" s="1"/>
  <c r="E99" i="100" a="1"/>
  <c r="E99" i="100" s="1"/>
  <c r="D99" i="100" a="1"/>
  <c r="D99" i="100" s="1"/>
  <c r="J98" i="100" a="1"/>
  <c r="J98" i="100" s="1"/>
  <c r="I98" i="100" a="1"/>
  <c r="I98" i="100" s="1"/>
  <c r="H98" i="100" a="1"/>
  <c r="H98" i="100" s="1"/>
  <c r="G98" i="100" a="1"/>
  <c r="G98" i="100" s="1"/>
  <c r="F98" i="100" a="1"/>
  <c r="F98" i="100" s="1"/>
  <c r="E98" i="100" a="1"/>
  <c r="E98" i="100" s="1"/>
  <c r="D98" i="100" a="1"/>
  <c r="D98" i="100" s="1"/>
  <c r="J97" i="100" a="1"/>
  <c r="J97" i="100" s="1"/>
  <c r="I97" i="100" a="1"/>
  <c r="I97" i="100" s="1"/>
  <c r="H97" i="100" a="1"/>
  <c r="H97" i="100" s="1"/>
  <c r="G97" i="100" a="1"/>
  <c r="G97" i="100" s="1"/>
  <c r="F97" i="100" a="1"/>
  <c r="F97" i="100" s="1"/>
  <c r="E97" i="100" a="1"/>
  <c r="E97" i="100" s="1"/>
  <c r="D97" i="100" a="1"/>
  <c r="D97" i="100" s="1"/>
  <c r="J96" i="100" a="1"/>
  <c r="J96" i="100" s="1"/>
  <c r="I96" i="100" a="1"/>
  <c r="I96" i="100" s="1"/>
  <c r="H96" i="100" a="1"/>
  <c r="H96" i="100" s="1"/>
  <c r="G96" i="100" a="1"/>
  <c r="G96" i="100" s="1"/>
  <c r="F96" i="100" a="1"/>
  <c r="F96" i="100" s="1"/>
  <c r="E96" i="100" a="1"/>
  <c r="E96" i="100" s="1"/>
  <c r="D96" i="100" a="1"/>
  <c r="D96" i="100" s="1"/>
  <c r="J95" i="100" a="1"/>
  <c r="J95" i="100" s="1"/>
  <c r="I95" i="100" a="1"/>
  <c r="I95" i="100" s="1"/>
  <c r="H95" i="100" a="1"/>
  <c r="H95" i="100" s="1"/>
  <c r="G95" i="100" a="1"/>
  <c r="G95" i="100" s="1"/>
  <c r="F95" i="100" a="1"/>
  <c r="F95" i="100" s="1"/>
  <c r="E95" i="100" a="1"/>
  <c r="E95" i="100" s="1"/>
  <c r="D95" i="100" a="1"/>
  <c r="D95" i="100" s="1"/>
  <c r="J94" i="100" a="1"/>
  <c r="J94" i="100" s="1"/>
  <c r="I94" i="100" a="1"/>
  <c r="I94" i="100" s="1"/>
  <c r="H94" i="100" a="1"/>
  <c r="H94" i="100" s="1"/>
  <c r="G94" i="100" a="1"/>
  <c r="G94" i="100" s="1"/>
  <c r="F94" i="100" a="1"/>
  <c r="F94" i="100" s="1"/>
  <c r="E94" i="100" a="1"/>
  <c r="E94" i="100" s="1"/>
  <c r="D94" i="100" a="1"/>
  <c r="D94" i="100" s="1"/>
  <c r="J93" i="100" a="1"/>
  <c r="J93" i="100" s="1"/>
  <c r="I93" i="100" a="1"/>
  <c r="I93" i="100" s="1"/>
  <c r="H93" i="100" a="1"/>
  <c r="H93" i="100" s="1"/>
  <c r="G93" i="100" a="1"/>
  <c r="G93" i="100" s="1"/>
  <c r="F93" i="100" a="1"/>
  <c r="F93" i="100" s="1"/>
  <c r="E93" i="100" a="1"/>
  <c r="E93" i="100" s="1"/>
  <c r="D93" i="100" a="1"/>
  <c r="D93" i="100" s="1"/>
  <c r="J92" i="100" a="1"/>
  <c r="J92" i="100" s="1"/>
  <c r="I92" i="100" a="1"/>
  <c r="I92" i="100" s="1"/>
  <c r="H92" i="100" a="1"/>
  <c r="H92" i="100" s="1"/>
  <c r="G92" i="100" a="1"/>
  <c r="G92" i="100" s="1"/>
  <c r="F92" i="100" a="1"/>
  <c r="F92" i="100" s="1"/>
  <c r="E92" i="100" a="1"/>
  <c r="E92" i="100" s="1"/>
  <c r="D92" i="100" a="1"/>
  <c r="D92" i="100" s="1"/>
  <c r="J91" i="100" a="1"/>
  <c r="J91" i="100" s="1"/>
  <c r="I91" i="100" a="1"/>
  <c r="I91" i="100" s="1"/>
  <c r="H91" i="100" a="1"/>
  <c r="H91" i="100" s="1"/>
  <c r="G91" i="100" a="1"/>
  <c r="G91" i="100" s="1"/>
  <c r="F91" i="100" a="1"/>
  <c r="F91" i="100" s="1"/>
  <c r="E91" i="100" a="1"/>
  <c r="E91" i="100" s="1"/>
  <c r="D91" i="100" a="1"/>
  <c r="D91" i="100" s="1"/>
  <c r="J90" i="100" a="1"/>
  <c r="J90" i="100" s="1"/>
  <c r="I90" i="100" a="1"/>
  <c r="I90" i="100" s="1"/>
  <c r="H90" i="100" a="1"/>
  <c r="H90" i="100" s="1"/>
  <c r="G90" i="100" a="1"/>
  <c r="G90" i="100" s="1"/>
  <c r="F90" i="100" a="1"/>
  <c r="F90" i="100" s="1"/>
  <c r="E90" i="100" a="1"/>
  <c r="E90" i="100" s="1"/>
  <c r="D90" i="100" a="1"/>
  <c r="D90" i="100" s="1"/>
  <c r="J89" i="100" a="1"/>
  <c r="J89" i="100" s="1"/>
  <c r="I89" i="100" a="1"/>
  <c r="I89" i="100" s="1"/>
  <c r="H89" i="100" a="1"/>
  <c r="H89" i="100" s="1"/>
  <c r="G89" i="100" a="1"/>
  <c r="G89" i="100" s="1"/>
  <c r="F89" i="100" a="1"/>
  <c r="F89" i="100" s="1"/>
  <c r="E89" i="100" a="1"/>
  <c r="E89" i="100" s="1"/>
  <c r="D89" i="100" a="1"/>
  <c r="D89" i="100" s="1"/>
  <c r="J88" i="100" a="1"/>
  <c r="J88" i="100" s="1"/>
  <c r="I88" i="100" a="1"/>
  <c r="I88" i="100" s="1"/>
  <c r="H88" i="100" a="1"/>
  <c r="H88" i="100" s="1"/>
  <c r="G88" i="100" a="1"/>
  <c r="G88" i="100" s="1"/>
  <c r="F88" i="100" a="1"/>
  <c r="F88" i="100" s="1"/>
  <c r="E88" i="100" a="1"/>
  <c r="E88" i="100" s="1"/>
  <c r="D88" i="100" a="1"/>
  <c r="D88" i="100" s="1"/>
  <c r="J87" i="100" a="1"/>
  <c r="J87" i="100" s="1"/>
  <c r="I87" i="100" a="1"/>
  <c r="I87" i="100" s="1"/>
  <c r="H87" i="100" a="1"/>
  <c r="H87" i="100" s="1"/>
  <c r="G87" i="100" a="1"/>
  <c r="G87" i="100" s="1"/>
  <c r="F87" i="100" a="1"/>
  <c r="F87" i="100" s="1"/>
  <c r="E87" i="100" a="1"/>
  <c r="E87" i="100" s="1"/>
  <c r="D87" i="100" a="1"/>
  <c r="D87" i="100" s="1"/>
  <c r="D84" i="100" a="1"/>
  <c r="D84" i="100" s="1"/>
  <c r="D83" i="100" a="1"/>
  <c r="D83" i="100" s="1"/>
  <c r="D82" i="100" a="1"/>
  <c r="D82" i="100" s="1"/>
  <c r="D81" i="100" a="1"/>
  <c r="D81" i="100" s="1"/>
  <c r="K77" i="100" a="1"/>
  <c r="K77" i="100" s="1"/>
  <c r="J77" i="100" a="1"/>
  <c r="J77" i="100" s="1"/>
  <c r="I77" i="100" a="1"/>
  <c r="I77" i="100" s="1"/>
  <c r="H77" i="100" a="1"/>
  <c r="H77" i="100" s="1"/>
  <c r="G77" i="100" a="1"/>
  <c r="G77" i="100" s="1"/>
  <c r="F77" i="100" a="1"/>
  <c r="F77" i="100" s="1"/>
  <c r="E77" i="100" a="1"/>
  <c r="E77" i="100" s="1"/>
  <c r="D77" i="100" a="1"/>
  <c r="D77" i="100" s="1"/>
  <c r="K76" i="100" a="1"/>
  <c r="K76" i="100" s="1"/>
  <c r="J76" i="100" a="1"/>
  <c r="J76" i="100" s="1"/>
  <c r="I76" i="100" a="1"/>
  <c r="I76" i="100" s="1"/>
  <c r="H76" i="100" a="1"/>
  <c r="H76" i="100" s="1"/>
  <c r="G76" i="100" a="1"/>
  <c r="G76" i="100" s="1"/>
  <c r="F76" i="100" a="1"/>
  <c r="F76" i="100" s="1"/>
  <c r="E76" i="100" a="1"/>
  <c r="E76" i="100" s="1"/>
  <c r="D76" i="100" a="1"/>
  <c r="D76" i="100" s="1"/>
  <c r="K75" i="100" a="1"/>
  <c r="K75" i="100" s="1"/>
  <c r="J75" i="100" a="1"/>
  <c r="J75" i="100" s="1"/>
  <c r="I75" i="100" a="1"/>
  <c r="I75" i="100" s="1"/>
  <c r="H75" i="100" a="1"/>
  <c r="H75" i="100" s="1"/>
  <c r="G75" i="100" a="1"/>
  <c r="G75" i="100" s="1"/>
  <c r="F75" i="100" a="1"/>
  <c r="F75" i="100" s="1"/>
  <c r="E75" i="100" a="1"/>
  <c r="E75" i="100" s="1"/>
  <c r="D75" i="100" a="1"/>
  <c r="D75" i="100" s="1"/>
  <c r="K74" i="100" a="1"/>
  <c r="K74" i="100" s="1"/>
  <c r="J74" i="100" a="1"/>
  <c r="J74" i="100" s="1"/>
  <c r="I74" i="100" a="1"/>
  <c r="I74" i="100" s="1"/>
  <c r="H74" i="100" a="1"/>
  <c r="H74" i="100" s="1"/>
  <c r="G74" i="100" a="1"/>
  <c r="G74" i="100" s="1"/>
  <c r="F74" i="100" a="1"/>
  <c r="F74" i="100" s="1"/>
  <c r="E74" i="100" a="1"/>
  <c r="E74" i="100" s="1"/>
  <c r="D74" i="100" a="1"/>
  <c r="D74" i="100" s="1"/>
  <c r="K73" i="100" a="1"/>
  <c r="K73" i="100" s="1"/>
  <c r="J73" i="100" a="1"/>
  <c r="J73" i="100" s="1"/>
  <c r="I73" i="100" a="1"/>
  <c r="I73" i="100" s="1"/>
  <c r="H73" i="100" a="1"/>
  <c r="H73" i="100" s="1"/>
  <c r="G73" i="100" a="1"/>
  <c r="G73" i="100" s="1"/>
  <c r="F73" i="100" a="1"/>
  <c r="F73" i="100" s="1"/>
  <c r="E73" i="100" a="1"/>
  <c r="E73" i="100" s="1"/>
  <c r="D73" i="100" a="1"/>
  <c r="D73" i="100" s="1"/>
  <c r="K72" i="100" a="1"/>
  <c r="K72" i="100" s="1"/>
  <c r="J72" i="100" a="1"/>
  <c r="J72" i="100" s="1"/>
  <c r="I72" i="100" a="1"/>
  <c r="I72" i="100" s="1"/>
  <c r="H72" i="100" a="1"/>
  <c r="H72" i="100" s="1"/>
  <c r="G72" i="100" a="1"/>
  <c r="G72" i="100" s="1"/>
  <c r="F72" i="100" a="1"/>
  <c r="F72" i="100" s="1"/>
  <c r="E72" i="100" a="1"/>
  <c r="E72" i="100" s="1"/>
  <c r="D72" i="100" a="1"/>
  <c r="D72" i="100" s="1"/>
  <c r="K71" i="100" a="1"/>
  <c r="K71" i="100" s="1"/>
  <c r="J71" i="100" a="1"/>
  <c r="J71" i="100" s="1"/>
  <c r="I71" i="100" a="1"/>
  <c r="I71" i="100" s="1"/>
  <c r="H71" i="100" a="1"/>
  <c r="H71" i="100" s="1"/>
  <c r="G71" i="100" a="1"/>
  <c r="G71" i="100" s="1"/>
  <c r="F71" i="100" a="1"/>
  <c r="F71" i="100" s="1"/>
  <c r="E71" i="100" a="1"/>
  <c r="E71" i="100" s="1"/>
  <c r="D71" i="100" a="1"/>
  <c r="D71" i="100" s="1"/>
  <c r="K70" i="100" a="1"/>
  <c r="K70" i="100" s="1"/>
  <c r="J70" i="100" a="1"/>
  <c r="J70" i="100" s="1"/>
  <c r="I70" i="100" a="1"/>
  <c r="I70" i="100" s="1"/>
  <c r="H70" i="100" a="1"/>
  <c r="H70" i="100" s="1"/>
  <c r="G70" i="100" a="1"/>
  <c r="G70" i="100" s="1"/>
  <c r="F70" i="100" a="1"/>
  <c r="F70" i="100" s="1"/>
  <c r="E70" i="100" a="1"/>
  <c r="E70" i="100" s="1"/>
  <c r="D70" i="100" a="1"/>
  <c r="D70" i="100" s="1"/>
  <c r="K69" i="100" a="1"/>
  <c r="K69" i="100" s="1"/>
  <c r="J69" i="100" a="1"/>
  <c r="J69" i="100" s="1"/>
  <c r="I69" i="100" a="1"/>
  <c r="I69" i="100" s="1"/>
  <c r="H69" i="100" a="1"/>
  <c r="H69" i="100" s="1"/>
  <c r="G69" i="100" a="1"/>
  <c r="G69" i="100" s="1"/>
  <c r="F69" i="100" a="1"/>
  <c r="F69" i="100" s="1"/>
  <c r="E69" i="100" a="1"/>
  <c r="E69" i="100" s="1"/>
  <c r="D69" i="100" a="1"/>
  <c r="D69" i="100" s="1"/>
  <c r="K68" i="100" a="1"/>
  <c r="K68" i="100" s="1"/>
  <c r="J68" i="100" a="1"/>
  <c r="J68" i="100" s="1"/>
  <c r="I68" i="100" a="1"/>
  <c r="I68" i="100" s="1"/>
  <c r="H68" i="100" a="1"/>
  <c r="H68" i="100" s="1"/>
  <c r="G68" i="100" a="1"/>
  <c r="G68" i="100" s="1"/>
  <c r="F68" i="100" a="1"/>
  <c r="F68" i="100" s="1"/>
  <c r="E68" i="100" a="1"/>
  <c r="E68" i="100" s="1"/>
  <c r="D68" i="100" a="1"/>
  <c r="D68" i="100" s="1"/>
  <c r="K67" i="100" a="1"/>
  <c r="K67" i="100" s="1"/>
  <c r="J67" i="100" a="1"/>
  <c r="J67" i="100" s="1"/>
  <c r="I67" i="100" a="1"/>
  <c r="I67" i="100" s="1"/>
  <c r="H67" i="100" a="1"/>
  <c r="H67" i="100" s="1"/>
  <c r="G67" i="100" a="1"/>
  <c r="G67" i="100" s="1"/>
  <c r="F67" i="100" a="1"/>
  <c r="F67" i="100" s="1"/>
  <c r="E67" i="100" a="1"/>
  <c r="E67" i="100" s="1"/>
  <c r="D67" i="100" a="1"/>
  <c r="D67" i="100" s="1"/>
  <c r="K66" i="100" a="1"/>
  <c r="K66" i="100" s="1"/>
  <c r="J66" i="100" a="1"/>
  <c r="J66" i="100" s="1"/>
  <c r="I66" i="100" a="1"/>
  <c r="I66" i="100" s="1"/>
  <c r="H66" i="100" a="1"/>
  <c r="H66" i="100" s="1"/>
  <c r="G66" i="100" a="1"/>
  <c r="G66" i="100" s="1"/>
  <c r="F66" i="100" a="1"/>
  <c r="F66" i="100" s="1"/>
  <c r="E66" i="100" a="1"/>
  <c r="E66" i="100" s="1"/>
  <c r="D66" i="100" a="1"/>
  <c r="D66" i="100" s="1"/>
  <c r="K65" i="100" a="1"/>
  <c r="K65" i="100" s="1"/>
  <c r="J65" i="100" a="1"/>
  <c r="J65" i="100" s="1"/>
  <c r="I65" i="100" a="1"/>
  <c r="I65" i="100" s="1"/>
  <c r="H65" i="100" a="1"/>
  <c r="H65" i="100" s="1"/>
  <c r="G65" i="100" a="1"/>
  <c r="G65" i="100" s="1"/>
  <c r="F65" i="100" a="1"/>
  <c r="F65" i="100" s="1"/>
  <c r="E65" i="100" a="1"/>
  <c r="E65" i="100" s="1"/>
  <c r="D65" i="100" a="1"/>
  <c r="D65" i="100" s="1"/>
  <c r="K64" i="100" a="1"/>
  <c r="K64" i="100" s="1"/>
  <c r="J64" i="100" a="1"/>
  <c r="J64" i="100" s="1"/>
  <c r="I64" i="100" a="1"/>
  <c r="I64" i="100" s="1"/>
  <c r="H64" i="100" a="1"/>
  <c r="H64" i="100" s="1"/>
  <c r="G64" i="100" a="1"/>
  <c r="G64" i="100" s="1"/>
  <c r="F64" i="100" a="1"/>
  <c r="F64" i="100" s="1"/>
  <c r="E64" i="100" a="1"/>
  <c r="E64" i="100" s="1"/>
  <c r="D64" i="100" a="1"/>
  <c r="D64" i="100" s="1"/>
  <c r="K63" i="100" a="1"/>
  <c r="K63" i="100" s="1"/>
  <c r="J63" i="100" a="1"/>
  <c r="J63" i="100" s="1"/>
  <c r="I63" i="100" a="1"/>
  <c r="I63" i="100" s="1"/>
  <c r="H63" i="100" a="1"/>
  <c r="H63" i="100" s="1"/>
  <c r="G63" i="100" a="1"/>
  <c r="G63" i="100" s="1"/>
  <c r="F63" i="100" a="1"/>
  <c r="F63" i="100" s="1"/>
  <c r="E63" i="100" a="1"/>
  <c r="E63" i="100" s="1"/>
  <c r="D63" i="100" a="1"/>
  <c r="D63" i="100" s="1"/>
  <c r="K62" i="100" a="1"/>
  <c r="K62" i="100" s="1"/>
  <c r="J62" i="100" a="1"/>
  <c r="J62" i="100" s="1"/>
  <c r="I62" i="100" a="1"/>
  <c r="I62" i="100" s="1"/>
  <c r="H62" i="100" a="1"/>
  <c r="H62" i="100" s="1"/>
  <c r="G62" i="100" a="1"/>
  <c r="G62" i="100" s="1"/>
  <c r="F62" i="100" a="1"/>
  <c r="F62" i="100" s="1"/>
  <c r="E62" i="100" a="1"/>
  <c r="E62" i="100" s="1"/>
  <c r="D62" i="100" a="1"/>
  <c r="D62" i="100" s="1"/>
  <c r="K61" i="100" a="1"/>
  <c r="K61" i="100" s="1"/>
  <c r="J61" i="100" a="1"/>
  <c r="J61" i="100" s="1"/>
  <c r="I61" i="100" a="1"/>
  <c r="I61" i="100" s="1"/>
  <c r="H61" i="100" a="1"/>
  <c r="H61" i="100" s="1"/>
  <c r="G61" i="100" a="1"/>
  <c r="G61" i="100" s="1"/>
  <c r="F61" i="100" a="1"/>
  <c r="F61" i="100" s="1"/>
  <c r="E61" i="100" a="1"/>
  <c r="E61" i="100" s="1"/>
  <c r="D61" i="100" a="1"/>
  <c r="D61" i="100" s="1"/>
  <c r="K60" i="100" a="1"/>
  <c r="K60" i="100" s="1"/>
  <c r="J60" i="100" a="1"/>
  <c r="J60" i="100" s="1"/>
  <c r="I60" i="100" a="1"/>
  <c r="I60" i="100" s="1"/>
  <c r="H60" i="100" a="1"/>
  <c r="H60" i="100" s="1"/>
  <c r="G60" i="100" a="1"/>
  <c r="G60" i="100" s="1"/>
  <c r="F60" i="100" a="1"/>
  <c r="F60" i="100" s="1"/>
  <c r="E60" i="100" a="1"/>
  <c r="E60" i="100" s="1"/>
  <c r="D60" i="100" a="1"/>
  <c r="D60" i="100" s="1"/>
  <c r="K59" i="100" a="1"/>
  <c r="K59" i="100" s="1"/>
  <c r="J59" i="100" a="1"/>
  <c r="J59" i="100" s="1"/>
  <c r="I59" i="100" a="1"/>
  <c r="I59" i="100" s="1"/>
  <c r="H59" i="100" a="1"/>
  <c r="H59" i="100" s="1"/>
  <c r="G59" i="100" a="1"/>
  <c r="G59" i="100" s="1"/>
  <c r="F59" i="100" a="1"/>
  <c r="F59" i="100" s="1"/>
  <c r="E59" i="100" a="1"/>
  <c r="E59" i="100" s="1"/>
  <c r="D59" i="100" a="1"/>
  <c r="D59" i="100" s="1"/>
  <c r="K58" i="100" a="1"/>
  <c r="K58" i="100" s="1"/>
  <c r="J58" i="100" a="1"/>
  <c r="J58" i="100" s="1"/>
  <c r="I58" i="100" a="1"/>
  <c r="I58" i="100" s="1"/>
  <c r="H58" i="100" a="1"/>
  <c r="H58" i="100" s="1"/>
  <c r="G58" i="100" a="1"/>
  <c r="G58" i="100" s="1"/>
  <c r="F58" i="100" a="1"/>
  <c r="F58" i="100" s="1"/>
  <c r="E58" i="100" a="1"/>
  <c r="E58" i="100" s="1"/>
  <c r="D58" i="100" a="1"/>
  <c r="D58" i="100" s="1"/>
  <c r="K57" i="100" a="1"/>
  <c r="K57" i="100" s="1"/>
  <c r="J57" i="100" a="1"/>
  <c r="J57" i="100" s="1"/>
  <c r="I57" i="100" a="1"/>
  <c r="I57" i="100" s="1"/>
  <c r="H57" i="100" a="1"/>
  <c r="H57" i="100" s="1"/>
  <c r="G57" i="100" a="1"/>
  <c r="G57" i="100" s="1"/>
  <c r="F57" i="100" a="1"/>
  <c r="F57" i="100" s="1"/>
  <c r="E57" i="100" a="1"/>
  <c r="E57" i="100" s="1"/>
  <c r="D57" i="100" a="1"/>
  <c r="D57" i="100" s="1"/>
  <c r="K56" i="100" a="1"/>
  <c r="K56" i="100" s="1"/>
  <c r="J56" i="100" a="1"/>
  <c r="J56" i="100" s="1"/>
  <c r="I56" i="100" a="1"/>
  <c r="I56" i="100" s="1"/>
  <c r="H56" i="100" a="1"/>
  <c r="H56" i="100" s="1"/>
  <c r="G56" i="100" a="1"/>
  <c r="G56" i="100" s="1"/>
  <c r="F56" i="100" a="1"/>
  <c r="F56" i="100" s="1"/>
  <c r="E56" i="100" a="1"/>
  <c r="E56" i="100" s="1"/>
  <c r="D56" i="100" a="1"/>
  <c r="D56" i="100" s="1"/>
  <c r="K55" i="100" a="1"/>
  <c r="K55" i="100" s="1"/>
  <c r="J55" i="100" a="1"/>
  <c r="J55" i="100" s="1"/>
  <c r="I55" i="100" a="1"/>
  <c r="I55" i="100" s="1"/>
  <c r="H55" i="100" a="1"/>
  <c r="H55" i="100" s="1"/>
  <c r="G55" i="100" a="1"/>
  <c r="G55" i="100" s="1"/>
  <c r="F55" i="100" a="1"/>
  <c r="F55" i="100" s="1"/>
  <c r="E55" i="100" a="1"/>
  <c r="E55" i="100" s="1"/>
  <c r="D55" i="100" a="1"/>
  <c r="D55" i="100" s="1"/>
  <c r="K54" i="100" a="1"/>
  <c r="K54" i="100" s="1"/>
  <c r="J54" i="100" a="1"/>
  <c r="J54" i="100" s="1"/>
  <c r="I54" i="100" a="1"/>
  <c r="I54" i="100" s="1"/>
  <c r="H54" i="100" a="1"/>
  <c r="H54" i="100" s="1"/>
  <c r="G54" i="100" a="1"/>
  <c r="G54" i="100" s="1"/>
  <c r="F54" i="100" a="1"/>
  <c r="F54" i="100" s="1"/>
  <c r="E54" i="100" a="1"/>
  <c r="E54" i="100" s="1"/>
  <c r="D54" i="100" a="1"/>
  <c r="D54" i="100" s="1"/>
  <c r="D52" i="100" a="1"/>
  <c r="D52" i="100" s="1"/>
  <c r="D51" i="100" a="1"/>
  <c r="D51" i="100" s="1"/>
  <c r="D50" i="100" a="1"/>
  <c r="D50" i="100" s="1"/>
  <c r="D49" i="100" a="1"/>
  <c r="D49" i="100" s="1"/>
  <c r="J43" i="100" a="1"/>
  <c r="J43" i="100" s="1"/>
  <c r="I43" i="100" a="1"/>
  <c r="I43" i="100" s="1"/>
  <c r="H43" i="100" a="1"/>
  <c r="H43" i="100" s="1"/>
  <c r="G43" i="100" a="1"/>
  <c r="G43" i="100" s="1"/>
  <c r="F43" i="100" a="1"/>
  <c r="F43" i="100" s="1"/>
  <c r="E43" i="100" a="1"/>
  <c r="E43" i="100" s="1"/>
  <c r="D43" i="100" a="1"/>
  <c r="D43" i="100" s="1"/>
  <c r="J42" i="100" a="1"/>
  <c r="J42" i="100" s="1"/>
  <c r="I42" i="100" a="1"/>
  <c r="I42" i="100" s="1"/>
  <c r="H42" i="100" a="1"/>
  <c r="H42" i="100" s="1"/>
  <c r="G42" i="100" a="1"/>
  <c r="G42" i="100" s="1"/>
  <c r="F42" i="100" a="1"/>
  <c r="F42" i="100" s="1"/>
  <c r="E42" i="100" a="1"/>
  <c r="E42" i="100" s="1"/>
  <c r="D42" i="100" a="1"/>
  <c r="D42" i="100" s="1"/>
  <c r="J41" i="100" a="1"/>
  <c r="J41" i="100" s="1"/>
  <c r="I41" i="100" a="1"/>
  <c r="I41" i="100" s="1"/>
  <c r="H41" i="100" a="1"/>
  <c r="H41" i="100" s="1"/>
  <c r="G41" i="100" a="1"/>
  <c r="G41" i="100" s="1"/>
  <c r="F41" i="100" a="1"/>
  <c r="F41" i="100" s="1"/>
  <c r="E41" i="100" a="1"/>
  <c r="E41" i="100" s="1"/>
  <c r="D41" i="100" a="1"/>
  <c r="D41" i="100" s="1"/>
  <c r="J40" i="100" a="1"/>
  <c r="J40" i="100" s="1"/>
  <c r="I40" i="100" a="1"/>
  <c r="I40" i="100" s="1"/>
  <c r="H40" i="100" a="1"/>
  <c r="H40" i="100" s="1"/>
  <c r="G40" i="100" a="1"/>
  <c r="G40" i="100" s="1"/>
  <c r="F40" i="100" a="1"/>
  <c r="F40" i="100" s="1"/>
  <c r="E40" i="100" a="1"/>
  <c r="E40" i="100" s="1"/>
  <c r="D40" i="100" a="1"/>
  <c r="D40" i="100" s="1"/>
  <c r="D38" i="100" a="1"/>
  <c r="D38" i="100" s="1"/>
  <c r="D37" i="100" a="1"/>
  <c r="D37" i="100" s="1"/>
  <c r="L34" i="100" a="1"/>
  <c r="L34" i="100" s="1"/>
  <c r="K34" i="100" a="1"/>
  <c r="K34" i="100" s="1"/>
  <c r="J34" i="100" a="1"/>
  <c r="J34" i="100" s="1"/>
  <c r="I34" i="100" a="1"/>
  <c r="I34" i="100" s="1"/>
  <c r="H34" i="100" a="1"/>
  <c r="H34" i="100" s="1"/>
  <c r="G34" i="100" a="1"/>
  <c r="G34" i="100" s="1"/>
  <c r="F34" i="100" a="1"/>
  <c r="F34" i="100" s="1"/>
  <c r="E34" i="100" a="1"/>
  <c r="E34" i="100" s="1"/>
  <c r="D34" i="100" a="1"/>
  <c r="D34" i="100" s="1"/>
  <c r="L33" i="100" a="1"/>
  <c r="L33" i="100" s="1"/>
  <c r="K33" i="100" a="1"/>
  <c r="K33" i="100" s="1"/>
  <c r="J33" i="100" a="1"/>
  <c r="J33" i="100" s="1"/>
  <c r="I33" i="100" a="1"/>
  <c r="I33" i="100" s="1"/>
  <c r="H33" i="100" a="1"/>
  <c r="H33" i="100" s="1"/>
  <c r="G33" i="100" a="1"/>
  <c r="G33" i="100" s="1"/>
  <c r="F33" i="100" a="1"/>
  <c r="F33" i="100" s="1"/>
  <c r="E33" i="100" a="1"/>
  <c r="E33" i="100" s="1"/>
  <c r="E39" i="98" s="1"/>
  <c r="D33" i="100" a="1"/>
  <c r="D33" i="100" s="1"/>
  <c r="L32" i="100" a="1"/>
  <c r="L32" i="100" s="1"/>
  <c r="K32" i="100" a="1"/>
  <c r="K32" i="100" s="1"/>
  <c r="J32" i="100" a="1"/>
  <c r="J32" i="100" s="1"/>
  <c r="I32" i="100" a="1"/>
  <c r="I32" i="100" s="1"/>
  <c r="H32" i="100" a="1"/>
  <c r="H32" i="100" s="1"/>
  <c r="G32" i="100" a="1"/>
  <c r="G32" i="100" s="1"/>
  <c r="F32" i="100" a="1"/>
  <c r="F32" i="100" s="1"/>
  <c r="E32" i="100" a="1"/>
  <c r="E32" i="100" s="1"/>
  <c r="D32" i="100" a="1"/>
  <c r="D32" i="100" s="1"/>
  <c r="L31" i="100" a="1"/>
  <c r="L31" i="100" s="1"/>
  <c r="K31" i="100" a="1"/>
  <c r="K31" i="100" s="1"/>
  <c r="J31" i="100" a="1"/>
  <c r="J31" i="100" s="1"/>
  <c r="I31" i="100" a="1"/>
  <c r="I31" i="100" s="1"/>
  <c r="H31" i="100" a="1"/>
  <c r="H31" i="100" s="1"/>
  <c r="G31" i="100" a="1"/>
  <c r="G31" i="100" s="1"/>
  <c r="F31" i="100" a="1"/>
  <c r="F31" i="100" s="1"/>
  <c r="E31" i="100" a="1"/>
  <c r="E31" i="100" s="1"/>
  <c r="D31" i="100" a="1"/>
  <c r="D31" i="100" s="1"/>
  <c r="L30" i="100" a="1"/>
  <c r="L30" i="100" s="1"/>
  <c r="K30" i="100" a="1"/>
  <c r="K30" i="100" s="1"/>
  <c r="J30" i="100" a="1"/>
  <c r="J30" i="100" s="1"/>
  <c r="I30" i="100" a="1"/>
  <c r="I30" i="100" s="1"/>
  <c r="H30" i="100" a="1"/>
  <c r="H30" i="100" s="1"/>
  <c r="G30" i="100" a="1"/>
  <c r="G30" i="100" s="1"/>
  <c r="F30" i="100" a="1"/>
  <c r="F30" i="100" s="1"/>
  <c r="E30" i="100" a="1"/>
  <c r="E30" i="100" s="1"/>
  <c r="E36" i="98" s="1"/>
  <c r="D30" i="100" a="1"/>
  <c r="D30" i="100" s="1"/>
  <c r="L29" i="100" a="1"/>
  <c r="L29" i="100" s="1"/>
  <c r="K29" i="100" a="1"/>
  <c r="K29" i="100" s="1"/>
  <c r="J29" i="100" a="1"/>
  <c r="J29" i="100" s="1"/>
  <c r="I29" i="100" a="1"/>
  <c r="I29" i="100" s="1"/>
  <c r="H29" i="100" a="1"/>
  <c r="H29" i="100" s="1"/>
  <c r="G29" i="100" a="1"/>
  <c r="G29" i="100" s="1"/>
  <c r="F29" i="100" a="1"/>
  <c r="F29" i="100" s="1"/>
  <c r="E29" i="100" a="1"/>
  <c r="E29" i="100" s="1"/>
  <c r="E35" i="98" s="1"/>
  <c r="D29" i="100" a="1"/>
  <c r="D29" i="100" s="1"/>
  <c r="L28" i="100" a="1"/>
  <c r="L28" i="100" s="1"/>
  <c r="K28" i="100" a="1"/>
  <c r="K28" i="100" s="1"/>
  <c r="J28" i="100" a="1"/>
  <c r="J28" i="100" s="1"/>
  <c r="I28" i="100" a="1"/>
  <c r="I28" i="100" s="1"/>
  <c r="H28" i="100" a="1"/>
  <c r="H28" i="100" s="1"/>
  <c r="G28" i="100" a="1"/>
  <c r="G28" i="100" s="1"/>
  <c r="F28" i="100" a="1"/>
  <c r="F28" i="100" s="1"/>
  <c r="E28" i="100" a="1"/>
  <c r="E28" i="100" s="1"/>
  <c r="E34" i="98" s="1"/>
  <c r="D28" i="100" a="1"/>
  <c r="D28" i="100" s="1"/>
  <c r="L27" i="100" a="1"/>
  <c r="L27" i="100" s="1"/>
  <c r="K27" i="100" a="1"/>
  <c r="K27" i="100" s="1"/>
  <c r="J27" i="100" a="1"/>
  <c r="J27" i="100" s="1"/>
  <c r="I27" i="100" a="1"/>
  <c r="I27" i="100" s="1"/>
  <c r="H27" i="100" a="1"/>
  <c r="H27" i="100" s="1"/>
  <c r="G27" i="100" a="1"/>
  <c r="G27" i="100" s="1"/>
  <c r="F27" i="100" a="1"/>
  <c r="F27" i="100" s="1"/>
  <c r="E27" i="100" a="1"/>
  <c r="E27" i="100" s="1"/>
  <c r="D27" i="100" a="1"/>
  <c r="D27" i="100" s="1"/>
  <c r="L26" i="100" a="1"/>
  <c r="L26" i="100" s="1"/>
  <c r="K26" i="100" a="1"/>
  <c r="K26" i="100" s="1"/>
  <c r="J26" i="100" a="1"/>
  <c r="J26" i="100" s="1"/>
  <c r="I26" i="100" a="1"/>
  <c r="I26" i="100" s="1"/>
  <c r="H26" i="100" a="1"/>
  <c r="H26" i="100" s="1"/>
  <c r="G26" i="100" a="1"/>
  <c r="G26" i="100" s="1"/>
  <c r="F26" i="100" a="1"/>
  <c r="F26" i="100" s="1"/>
  <c r="E26" i="100" a="1"/>
  <c r="E26" i="100" s="1"/>
  <c r="D26" i="100" a="1"/>
  <c r="D26" i="100" s="1"/>
  <c r="L25" i="100" a="1"/>
  <c r="L25" i="100" s="1"/>
  <c r="K25" i="100" a="1"/>
  <c r="K25" i="100" s="1"/>
  <c r="J25" i="100" a="1"/>
  <c r="J25" i="100" s="1"/>
  <c r="I25" i="100" a="1"/>
  <c r="I25" i="100" s="1"/>
  <c r="H25" i="100" a="1"/>
  <c r="H25" i="100" s="1"/>
  <c r="G25" i="100" a="1"/>
  <c r="G25" i="100" s="1"/>
  <c r="F25" i="100" a="1"/>
  <c r="F25" i="100" s="1"/>
  <c r="E25" i="100" a="1"/>
  <c r="E25" i="100" s="1"/>
  <c r="D25" i="100" a="1"/>
  <c r="D25" i="100" s="1"/>
  <c r="L24" i="100" a="1"/>
  <c r="L24" i="100" s="1"/>
  <c r="K24" i="100" a="1"/>
  <c r="K24" i="100" s="1"/>
  <c r="J24" i="100" a="1"/>
  <c r="J24" i="100" s="1"/>
  <c r="I24" i="100" a="1"/>
  <c r="I24" i="100" s="1"/>
  <c r="H24" i="100" a="1"/>
  <c r="H24" i="100" s="1"/>
  <c r="G24" i="100" a="1"/>
  <c r="G24" i="100" s="1"/>
  <c r="F24" i="100" a="1"/>
  <c r="F24" i="100" s="1"/>
  <c r="E24" i="100" a="1"/>
  <c r="E24" i="100" s="1"/>
  <c r="D24" i="100" a="1"/>
  <c r="D24" i="100" s="1"/>
  <c r="L23" i="100" a="1"/>
  <c r="L23" i="100" s="1"/>
  <c r="K23" i="100" a="1"/>
  <c r="K23" i="100" s="1"/>
  <c r="J23" i="100" a="1"/>
  <c r="J23" i="100" s="1"/>
  <c r="I23" i="100" a="1"/>
  <c r="I23" i="100" s="1"/>
  <c r="H23" i="100" a="1"/>
  <c r="H23" i="100" s="1"/>
  <c r="G23" i="100" a="1"/>
  <c r="G23" i="100" s="1"/>
  <c r="F23" i="100" a="1"/>
  <c r="F23" i="100" s="1"/>
  <c r="E23" i="100" a="1"/>
  <c r="E23" i="100" s="1"/>
  <c r="D23" i="100" a="1"/>
  <c r="D23" i="100" s="1"/>
  <c r="L22" i="100" a="1"/>
  <c r="L22" i="100" s="1"/>
  <c r="K22" i="100" a="1"/>
  <c r="K22" i="100" s="1"/>
  <c r="J22" i="100" a="1"/>
  <c r="J22" i="100" s="1"/>
  <c r="I22" i="100" a="1"/>
  <c r="I22" i="100" s="1"/>
  <c r="H22" i="100" a="1"/>
  <c r="H22" i="100" s="1"/>
  <c r="G22" i="100" a="1"/>
  <c r="G22" i="100" s="1"/>
  <c r="F22" i="100" a="1"/>
  <c r="F22" i="100" s="1"/>
  <c r="E22" i="100" a="1"/>
  <c r="E22" i="100" s="1"/>
  <c r="D22" i="100" a="1"/>
  <c r="D22" i="100" s="1"/>
  <c r="L21" i="100" a="1"/>
  <c r="L21" i="100" s="1"/>
  <c r="K21" i="100" a="1"/>
  <c r="K21" i="100" s="1"/>
  <c r="J21" i="100" a="1"/>
  <c r="J21" i="100" s="1"/>
  <c r="I21" i="100" a="1"/>
  <c r="I21" i="100" s="1"/>
  <c r="H21" i="100" a="1"/>
  <c r="H21" i="100" s="1"/>
  <c r="G21" i="100" a="1"/>
  <c r="G21" i="100" s="1"/>
  <c r="F21" i="100" a="1"/>
  <c r="F21" i="100" s="1"/>
  <c r="E21" i="100" a="1"/>
  <c r="E21" i="100" s="1"/>
  <c r="D21" i="100" a="1"/>
  <c r="D21" i="100" s="1"/>
  <c r="L20" i="100" a="1"/>
  <c r="L20" i="100" s="1"/>
  <c r="K20" i="100" a="1"/>
  <c r="K20" i="100" s="1"/>
  <c r="J20" i="100" a="1"/>
  <c r="J20" i="100" s="1"/>
  <c r="I20" i="100" a="1"/>
  <c r="I20" i="100" s="1"/>
  <c r="H20" i="100" a="1"/>
  <c r="H20" i="100" s="1"/>
  <c r="G20" i="100" a="1"/>
  <c r="G20" i="100" s="1"/>
  <c r="F20" i="100" a="1"/>
  <c r="F20" i="100" s="1"/>
  <c r="E20" i="100" a="1"/>
  <c r="E20" i="100" s="1"/>
  <c r="D20" i="100" a="1"/>
  <c r="D20" i="100" s="1"/>
  <c r="L19" i="100" a="1"/>
  <c r="L19" i="100" s="1"/>
  <c r="K19" i="100" a="1"/>
  <c r="K19" i="100" s="1"/>
  <c r="J19" i="100" a="1"/>
  <c r="J19" i="100" s="1"/>
  <c r="I19" i="100" a="1"/>
  <c r="I19" i="100" s="1"/>
  <c r="H19" i="100" a="1"/>
  <c r="H19" i="100" s="1"/>
  <c r="G19" i="100" a="1"/>
  <c r="G19" i="100" s="1"/>
  <c r="F19" i="100" a="1"/>
  <c r="F19" i="100" s="1"/>
  <c r="E19" i="100" a="1"/>
  <c r="E19" i="100" s="1"/>
  <c r="D19" i="100" a="1"/>
  <c r="D19" i="100" s="1"/>
  <c r="L18" i="100" a="1"/>
  <c r="L18" i="100" s="1"/>
  <c r="K18" i="100" a="1"/>
  <c r="K18" i="100" s="1"/>
  <c r="J18" i="100" a="1"/>
  <c r="J18" i="100" s="1"/>
  <c r="I18" i="100" a="1"/>
  <c r="I18" i="100" s="1"/>
  <c r="H18" i="100" a="1"/>
  <c r="H18" i="100" s="1"/>
  <c r="G18" i="100" a="1"/>
  <c r="G18" i="100" s="1"/>
  <c r="F18" i="100" a="1"/>
  <c r="F18" i="100" s="1"/>
  <c r="E18" i="100" a="1"/>
  <c r="E18" i="100" s="1"/>
  <c r="D18" i="100" a="1"/>
  <c r="D18" i="100" s="1"/>
  <c r="L17" i="100" a="1"/>
  <c r="L17" i="100" s="1"/>
  <c r="K17" i="100" a="1"/>
  <c r="K17" i="100" s="1"/>
  <c r="J17" i="100" a="1"/>
  <c r="J17" i="100" s="1"/>
  <c r="I17" i="100" a="1"/>
  <c r="I17" i="100" s="1"/>
  <c r="H17" i="100" a="1"/>
  <c r="H17" i="100" s="1"/>
  <c r="G17" i="100" a="1"/>
  <c r="G17" i="100" s="1"/>
  <c r="F17" i="100" a="1"/>
  <c r="F17" i="100" s="1"/>
  <c r="E17" i="100" a="1"/>
  <c r="E17" i="100" s="1"/>
  <c r="E32" i="98" s="1"/>
  <c r="D17" i="100" a="1"/>
  <c r="D17" i="100" s="1"/>
  <c r="L16" i="100" a="1"/>
  <c r="L16" i="100" s="1"/>
  <c r="K16" i="100" a="1"/>
  <c r="K16" i="100" s="1"/>
  <c r="J16" i="100" a="1"/>
  <c r="J16" i="100" s="1"/>
  <c r="I16" i="100" a="1"/>
  <c r="I16" i="100" s="1"/>
  <c r="H16" i="100" a="1"/>
  <c r="H16" i="100" s="1"/>
  <c r="G16" i="100" a="1"/>
  <c r="G16" i="100" s="1"/>
  <c r="F16" i="100" a="1"/>
  <c r="F16" i="100" s="1"/>
  <c r="E16" i="100" a="1"/>
  <c r="E16" i="100" s="1"/>
  <c r="E31" i="98" s="1"/>
  <c r="D16" i="100" a="1"/>
  <c r="D16" i="100" s="1"/>
  <c r="L15" i="100" a="1"/>
  <c r="L15" i="100" s="1"/>
  <c r="K15" i="100" a="1"/>
  <c r="K15" i="100" s="1"/>
  <c r="J15" i="100" a="1"/>
  <c r="J15" i="100" s="1"/>
  <c r="I15" i="100" a="1"/>
  <c r="I15" i="100" s="1"/>
  <c r="H15" i="100" a="1"/>
  <c r="H15" i="100" s="1"/>
  <c r="G15" i="100" a="1"/>
  <c r="G15" i="100" s="1"/>
  <c r="F15" i="100" a="1"/>
  <c r="F15" i="100" s="1"/>
  <c r="E15" i="100" a="1"/>
  <c r="E15" i="100" s="1"/>
  <c r="E30" i="98" s="1"/>
  <c r="D15" i="100" a="1"/>
  <c r="D15" i="100" s="1"/>
  <c r="L14" i="100" a="1"/>
  <c r="L14" i="100" s="1"/>
  <c r="K14" i="100" a="1"/>
  <c r="K14" i="100" s="1"/>
  <c r="J14" i="100" a="1"/>
  <c r="J14" i="100" s="1"/>
  <c r="I14" i="100" a="1"/>
  <c r="I14" i="100" s="1"/>
  <c r="H14" i="100" a="1"/>
  <c r="H14" i="100" s="1"/>
  <c r="G14" i="100" a="1"/>
  <c r="G14" i="100" s="1"/>
  <c r="F14" i="100" a="1"/>
  <c r="F14" i="100" s="1"/>
  <c r="E14" i="100" a="1"/>
  <c r="E14" i="100" s="1"/>
  <c r="E29" i="98" s="1"/>
  <c r="D14" i="100" a="1"/>
  <c r="D14" i="100" s="1"/>
  <c r="L13" i="100" a="1"/>
  <c r="L13" i="100" s="1"/>
  <c r="K13" i="100" a="1"/>
  <c r="K13" i="100" s="1"/>
  <c r="J13" i="100" a="1"/>
  <c r="J13" i="100" s="1"/>
  <c r="I13" i="100" a="1"/>
  <c r="I13" i="100" s="1"/>
  <c r="H13" i="100" a="1"/>
  <c r="H13" i="100" s="1"/>
  <c r="G13" i="100" a="1"/>
  <c r="G13" i="100" s="1"/>
  <c r="F13" i="100" a="1"/>
  <c r="F13" i="100" s="1"/>
  <c r="E13" i="100" a="1"/>
  <c r="E13" i="100" s="1"/>
  <c r="E28" i="98" s="1"/>
  <c r="D13" i="100" a="1"/>
  <c r="D13" i="100" s="1"/>
  <c r="L12" i="100" a="1"/>
  <c r="L12" i="100" s="1"/>
  <c r="K12" i="100" a="1"/>
  <c r="K12" i="100" s="1"/>
  <c r="J12" i="100" a="1"/>
  <c r="J12" i="100" s="1"/>
  <c r="I12" i="100" a="1"/>
  <c r="I12" i="100" s="1"/>
  <c r="H12" i="100" a="1"/>
  <c r="H12" i="100" s="1"/>
  <c r="G12" i="100" a="1"/>
  <c r="G12" i="100" s="1"/>
  <c r="F12" i="100" a="1"/>
  <c r="F12" i="100" s="1"/>
  <c r="E12" i="100" a="1"/>
  <c r="E12" i="100" s="1"/>
  <c r="E27" i="98" s="1"/>
  <c r="D12" i="100" a="1"/>
  <c r="D12" i="100" s="1"/>
  <c r="L11" i="100" a="1"/>
  <c r="L11" i="100" s="1"/>
  <c r="K11" i="100" a="1"/>
  <c r="K11" i="100" s="1"/>
  <c r="J11" i="100" a="1"/>
  <c r="J11" i="100" s="1"/>
  <c r="I11" i="100" a="1"/>
  <c r="I11" i="100" s="1"/>
  <c r="H11" i="100" a="1"/>
  <c r="H11" i="100" s="1"/>
  <c r="G11" i="100" a="1"/>
  <c r="G11" i="100" s="1"/>
  <c r="F11" i="100" a="1"/>
  <c r="F11" i="100" s="1"/>
  <c r="E11" i="100" a="1"/>
  <c r="E11" i="100" s="1"/>
  <c r="D11" i="100" a="1"/>
  <c r="D11" i="100" s="1"/>
  <c r="L10" i="100" a="1"/>
  <c r="L10" i="100" s="1"/>
  <c r="K10" i="100" a="1"/>
  <c r="K10" i="100" s="1"/>
  <c r="J10" i="100" a="1"/>
  <c r="J10" i="100" s="1"/>
  <c r="I10" i="100" a="1"/>
  <c r="I10" i="100" s="1"/>
  <c r="H10" i="100" a="1"/>
  <c r="H10" i="100" s="1"/>
  <c r="G10" i="100" a="1"/>
  <c r="G10" i="100" s="1"/>
  <c r="F10" i="100" a="1"/>
  <c r="F10" i="100" s="1"/>
  <c r="E10" i="100" a="1"/>
  <c r="E10" i="100" s="1"/>
  <c r="D10" i="100" a="1"/>
  <c r="D10" i="100" s="1"/>
  <c r="D8" i="100" a="1"/>
  <c r="D8" i="100" s="1"/>
  <c r="D7" i="100" a="1"/>
  <c r="D7" i="100" s="1"/>
  <c r="D6" i="100" a="1"/>
  <c r="D6" i="100" s="1"/>
  <c r="D5" i="100" a="1"/>
  <c r="D5" i="100" s="1"/>
  <c r="D36" i="99"/>
  <c r="D29" i="99"/>
  <c r="P18" i="99"/>
  <c r="P17"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7" i="99" a="1"/>
  <c r="K7" i="99" s="1"/>
  <c r="K6" i="99" a="1"/>
  <c r="K6" i="99" s="1"/>
  <c r="D6" i="99" a="1"/>
  <c r="D6" i="99" s="1"/>
  <c r="K5" i="99" a="1"/>
  <c r="K5" i="99" s="1"/>
  <c r="D5" i="99" a="1"/>
  <c r="D5" i="99" s="1"/>
  <c r="D48" i="98"/>
  <c r="D39" i="98"/>
  <c r="D60" i="98"/>
  <c r="D35" i="98"/>
  <c r="D42" i="98"/>
  <c r="P16" i="98" a="1"/>
  <c r="P16" i="98" s="1"/>
  <c r="I16" i="98" a="1"/>
  <c r="I16" i="98" s="1"/>
  <c r="P15" i="98" a="1"/>
  <c r="P15" i="98" s="1"/>
  <c r="I15" i="98" a="1"/>
  <c r="I15" i="98" s="1"/>
  <c r="P14" i="98" a="1"/>
  <c r="P14" i="98" s="1"/>
  <c r="N14" i="98" a="1"/>
  <c r="N14" i="98" s="1"/>
  <c r="K14" i="98" a="1"/>
  <c r="K14" i="98" s="1"/>
  <c r="I14" i="98" a="1"/>
  <c r="I14" i="98" s="1"/>
  <c r="G14" i="98" a="1"/>
  <c r="G14" i="98" s="1"/>
  <c r="D14" i="98" a="1"/>
  <c r="D14" i="98" s="1"/>
  <c r="L12" i="98" a="1"/>
  <c r="L12" i="98" s="1"/>
  <c r="E12" i="98" a="1"/>
  <c r="E12" i="98" s="1"/>
  <c r="L11" i="98" a="1"/>
  <c r="L11" i="98" s="1"/>
  <c r="E11" i="98" a="1"/>
  <c r="E11" i="98" s="1"/>
  <c r="K6" i="98" a="1"/>
  <c r="K6" i="98" s="1"/>
  <c r="D6" i="98" a="1"/>
  <c r="D6" i="98" s="1"/>
  <c r="K5" i="98" a="1"/>
  <c r="K5" i="98" s="1"/>
  <c r="D5" i="98" a="1"/>
  <c r="D5" i="98" s="1"/>
  <c r="H21" i="97"/>
  <c r="H20" i="97"/>
  <c r="H19" i="97"/>
  <c r="H18" i="97"/>
  <c r="H17" i="97"/>
  <c r="H25" i="96" a="1"/>
  <c r="H25" i="96" s="1"/>
  <c r="G25" i="96" a="1"/>
  <c r="G25" i="96" s="1"/>
  <c r="I552" i="112" s="1" a="1"/>
  <c r="I552" i="112" s="1"/>
  <c r="F25" i="96" a="1"/>
  <c r="F25" i="96" s="1"/>
  <c r="E25" i="96" a="1"/>
  <c r="E25" i="96" s="1"/>
  <c r="J36" i="95" s="1" a="1"/>
  <c r="J36" i="95" s="1"/>
  <c r="D25" i="96" a="1"/>
  <c r="D25" i="96" s="1"/>
  <c r="D22" i="96" a="1"/>
  <c r="D22" i="96" s="1"/>
  <c r="D21" i="96" a="1"/>
  <c r="D21" i="96" s="1"/>
  <c r="F19" i="96" a="1"/>
  <c r="F19" i="96" s="1"/>
  <c r="E19" i="96" a="1"/>
  <c r="E19" i="96" s="1"/>
  <c r="D19" i="96" a="1"/>
  <c r="D19" i="96" s="1"/>
  <c r="F18" i="96" a="1"/>
  <c r="F18" i="96" s="1"/>
  <c r="E18" i="96" a="1"/>
  <c r="E18" i="96" s="1"/>
  <c r="D18" i="96" a="1"/>
  <c r="D18" i="96" s="1"/>
  <c r="F17" i="96" a="1"/>
  <c r="F17" i="96" s="1"/>
  <c r="E17" i="96" a="1"/>
  <c r="E17" i="96" s="1"/>
  <c r="D17" i="96" a="1"/>
  <c r="D17" i="96" s="1"/>
  <c r="F16" i="96" a="1"/>
  <c r="F16" i="96" s="1"/>
  <c r="E16" i="96" a="1"/>
  <c r="E16" i="96" s="1"/>
  <c r="D16" i="96" a="1"/>
  <c r="D16" i="96" s="1"/>
  <c r="F15" i="96" a="1"/>
  <c r="F15" i="96" s="1"/>
  <c r="E15" i="96" a="1"/>
  <c r="E15" i="96" s="1"/>
  <c r="D15" i="96" a="1"/>
  <c r="D15" i="96" s="1"/>
  <c r="F14" i="96" a="1"/>
  <c r="F14" i="96" s="1"/>
  <c r="E14" i="96" a="1"/>
  <c r="E14" i="96" s="1"/>
  <c r="D14" i="96" a="1"/>
  <c r="D14" i="96" s="1"/>
  <c r="F13" i="96" a="1"/>
  <c r="F13" i="96" s="1"/>
  <c r="E13" i="96" a="1"/>
  <c r="E13" i="96" s="1"/>
  <c r="D13" i="96" a="1"/>
  <c r="D13" i="96" s="1"/>
  <c r="F12" i="96" a="1"/>
  <c r="F12" i="96" s="1"/>
  <c r="E12" i="96" a="1"/>
  <c r="E12" i="96" s="1"/>
  <c r="D12" i="96" a="1"/>
  <c r="D12" i="96" s="1"/>
  <c r="F11" i="96" a="1"/>
  <c r="F11" i="96" s="1"/>
  <c r="E11" i="96" a="1"/>
  <c r="E11" i="96" s="1"/>
  <c r="D11" i="96" a="1"/>
  <c r="D11" i="96" s="1"/>
  <c r="F10" i="96" a="1"/>
  <c r="F10" i="96" s="1"/>
  <c r="E10" i="96" a="1"/>
  <c r="E10" i="96" s="1"/>
  <c r="D10" i="96" a="1"/>
  <c r="D10" i="96" s="1"/>
  <c r="D7" i="96" a="1"/>
  <c r="D7" i="96" s="1"/>
  <c r="D6" i="96" a="1"/>
  <c r="D6" i="96" s="1"/>
  <c r="D5" i="96" a="1"/>
  <c r="D5" i="96" s="1"/>
  <c r="J37" i="95"/>
  <c r="J33" i="95" s="1"/>
  <c r="J32" i="95"/>
  <c r="J31" i="95"/>
  <c r="H31" i="95" a="1"/>
  <c r="H31" i="95" s="1"/>
  <c r="D31" i="95" a="1"/>
  <c r="D31" i="95" s="1"/>
  <c r="E29" i="95" a="1"/>
  <c r="E29" i="95" s="1"/>
  <c r="F39" i="95" s="1"/>
  <c r="E28" i="95" a="1"/>
  <c r="E28" i="95" s="1"/>
  <c r="D24" i="95" a="1"/>
  <c r="D24" i="95" s="1"/>
  <c r="D23" i="95" a="1"/>
  <c r="D23" i="95" s="1"/>
  <c r="D22" i="95" a="1"/>
  <c r="D22" i="95" s="1"/>
  <c r="I16" i="95"/>
  <c r="I14" i="95"/>
  <c r="G14" i="95" a="1"/>
  <c r="G14" i="95" s="1"/>
  <c r="D14" i="95" a="1"/>
  <c r="D14" i="95" s="1"/>
  <c r="E12" i="95" a="1"/>
  <c r="E12" i="95" s="1"/>
  <c r="F18" i="95" s="1"/>
  <c r="E11" i="95" a="1"/>
  <c r="E11" i="95" s="1"/>
  <c r="D7" i="95" a="1"/>
  <c r="D7" i="95" s="1"/>
  <c r="D6" i="95" a="1"/>
  <c r="D6" i="95" s="1"/>
  <c r="D5" i="95" a="1"/>
  <c r="D5" i="95" s="1"/>
  <c r="H48" i="94"/>
  <c r="E48" i="94"/>
  <c r="H47" i="94"/>
  <c r="E47" i="94"/>
  <c r="H46" i="94"/>
  <c r="E46" i="94"/>
  <c r="H39" i="94"/>
  <c r="I38" i="94"/>
  <c r="H38" i="94"/>
  <c r="H37" i="94"/>
  <c r="I37" i="94"/>
  <c r="I48" i="94"/>
  <c r="E16" i="94"/>
  <c r="E22" i="94" s="1"/>
  <c r="E6" i="94"/>
  <c r="AE153" i="93" a="1"/>
  <c r="AE153" i="93" s="1"/>
  <c r="AD153" i="93" a="1"/>
  <c r="AD153" i="93" s="1"/>
  <c r="AC153" i="93" a="1"/>
  <c r="AC153" i="93" s="1"/>
  <c r="AB153" i="93" a="1"/>
  <c r="AB153" i="93" s="1"/>
  <c r="AA153" i="93" a="1"/>
  <c r="AA153" i="93" s="1"/>
  <c r="Z153" i="93" a="1"/>
  <c r="Z153" i="93" s="1"/>
  <c r="Y153" i="93" a="1"/>
  <c r="Y153" i="93" s="1"/>
  <c r="X153" i="93" a="1"/>
  <c r="X153" i="93" s="1"/>
  <c r="W153" i="93" a="1"/>
  <c r="W153" i="93" s="1"/>
  <c r="V153" i="93" a="1"/>
  <c r="V153" i="93" s="1"/>
  <c r="U153" i="93" a="1"/>
  <c r="U153" i="93" s="1"/>
  <c r="T153" i="93" a="1"/>
  <c r="T153" i="93" s="1"/>
  <c r="S153" i="93" a="1"/>
  <c r="S153" i="93" s="1"/>
  <c r="R153" i="93" a="1"/>
  <c r="R153" i="93" s="1"/>
  <c r="Q153" i="93" a="1"/>
  <c r="Q153" i="93" s="1"/>
  <c r="P153" i="93" a="1"/>
  <c r="P153" i="93" s="1"/>
  <c r="O153" i="93" a="1"/>
  <c r="O153" i="93" s="1"/>
  <c r="N153" i="93" a="1"/>
  <c r="N153" i="93" s="1"/>
  <c r="M153" i="93" a="1"/>
  <c r="M153" i="93" s="1"/>
  <c r="L153" i="93" a="1"/>
  <c r="L153" i="93" s="1"/>
  <c r="K153" i="93" a="1"/>
  <c r="K153" i="93" s="1"/>
  <c r="J153" i="93" a="1"/>
  <c r="J153" i="93" s="1"/>
  <c r="I153" i="93" a="1"/>
  <c r="I153" i="93" s="1"/>
  <c r="H153" i="93" a="1"/>
  <c r="H153" i="93" s="1"/>
  <c r="G153" i="93" a="1"/>
  <c r="G153" i="93" s="1"/>
  <c r="F153" i="93" a="1"/>
  <c r="F153" i="93" s="1"/>
  <c r="E153" i="93" a="1"/>
  <c r="E153" i="93" s="1"/>
  <c r="D153" i="93" a="1"/>
  <c r="D153" i="93" s="1"/>
  <c r="AE152" i="93" a="1"/>
  <c r="AE152" i="93" s="1"/>
  <c r="AD152" i="93" a="1"/>
  <c r="AD152" i="93" s="1"/>
  <c r="AC152" i="93" a="1"/>
  <c r="AC152" i="93" s="1"/>
  <c r="AB152" i="93" a="1"/>
  <c r="AB152" i="93" s="1"/>
  <c r="AA152" i="93" a="1"/>
  <c r="AA152" i="93" s="1"/>
  <c r="Z152" i="93" a="1"/>
  <c r="Z152" i="93" s="1"/>
  <c r="Y152" i="93" a="1"/>
  <c r="Y152" i="93" s="1"/>
  <c r="X152" i="93" a="1"/>
  <c r="X152" i="93" s="1"/>
  <c r="W152" i="93" a="1"/>
  <c r="W152" i="93" s="1"/>
  <c r="V152" i="93" a="1"/>
  <c r="V152" i="93" s="1"/>
  <c r="U152" i="93" a="1"/>
  <c r="U152" i="93" s="1"/>
  <c r="T152" i="93" a="1"/>
  <c r="T152" i="93" s="1"/>
  <c r="S152" i="93" a="1"/>
  <c r="S152" i="93" s="1"/>
  <c r="R152" i="93" a="1"/>
  <c r="R152" i="93" s="1"/>
  <c r="Q152" i="93" a="1"/>
  <c r="Q152" i="93" s="1"/>
  <c r="P152" i="93" a="1"/>
  <c r="P152" i="93" s="1"/>
  <c r="O152" i="93" a="1"/>
  <c r="O152" i="93" s="1"/>
  <c r="N152" i="93" a="1"/>
  <c r="N152" i="93" s="1"/>
  <c r="M152" i="93" a="1"/>
  <c r="M152" i="93" s="1"/>
  <c r="L152" i="93" a="1"/>
  <c r="L152" i="93" s="1"/>
  <c r="K152" i="93" a="1"/>
  <c r="K152" i="93" s="1"/>
  <c r="J152" i="93" a="1"/>
  <c r="J152" i="93" s="1"/>
  <c r="I152" i="93" a="1"/>
  <c r="I152" i="93" s="1"/>
  <c r="H152" i="93" a="1"/>
  <c r="H152" i="93" s="1"/>
  <c r="G152" i="93" a="1"/>
  <c r="G152" i="93" s="1"/>
  <c r="F152" i="93" a="1"/>
  <c r="F152" i="93" s="1"/>
  <c r="E152" i="93" a="1"/>
  <c r="E152" i="93" s="1"/>
  <c r="D152" i="93" a="1"/>
  <c r="D152" i="93" s="1"/>
  <c r="AE151" i="93" a="1"/>
  <c r="AE151" i="93" s="1"/>
  <c r="AD151" i="93" a="1"/>
  <c r="AD151" i="93" s="1"/>
  <c r="AC151" i="93" a="1"/>
  <c r="AC151" i="93" s="1"/>
  <c r="AB151" i="93" a="1"/>
  <c r="AB151" i="93" s="1"/>
  <c r="AA151" i="93" a="1"/>
  <c r="AA151" i="93" s="1"/>
  <c r="Z151" i="93" a="1"/>
  <c r="Z151" i="93" s="1"/>
  <c r="Y151" i="93" a="1"/>
  <c r="Y151" i="93" s="1"/>
  <c r="X151" i="93" a="1"/>
  <c r="X151" i="93" s="1"/>
  <c r="W151" i="93" a="1"/>
  <c r="W151" i="93" s="1"/>
  <c r="V151" i="93" a="1"/>
  <c r="V151" i="93" s="1"/>
  <c r="U151" i="93" a="1"/>
  <c r="U151" i="93" s="1"/>
  <c r="T151" i="93" a="1"/>
  <c r="T151" i="93" s="1"/>
  <c r="S151" i="93" a="1"/>
  <c r="S151" i="93" s="1"/>
  <c r="R151" i="93" a="1"/>
  <c r="R151" i="93" s="1"/>
  <c r="Q151" i="93" a="1"/>
  <c r="Q151" i="93" s="1"/>
  <c r="P151" i="93" a="1"/>
  <c r="P151" i="93" s="1"/>
  <c r="O151" i="93" a="1"/>
  <c r="O151" i="93" s="1"/>
  <c r="N151" i="93" a="1"/>
  <c r="N151" i="93" s="1"/>
  <c r="M151" i="93" a="1"/>
  <c r="M151" i="93" s="1"/>
  <c r="L151" i="93" a="1"/>
  <c r="L151" i="93" s="1"/>
  <c r="K151" i="93" a="1"/>
  <c r="K151" i="93" s="1"/>
  <c r="J151" i="93" a="1"/>
  <c r="J151" i="93" s="1"/>
  <c r="I151" i="93" a="1"/>
  <c r="I151" i="93" s="1"/>
  <c r="H151" i="93" a="1"/>
  <c r="H151" i="93" s="1"/>
  <c r="G151" i="93" a="1"/>
  <c r="G151" i="93" s="1"/>
  <c r="F151" i="93" a="1"/>
  <c r="F151" i="93" s="1"/>
  <c r="E151" i="93" a="1"/>
  <c r="E151" i="93" s="1"/>
  <c r="D151" i="93" a="1"/>
  <c r="D151" i="93" s="1"/>
  <c r="AE150" i="93" a="1"/>
  <c r="AE150" i="93" s="1"/>
  <c r="AD150" i="93" a="1"/>
  <c r="AD150" i="93" s="1"/>
  <c r="AC150" i="93" a="1"/>
  <c r="AC150" i="93" s="1"/>
  <c r="AB150" i="93" a="1"/>
  <c r="AB150" i="93" s="1"/>
  <c r="AA150" i="93" a="1"/>
  <c r="AA150" i="93" s="1"/>
  <c r="Z150" i="93" a="1"/>
  <c r="Z150" i="93" s="1"/>
  <c r="Y150" i="93" a="1"/>
  <c r="Y150" i="93" s="1"/>
  <c r="X150" i="93" a="1"/>
  <c r="X150" i="93" s="1"/>
  <c r="W150" i="93" a="1"/>
  <c r="W150" i="93" s="1"/>
  <c r="V150" i="93" a="1"/>
  <c r="V150" i="93" s="1"/>
  <c r="U150" i="93" a="1"/>
  <c r="U150" i="93" s="1"/>
  <c r="T150" i="93" a="1"/>
  <c r="T150" i="93" s="1"/>
  <c r="S150" i="93" a="1"/>
  <c r="S150" i="93" s="1"/>
  <c r="R150" i="93" a="1"/>
  <c r="R150" i="93" s="1"/>
  <c r="Q150" i="93" a="1"/>
  <c r="Q150" i="93" s="1"/>
  <c r="P150" i="93" a="1"/>
  <c r="P150" i="93" s="1"/>
  <c r="O150" i="93" a="1"/>
  <c r="O150" i="93" s="1"/>
  <c r="N150" i="93" a="1"/>
  <c r="N150" i="93" s="1"/>
  <c r="M150" i="93" a="1"/>
  <c r="M150" i="93" s="1"/>
  <c r="L150" i="93" a="1"/>
  <c r="L150" i="93" s="1"/>
  <c r="K150" i="93" a="1"/>
  <c r="K150" i="93" s="1"/>
  <c r="J150" i="93" a="1"/>
  <c r="J150" i="93" s="1"/>
  <c r="I150" i="93" a="1"/>
  <c r="I150" i="93" s="1"/>
  <c r="H150" i="93" a="1"/>
  <c r="H150" i="93" s="1"/>
  <c r="G150" i="93" a="1"/>
  <c r="G150" i="93" s="1"/>
  <c r="F150" i="93" a="1"/>
  <c r="F150" i="93" s="1"/>
  <c r="E150" i="93" a="1"/>
  <c r="E150" i="93" s="1"/>
  <c r="D150" i="93" a="1"/>
  <c r="D150" i="93" s="1"/>
  <c r="AE149" i="93" a="1"/>
  <c r="AE149" i="93" s="1"/>
  <c r="AD149" i="93" a="1"/>
  <c r="AD149" i="93" s="1"/>
  <c r="AC149" i="93" a="1"/>
  <c r="AC149" i="93" s="1"/>
  <c r="AB149" i="93" a="1"/>
  <c r="AB149" i="93" s="1"/>
  <c r="AA149" i="93" a="1"/>
  <c r="AA149" i="93" s="1"/>
  <c r="Z149" i="93" a="1"/>
  <c r="Z149" i="93" s="1"/>
  <c r="Y149" i="93" a="1"/>
  <c r="Y149" i="93" s="1"/>
  <c r="X149" i="93" a="1"/>
  <c r="X149" i="93" s="1"/>
  <c r="W149" i="93" a="1"/>
  <c r="W149" i="93" s="1"/>
  <c r="V149" i="93" a="1"/>
  <c r="V149" i="93" s="1"/>
  <c r="U149" i="93" a="1"/>
  <c r="U149" i="93" s="1"/>
  <c r="T149" i="93" a="1"/>
  <c r="T149" i="93" s="1"/>
  <c r="S149" i="93" a="1"/>
  <c r="S149" i="93" s="1"/>
  <c r="R149" i="93" a="1"/>
  <c r="R149" i="93" s="1"/>
  <c r="Q149" i="93" a="1"/>
  <c r="Q149" i="93" s="1"/>
  <c r="P149" i="93" a="1"/>
  <c r="P149" i="93" s="1"/>
  <c r="O149" i="93" a="1"/>
  <c r="O149" i="93" s="1"/>
  <c r="N149" i="93" a="1"/>
  <c r="N149" i="93" s="1"/>
  <c r="M149" i="93" a="1"/>
  <c r="M149" i="93" s="1"/>
  <c r="L149" i="93" a="1"/>
  <c r="L149" i="93" s="1"/>
  <c r="K149" i="93" a="1"/>
  <c r="K149" i="93" s="1"/>
  <c r="J149" i="93" a="1"/>
  <c r="J149" i="93" s="1"/>
  <c r="I149" i="93" a="1"/>
  <c r="I149" i="93" s="1"/>
  <c r="H149" i="93" a="1"/>
  <c r="H149" i="93" s="1"/>
  <c r="G149" i="93" a="1"/>
  <c r="G149" i="93" s="1"/>
  <c r="F149" i="93" a="1"/>
  <c r="F149" i="93" s="1"/>
  <c r="E149" i="93" a="1"/>
  <c r="E149" i="93" s="1"/>
  <c r="D149" i="93" a="1"/>
  <c r="D149" i="93" s="1"/>
  <c r="AE148" i="93" a="1"/>
  <c r="AE148" i="93" s="1"/>
  <c r="AD148" i="93" a="1"/>
  <c r="AD148" i="93" s="1"/>
  <c r="AC148" i="93" a="1"/>
  <c r="AC148" i="93" s="1"/>
  <c r="AB148" i="93" a="1"/>
  <c r="AB148" i="93" s="1"/>
  <c r="AA148" i="93" a="1"/>
  <c r="AA148" i="93" s="1"/>
  <c r="Z148" i="93" a="1"/>
  <c r="Z148" i="93" s="1"/>
  <c r="Y148" i="93" a="1"/>
  <c r="Y148" i="93" s="1"/>
  <c r="X148" i="93" a="1"/>
  <c r="X148" i="93" s="1"/>
  <c r="W148" i="93" a="1"/>
  <c r="W148" i="93" s="1"/>
  <c r="V148" i="93" a="1"/>
  <c r="V148" i="93" s="1"/>
  <c r="U148" i="93" a="1"/>
  <c r="U148" i="93" s="1"/>
  <c r="T148" i="93" a="1"/>
  <c r="T148" i="93" s="1"/>
  <c r="S148" i="93" a="1"/>
  <c r="S148" i="93" s="1"/>
  <c r="R148" i="93" a="1"/>
  <c r="R148" i="93" s="1"/>
  <c r="Q148" i="93" a="1"/>
  <c r="Q148" i="93" s="1"/>
  <c r="P148" i="93" a="1"/>
  <c r="P148" i="93" s="1"/>
  <c r="O148" i="93" a="1"/>
  <c r="O148" i="93" s="1"/>
  <c r="N148" i="93" a="1"/>
  <c r="N148" i="93" s="1"/>
  <c r="M148" i="93" a="1"/>
  <c r="M148" i="93" s="1"/>
  <c r="L148" i="93" a="1"/>
  <c r="L148" i="93" s="1"/>
  <c r="K148" i="93" a="1"/>
  <c r="K148" i="93" s="1"/>
  <c r="J148" i="93" a="1"/>
  <c r="J148" i="93" s="1"/>
  <c r="I148" i="93" a="1"/>
  <c r="I148" i="93" s="1"/>
  <c r="H148" i="93" a="1"/>
  <c r="H148" i="93" s="1"/>
  <c r="G148" i="93" a="1"/>
  <c r="G148" i="93" s="1"/>
  <c r="F148" i="93" a="1"/>
  <c r="F148" i="93" s="1"/>
  <c r="E148" i="93" a="1"/>
  <c r="E148" i="93" s="1"/>
  <c r="D148" i="93" a="1"/>
  <c r="D148" i="93" s="1"/>
  <c r="AE147" i="93" a="1"/>
  <c r="AE147" i="93" s="1"/>
  <c r="AD147" i="93" a="1"/>
  <c r="AD147" i="93" s="1"/>
  <c r="AC147" i="93" a="1"/>
  <c r="AC147" i="93" s="1"/>
  <c r="AB147" i="93" a="1"/>
  <c r="AB147" i="93" s="1"/>
  <c r="AA147" i="93" a="1"/>
  <c r="AA147" i="93" s="1"/>
  <c r="Z147" i="93" a="1"/>
  <c r="Z147" i="93" s="1"/>
  <c r="Y147" i="93" a="1"/>
  <c r="Y147" i="93" s="1"/>
  <c r="X147" i="93" a="1"/>
  <c r="X147" i="93" s="1"/>
  <c r="W147" i="93" a="1"/>
  <c r="W147" i="93" s="1"/>
  <c r="V147" i="93" a="1"/>
  <c r="V147" i="93" s="1"/>
  <c r="U147" i="93" a="1"/>
  <c r="U147" i="93" s="1"/>
  <c r="T147" i="93" a="1"/>
  <c r="T147" i="93" s="1"/>
  <c r="S147" i="93" a="1"/>
  <c r="S147" i="93" s="1"/>
  <c r="R147" i="93" a="1"/>
  <c r="R147" i="93" s="1"/>
  <c r="Q147" i="93" a="1"/>
  <c r="Q147" i="93" s="1"/>
  <c r="P147" i="93" a="1"/>
  <c r="P147" i="93" s="1"/>
  <c r="O147" i="93" a="1"/>
  <c r="O147" i="93" s="1"/>
  <c r="N147" i="93" a="1"/>
  <c r="N147" i="93" s="1"/>
  <c r="M147" i="93" a="1"/>
  <c r="M147" i="93" s="1"/>
  <c r="L147" i="93" a="1"/>
  <c r="L147" i="93" s="1"/>
  <c r="K147" i="93" a="1"/>
  <c r="K147" i="93" s="1"/>
  <c r="J147" i="93" a="1"/>
  <c r="J147" i="93" s="1"/>
  <c r="I147" i="93" a="1"/>
  <c r="I147" i="93" s="1"/>
  <c r="H147" i="93" a="1"/>
  <c r="H147" i="93" s="1"/>
  <c r="G147" i="93" a="1"/>
  <c r="G147" i="93" s="1"/>
  <c r="F147" i="93" a="1"/>
  <c r="F147" i="93" s="1"/>
  <c r="E147" i="93" a="1"/>
  <c r="E147" i="93" s="1"/>
  <c r="D147" i="93" a="1"/>
  <c r="D147" i="93" s="1"/>
  <c r="AE146" i="93" a="1"/>
  <c r="AE146" i="93" s="1"/>
  <c r="AD146" i="93" a="1"/>
  <c r="AD146" i="93" s="1"/>
  <c r="AC146" i="93" a="1"/>
  <c r="AC146" i="93" s="1"/>
  <c r="AB146" i="93" a="1"/>
  <c r="AB146" i="93" s="1"/>
  <c r="AA146" i="93" a="1"/>
  <c r="AA146" i="93" s="1"/>
  <c r="Z146" i="93" a="1"/>
  <c r="Z146" i="93" s="1"/>
  <c r="Y146" i="93" a="1"/>
  <c r="Y146" i="93" s="1"/>
  <c r="X146" i="93" a="1"/>
  <c r="X146" i="93" s="1"/>
  <c r="W146" i="93" a="1"/>
  <c r="W146" i="93" s="1"/>
  <c r="V146" i="93" a="1"/>
  <c r="V146" i="93" s="1"/>
  <c r="U146" i="93" a="1"/>
  <c r="U146" i="93" s="1"/>
  <c r="T146" i="93" a="1"/>
  <c r="T146" i="93" s="1"/>
  <c r="S146" i="93" a="1"/>
  <c r="S146" i="93" s="1"/>
  <c r="R146" i="93" a="1"/>
  <c r="R146" i="93" s="1"/>
  <c r="Q146" i="93" a="1"/>
  <c r="Q146" i="93" s="1"/>
  <c r="P146" i="93" a="1"/>
  <c r="P146" i="93" s="1"/>
  <c r="O146" i="93" a="1"/>
  <c r="O146" i="93" s="1"/>
  <c r="N146" i="93" a="1"/>
  <c r="N146" i="93" s="1"/>
  <c r="M146" i="93" a="1"/>
  <c r="M146" i="93" s="1"/>
  <c r="L146" i="93" a="1"/>
  <c r="L146" i="93" s="1"/>
  <c r="K146" i="93" a="1"/>
  <c r="K146" i="93" s="1"/>
  <c r="J146" i="93" a="1"/>
  <c r="J146" i="93" s="1"/>
  <c r="I146" i="93" a="1"/>
  <c r="I146" i="93" s="1"/>
  <c r="H146" i="93" a="1"/>
  <c r="H146" i="93" s="1"/>
  <c r="G146" i="93" a="1"/>
  <c r="G146" i="93" s="1"/>
  <c r="F146" i="93" a="1"/>
  <c r="F146" i="93" s="1"/>
  <c r="E146" i="93" a="1"/>
  <c r="E146" i="93" s="1"/>
  <c r="D146" i="93" a="1"/>
  <c r="D146" i="93" s="1"/>
  <c r="AE145" i="93" a="1"/>
  <c r="AE145" i="93" s="1"/>
  <c r="AD145" i="93" a="1"/>
  <c r="AD145" i="93" s="1"/>
  <c r="AC145" i="93" a="1"/>
  <c r="AC145" i="93" s="1"/>
  <c r="AB145" i="93" a="1"/>
  <c r="AB145" i="93" s="1"/>
  <c r="AA145" i="93" a="1"/>
  <c r="AA145" i="93" s="1"/>
  <c r="Z145" i="93" a="1"/>
  <c r="Z145" i="93" s="1"/>
  <c r="Y145" i="93" a="1"/>
  <c r="Y145" i="93" s="1"/>
  <c r="X145" i="93" a="1"/>
  <c r="X145" i="93" s="1"/>
  <c r="W145" i="93" a="1"/>
  <c r="W145" i="93" s="1"/>
  <c r="V145" i="93" a="1"/>
  <c r="V145" i="93" s="1"/>
  <c r="U145" i="93" a="1"/>
  <c r="U145" i="93" s="1"/>
  <c r="T145" i="93" a="1"/>
  <c r="T145" i="93" s="1"/>
  <c r="S145" i="93" a="1"/>
  <c r="S145" i="93" s="1"/>
  <c r="R145" i="93" a="1"/>
  <c r="R145" i="93" s="1"/>
  <c r="Q145" i="93" a="1"/>
  <c r="Q145" i="93" s="1"/>
  <c r="P145" i="93" a="1"/>
  <c r="P145" i="93" s="1"/>
  <c r="O145" i="93" a="1"/>
  <c r="O145" i="93" s="1"/>
  <c r="N145" i="93" a="1"/>
  <c r="N145" i="93" s="1"/>
  <c r="M145" i="93" a="1"/>
  <c r="M145" i="93" s="1"/>
  <c r="L145" i="93" a="1"/>
  <c r="L145" i="93" s="1"/>
  <c r="K145" i="93" a="1"/>
  <c r="K145" i="93" s="1"/>
  <c r="J145" i="93" a="1"/>
  <c r="J145" i="93" s="1"/>
  <c r="I145" i="93" a="1"/>
  <c r="I145" i="93" s="1"/>
  <c r="H145" i="93" a="1"/>
  <c r="H145" i="93" s="1"/>
  <c r="G145" i="93" a="1"/>
  <c r="G145" i="93" s="1"/>
  <c r="F145" i="93" a="1"/>
  <c r="F145" i="93" s="1"/>
  <c r="E145" i="93" a="1"/>
  <c r="E145" i="93" s="1"/>
  <c r="D145" i="93" a="1"/>
  <c r="D145" i="93" s="1"/>
  <c r="AE144" i="93" a="1"/>
  <c r="AE144" i="93" s="1"/>
  <c r="AD144" i="93" a="1"/>
  <c r="AD144" i="93" s="1"/>
  <c r="AC144" i="93" a="1"/>
  <c r="AC144" i="93" s="1"/>
  <c r="AB144" i="93" a="1"/>
  <c r="AB144" i="93" s="1"/>
  <c r="AA144" i="93" a="1"/>
  <c r="AA144" i="93" s="1"/>
  <c r="Z144" i="93" a="1"/>
  <c r="Z144" i="93" s="1"/>
  <c r="Y144" i="93" a="1"/>
  <c r="Y144" i="93" s="1"/>
  <c r="X144" i="93" a="1"/>
  <c r="X144" i="93" s="1"/>
  <c r="W144" i="93" a="1"/>
  <c r="W144" i="93" s="1"/>
  <c r="V144" i="93" a="1"/>
  <c r="V144" i="93" s="1"/>
  <c r="U144" i="93" a="1"/>
  <c r="U144" i="93" s="1"/>
  <c r="T144" i="93" a="1"/>
  <c r="T144" i="93" s="1"/>
  <c r="S144" i="93" a="1"/>
  <c r="S144" i="93" s="1"/>
  <c r="R144" i="93" a="1"/>
  <c r="R144" i="93" s="1"/>
  <c r="Q144" i="93" a="1"/>
  <c r="Q144" i="93" s="1"/>
  <c r="P144" i="93" a="1"/>
  <c r="P144" i="93" s="1"/>
  <c r="O144" i="93" a="1"/>
  <c r="O144" i="93" s="1"/>
  <c r="N144" i="93" a="1"/>
  <c r="N144" i="93" s="1"/>
  <c r="M144" i="93" a="1"/>
  <c r="M144" i="93" s="1"/>
  <c r="L144" i="93" a="1"/>
  <c r="L144" i="93" s="1"/>
  <c r="K144" i="93" a="1"/>
  <c r="K144" i="93" s="1"/>
  <c r="J144" i="93" a="1"/>
  <c r="J144" i="93" s="1"/>
  <c r="I144" i="93" a="1"/>
  <c r="I144" i="93" s="1"/>
  <c r="H144" i="93" a="1"/>
  <c r="H144" i="93" s="1"/>
  <c r="G144" i="93" a="1"/>
  <c r="G144" i="93" s="1"/>
  <c r="F144" i="93" a="1"/>
  <c r="F144" i="93" s="1"/>
  <c r="E144" i="93" a="1"/>
  <c r="E144" i="93" s="1"/>
  <c r="D144" i="93" a="1"/>
  <c r="D144" i="93" s="1"/>
  <c r="AE143" i="93" a="1"/>
  <c r="AE143" i="93" s="1"/>
  <c r="AD143" i="93" a="1"/>
  <c r="AD143" i="93" s="1"/>
  <c r="AC143" i="93" a="1"/>
  <c r="AC143" i="93" s="1"/>
  <c r="AB143" i="93" a="1"/>
  <c r="AB143" i="93" s="1"/>
  <c r="AA143" i="93" a="1"/>
  <c r="AA143" i="93" s="1"/>
  <c r="Z143" i="93" a="1"/>
  <c r="Z143" i="93" s="1"/>
  <c r="Y143" i="93" a="1"/>
  <c r="Y143" i="93" s="1"/>
  <c r="X143" i="93" a="1"/>
  <c r="X143" i="93" s="1"/>
  <c r="W143" i="93" a="1"/>
  <c r="W143" i="93" s="1"/>
  <c r="V143" i="93" a="1"/>
  <c r="V143" i="93" s="1"/>
  <c r="U143" i="93" a="1"/>
  <c r="U143" i="93" s="1"/>
  <c r="T143" i="93" a="1"/>
  <c r="T143" i="93" s="1"/>
  <c r="S143" i="93" a="1"/>
  <c r="S143" i="93" s="1"/>
  <c r="R143" i="93" a="1"/>
  <c r="R143" i="93" s="1"/>
  <c r="Q143" i="93" a="1"/>
  <c r="Q143" i="93" s="1"/>
  <c r="P143" i="93" a="1"/>
  <c r="P143" i="93" s="1"/>
  <c r="O143" i="93" a="1"/>
  <c r="O143" i="93" s="1"/>
  <c r="N143" i="93" a="1"/>
  <c r="N143" i="93" s="1"/>
  <c r="M143" i="93" a="1"/>
  <c r="M143" i="93" s="1"/>
  <c r="L143" i="93" a="1"/>
  <c r="L143" i="93" s="1"/>
  <c r="K143" i="93" a="1"/>
  <c r="K143" i="93" s="1"/>
  <c r="J143" i="93" a="1"/>
  <c r="J143" i="93" s="1"/>
  <c r="I143" i="93" a="1"/>
  <c r="I143" i="93" s="1"/>
  <c r="H143" i="93" a="1"/>
  <c r="H143" i="93" s="1"/>
  <c r="G143" i="93" a="1"/>
  <c r="G143" i="93" s="1"/>
  <c r="F143" i="93" a="1"/>
  <c r="F143" i="93" s="1"/>
  <c r="E143" i="93" a="1"/>
  <c r="E143" i="93" s="1"/>
  <c r="D143" i="93" a="1"/>
  <c r="D143" i="93" s="1"/>
  <c r="AE142" i="93" a="1"/>
  <c r="AE142" i="93" s="1"/>
  <c r="AD142" i="93" a="1"/>
  <c r="AD142" i="93" s="1"/>
  <c r="AC142" i="93" a="1"/>
  <c r="AC142" i="93" s="1"/>
  <c r="AB142" i="93" a="1"/>
  <c r="AB142" i="93" s="1"/>
  <c r="AA142" i="93" a="1"/>
  <c r="AA142" i="93" s="1"/>
  <c r="Z142" i="93" a="1"/>
  <c r="Z142" i="93" s="1"/>
  <c r="Y142" i="93" a="1"/>
  <c r="Y142" i="93" s="1"/>
  <c r="X142" i="93" a="1"/>
  <c r="X142" i="93" s="1"/>
  <c r="W142" i="93" a="1"/>
  <c r="W142" i="93" s="1"/>
  <c r="V142" i="93" a="1"/>
  <c r="V142" i="93" s="1"/>
  <c r="U142" i="93" a="1"/>
  <c r="U142" i="93" s="1"/>
  <c r="T142" i="93" a="1"/>
  <c r="T142" i="93" s="1"/>
  <c r="S142" i="93" a="1"/>
  <c r="S142" i="93" s="1"/>
  <c r="R142" i="93" a="1"/>
  <c r="R142" i="93" s="1"/>
  <c r="Q142" i="93" a="1"/>
  <c r="Q142" i="93" s="1"/>
  <c r="P142" i="93" a="1"/>
  <c r="P142" i="93" s="1"/>
  <c r="O142" i="93" a="1"/>
  <c r="O142" i="93" s="1"/>
  <c r="N142" i="93" a="1"/>
  <c r="N142" i="93" s="1"/>
  <c r="M142" i="93" a="1"/>
  <c r="M142" i="93" s="1"/>
  <c r="L142" i="93" a="1"/>
  <c r="L142" i="93" s="1"/>
  <c r="K142" i="93" a="1"/>
  <c r="K142" i="93" s="1"/>
  <c r="J142" i="93" a="1"/>
  <c r="J142" i="93" s="1"/>
  <c r="I142" i="93" a="1"/>
  <c r="I142" i="93" s="1"/>
  <c r="H142" i="93" a="1"/>
  <c r="H142" i="93" s="1"/>
  <c r="G142" i="93" a="1"/>
  <c r="G142" i="93" s="1"/>
  <c r="F142" i="93" a="1"/>
  <c r="F142" i="93" s="1"/>
  <c r="E142" i="93" a="1"/>
  <c r="E142" i="93" s="1"/>
  <c r="D142" i="93" a="1"/>
  <c r="D142" i="93" s="1"/>
  <c r="AE141" i="93" a="1"/>
  <c r="AE141" i="93" s="1"/>
  <c r="AD141" i="93" a="1"/>
  <c r="AD141" i="93" s="1"/>
  <c r="AC141" i="93" a="1"/>
  <c r="AC141" i="93" s="1"/>
  <c r="AB141" i="93" a="1"/>
  <c r="AB141" i="93" s="1"/>
  <c r="AA141" i="93" a="1"/>
  <c r="AA141" i="93" s="1"/>
  <c r="Z141" i="93" a="1"/>
  <c r="Z141" i="93" s="1"/>
  <c r="Y141" i="93" a="1"/>
  <c r="Y141" i="93" s="1"/>
  <c r="X141" i="93" a="1"/>
  <c r="X141" i="93" s="1"/>
  <c r="W141" i="93" a="1"/>
  <c r="W141" i="93" s="1"/>
  <c r="V141" i="93" a="1"/>
  <c r="V141" i="93" s="1"/>
  <c r="U141" i="93" a="1"/>
  <c r="U141" i="93" s="1"/>
  <c r="T141" i="93" a="1"/>
  <c r="T141" i="93" s="1"/>
  <c r="S141" i="93" a="1"/>
  <c r="S141" i="93" s="1"/>
  <c r="R141" i="93" a="1"/>
  <c r="R141" i="93" s="1"/>
  <c r="Q141" i="93" a="1"/>
  <c r="Q141" i="93" s="1"/>
  <c r="P141" i="93" a="1"/>
  <c r="P141" i="93" s="1"/>
  <c r="O141" i="93" a="1"/>
  <c r="O141" i="93" s="1"/>
  <c r="N141" i="93" a="1"/>
  <c r="N141" i="93" s="1"/>
  <c r="M141" i="93" a="1"/>
  <c r="M141" i="93" s="1"/>
  <c r="L141" i="93" a="1"/>
  <c r="L141" i="93" s="1"/>
  <c r="K141" i="93" a="1"/>
  <c r="K141" i="93" s="1"/>
  <c r="J141" i="93" a="1"/>
  <c r="J141" i="93" s="1"/>
  <c r="I141" i="93" a="1"/>
  <c r="I141" i="93" s="1"/>
  <c r="H141" i="93" a="1"/>
  <c r="H141" i="93" s="1"/>
  <c r="G141" i="93" a="1"/>
  <c r="G141" i="93" s="1"/>
  <c r="F141" i="93" a="1"/>
  <c r="F141" i="93" s="1"/>
  <c r="E141" i="93" a="1"/>
  <c r="E141" i="93" s="1"/>
  <c r="D141" i="93" a="1"/>
  <c r="D141" i="93" s="1"/>
  <c r="AE140" i="93" a="1"/>
  <c r="AE140" i="93" s="1"/>
  <c r="AD140" i="93" a="1"/>
  <c r="AD140" i="93" s="1"/>
  <c r="AC140" i="93" a="1"/>
  <c r="AC140" i="93" s="1"/>
  <c r="AB140" i="93" a="1"/>
  <c r="AB140" i="93" s="1"/>
  <c r="AA140" i="93" a="1"/>
  <c r="AA140" i="93" s="1"/>
  <c r="Z140" i="93" a="1"/>
  <c r="Z140" i="93" s="1"/>
  <c r="Y140" i="93" a="1"/>
  <c r="Y140" i="93" s="1"/>
  <c r="X140" i="93" a="1"/>
  <c r="X140" i="93" s="1"/>
  <c r="W140" i="93" a="1"/>
  <c r="W140" i="93" s="1"/>
  <c r="V140" i="93" a="1"/>
  <c r="V140" i="93" s="1"/>
  <c r="U140" i="93" a="1"/>
  <c r="U140" i="93" s="1"/>
  <c r="T140" i="93" a="1"/>
  <c r="T140" i="93" s="1"/>
  <c r="S140" i="93" a="1"/>
  <c r="S140" i="93" s="1"/>
  <c r="R140" i="93" a="1"/>
  <c r="R140" i="93" s="1"/>
  <c r="Q140" i="93" a="1"/>
  <c r="Q140" i="93" s="1"/>
  <c r="P140" i="93" a="1"/>
  <c r="P140" i="93" s="1"/>
  <c r="O140" i="93" a="1"/>
  <c r="O140" i="93" s="1"/>
  <c r="N140" i="93" a="1"/>
  <c r="N140" i="93" s="1"/>
  <c r="M140" i="93" a="1"/>
  <c r="M140" i="93" s="1"/>
  <c r="L140" i="93" a="1"/>
  <c r="L140" i="93" s="1"/>
  <c r="K140" i="93" a="1"/>
  <c r="K140" i="93" s="1"/>
  <c r="J140" i="93" a="1"/>
  <c r="J140" i="93" s="1"/>
  <c r="I140" i="93" a="1"/>
  <c r="I140" i="93" s="1"/>
  <c r="H140" i="93" a="1"/>
  <c r="H140" i="93" s="1"/>
  <c r="G140" i="93" a="1"/>
  <c r="G140" i="93" s="1"/>
  <c r="F140" i="93" a="1"/>
  <c r="F140" i="93" s="1"/>
  <c r="E140" i="93" a="1"/>
  <c r="E140" i="93" s="1"/>
  <c r="D140" i="93" a="1"/>
  <c r="D140" i="93" s="1"/>
  <c r="AE139" i="93" a="1"/>
  <c r="AE139" i="93" s="1"/>
  <c r="AD139" i="93" a="1"/>
  <c r="AD139" i="93" s="1"/>
  <c r="AC139" i="93" a="1"/>
  <c r="AC139" i="93" s="1"/>
  <c r="AB139" i="93" a="1"/>
  <c r="AB139" i="93" s="1"/>
  <c r="AA139" i="93" a="1"/>
  <c r="AA139" i="93" s="1"/>
  <c r="Z139" i="93" a="1"/>
  <c r="Z139" i="93" s="1"/>
  <c r="Y139" i="93" a="1"/>
  <c r="Y139" i="93" s="1"/>
  <c r="X139" i="93" a="1"/>
  <c r="X139" i="93" s="1"/>
  <c r="W139" i="93" a="1"/>
  <c r="W139" i="93" s="1"/>
  <c r="V139" i="93" a="1"/>
  <c r="V139" i="93" s="1"/>
  <c r="U139" i="93" a="1"/>
  <c r="U139" i="93" s="1"/>
  <c r="T139" i="93" a="1"/>
  <c r="T139" i="93" s="1"/>
  <c r="S139" i="93" a="1"/>
  <c r="S139" i="93" s="1"/>
  <c r="R139" i="93" a="1"/>
  <c r="R139" i="93" s="1"/>
  <c r="Q139" i="93" a="1"/>
  <c r="Q139" i="93" s="1"/>
  <c r="P139" i="93" a="1"/>
  <c r="P139" i="93" s="1"/>
  <c r="O139" i="93" a="1"/>
  <c r="O139" i="93" s="1"/>
  <c r="N139" i="93" a="1"/>
  <c r="N139" i="93" s="1"/>
  <c r="M139" i="93" a="1"/>
  <c r="M139" i="93" s="1"/>
  <c r="L139" i="93" a="1"/>
  <c r="L139" i="93" s="1"/>
  <c r="K139" i="93" a="1"/>
  <c r="K139" i="93" s="1"/>
  <c r="J139" i="93" a="1"/>
  <c r="J139" i="93" s="1"/>
  <c r="I139" i="93" a="1"/>
  <c r="I139" i="93" s="1"/>
  <c r="H139" i="93" a="1"/>
  <c r="H139" i="93" s="1"/>
  <c r="G139" i="93" a="1"/>
  <c r="G139" i="93" s="1"/>
  <c r="F139" i="93" a="1"/>
  <c r="F139" i="93" s="1"/>
  <c r="E139" i="93" a="1"/>
  <c r="E139" i="93" s="1"/>
  <c r="D139" i="93" a="1"/>
  <c r="D139" i="93" s="1"/>
  <c r="AE138" i="93" a="1"/>
  <c r="AE138" i="93" s="1"/>
  <c r="AD138" i="93" a="1"/>
  <c r="AD138" i="93" s="1"/>
  <c r="AC138" i="93" a="1"/>
  <c r="AC138" i="93" s="1"/>
  <c r="AB138" i="93" a="1"/>
  <c r="AB138" i="93" s="1"/>
  <c r="AA138" i="93" a="1"/>
  <c r="AA138" i="93" s="1"/>
  <c r="Z138" i="93" a="1"/>
  <c r="Z138" i="93" s="1"/>
  <c r="Y138" i="93" a="1"/>
  <c r="Y138" i="93" s="1"/>
  <c r="X138" i="93" a="1"/>
  <c r="X138" i="93" s="1"/>
  <c r="W138" i="93" a="1"/>
  <c r="W138" i="93" s="1"/>
  <c r="V138" i="93" a="1"/>
  <c r="V138" i="93" s="1"/>
  <c r="U138" i="93" a="1"/>
  <c r="U138" i="93" s="1"/>
  <c r="T138" i="93" a="1"/>
  <c r="T138" i="93" s="1"/>
  <c r="S138" i="93" a="1"/>
  <c r="S138" i="93" s="1"/>
  <c r="R138" i="93" a="1"/>
  <c r="R138" i="93" s="1"/>
  <c r="Q138" i="93" a="1"/>
  <c r="Q138" i="93" s="1"/>
  <c r="P138" i="93" a="1"/>
  <c r="P138" i="93" s="1"/>
  <c r="O138" i="93" a="1"/>
  <c r="O138" i="93" s="1"/>
  <c r="N138" i="93" a="1"/>
  <c r="N138" i="93" s="1"/>
  <c r="M138" i="93" a="1"/>
  <c r="M138" i="93" s="1"/>
  <c r="L138" i="93" a="1"/>
  <c r="L138" i="93" s="1"/>
  <c r="K138" i="93" a="1"/>
  <c r="K138" i="93" s="1"/>
  <c r="J138" i="93" a="1"/>
  <c r="J138" i="93" s="1"/>
  <c r="I138" i="93" a="1"/>
  <c r="I138" i="93" s="1"/>
  <c r="H138" i="93" a="1"/>
  <c r="H138" i="93" s="1"/>
  <c r="G138" i="93" a="1"/>
  <c r="G138" i="93" s="1"/>
  <c r="F138" i="93" a="1"/>
  <c r="F138" i="93" s="1"/>
  <c r="E138" i="93" a="1"/>
  <c r="E138" i="93" s="1"/>
  <c r="D138" i="93" a="1"/>
  <c r="D138" i="93" s="1"/>
  <c r="AE137" i="93" a="1"/>
  <c r="AE137" i="93" s="1"/>
  <c r="AD137" i="93" a="1"/>
  <c r="AD137" i="93" s="1"/>
  <c r="AC137" i="93" a="1"/>
  <c r="AC137" i="93" s="1"/>
  <c r="AB137" i="93" a="1"/>
  <c r="AB137" i="93" s="1"/>
  <c r="AA137" i="93" a="1"/>
  <c r="AA137" i="93" s="1"/>
  <c r="Z137" i="93" a="1"/>
  <c r="Z137" i="93" s="1"/>
  <c r="Y137" i="93" a="1"/>
  <c r="Y137" i="93" s="1"/>
  <c r="X137" i="93" a="1"/>
  <c r="X137" i="93" s="1"/>
  <c r="W137" i="93" a="1"/>
  <c r="W137" i="93" s="1"/>
  <c r="V137" i="93" a="1"/>
  <c r="V137" i="93" s="1"/>
  <c r="U137" i="93" a="1"/>
  <c r="U137" i="93" s="1"/>
  <c r="T137" i="93" a="1"/>
  <c r="T137" i="93" s="1"/>
  <c r="S137" i="93" a="1"/>
  <c r="S137" i="93" s="1"/>
  <c r="R137" i="93" a="1"/>
  <c r="R137" i="93" s="1"/>
  <c r="Q137" i="93" a="1"/>
  <c r="Q137" i="93" s="1"/>
  <c r="P137" i="93" a="1"/>
  <c r="P137" i="93" s="1"/>
  <c r="O137" i="93" a="1"/>
  <c r="O137" i="93" s="1"/>
  <c r="N137" i="93" a="1"/>
  <c r="N137" i="93" s="1"/>
  <c r="M137" i="93" a="1"/>
  <c r="M137" i="93" s="1"/>
  <c r="L137" i="93" a="1"/>
  <c r="L137" i="93" s="1"/>
  <c r="K137" i="93" a="1"/>
  <c r="K137" i="93" s="1"/>
  <c r="J137" i="93" a="1"/>
  <c r="J137" i="93" s="1"/>
  <c r="I137" i="93" a="1"/>
  <c r="I137" i="93" s="1"/>
  <c r="H137" i="93" a="1"/>
  <c r="H137" i="93" s="1"/>
  <c r="G137" i="93" a="1"/>
  <c r="G137" i="93" s="1"/>
  <c r="F137" i="93" a="1"/>
  <c r="F137" i="93" s="1"/>
  <c r="E137" i="93" a="1"/>
  <c r="E137" i="93" s="1"/>
  <c r="D137" i="93" a="1"/>
  <c r="D137" i="93" s="1"/>
  <c r="AE136" i="93" a="1"/>
  <c r="AE136" i="93" s="1"/>
  <c r="AD136" i="93" a="1"/>
  <c r="AD136" i="93" s="1"/>
  <c r="AC136" i="93" a="1"/>
  <c r="AC136" i="93" s="1"/>
  <c r="AB136" i="93" a="1"/>
  <c r="AB136" i="93" s="1"/>
  <c r="AA136" i="93" a="1"/>
  <c r="AA136" i="93" s="1"/>
  <c r="Z136" i="93" a="1"/>
  <c r="Z136" i="93" s="1"/>
  <c r="Y136" i="93" a="1"/>
  <c r="Y136" i="93" s="1"/>
  <c r="X136" i="93" a="1"/>
  <c r="X136" i="93" s="1"/>
  <c r="W136" i="93" a="1"/>
  <c r="W136" i="93" s="1"/>
  <c r="V136" i="93" a="1"/>
  <c r="V136" i="93" s="1"/>
  <c r="U136" i="93" a="1"/>
  <c r="U136" i="93" s="1"/>
  <c r="T136" i="93" a="1"/>
  <c r="T136" i="93" s="1"/>
  <c r="S136" i="93" a="1"/>
  <c r="S136" i="93" s="1"/>
  <c r="R136" i="93" a="1"/>
  <c r="R136" i="93" s="1"/>
  <c r="Q136" i="93" a="1"/>
  <c r="Q136" i="93" s="1"/>
  <c r="P136" i="93" a="1"/>
  <c r="P136" i="93" s="1"/>
  <c r="O136" i="93" a="1"/>
  <c r="O136" i="93" s="1"/>
  <c r="N136" i="93" a="1"/>
  <c r="N136" i="93" s="1"/>
  <c r="M136" i="93" a="1"/>
  <c r="M136" i="93" s="1"/>
  <c r="L136" i="93" a="1"/>
  <c r="L136" i="93" s="1"/>
  <c r="K136" i="93" a="1"/>
  <c r="K136" i="93" s="1"/>
  <c r="J136" i="93" a="1"/>
  <c r="J136" i="93" s="1"/>
  <c r="I136" i="93" a="1"/>
  <c r="I136" i="93" s="1"/>
  <c r="H136" i="93" a="1"/>
  <c r="H136" i="93" s="1"/>
  <c r="G136" i="93" a="1"/>
  <c r="G136" i="93" s="1"/>
  <c r="F136" i="93" a="1"/>
  <c r="F136" i="93" s="1"/>
  <c r="E136" i="93" a="1"/>
  <c r="E136" i="93" s="1"/>
  <c r="D136" i="93" a="1"/>
  <c r="D136" i="93" s="1"/>
  <c r="AE135" i="93" a="1"/>
  <c r="AE135" i="93" s="1"/>
  <c r="AD135" i="93" a="1"/>
  <c r="AD135" i="93" s="1"/>
  <c r="AC135" i="93" a="1"/>
  <c r="AC135" i="93" s="1"/>
  <c r="AB135" i="93" a="1"/>
  <c r="AB135" i="93" s="1"/>
  <c r="AA135" i="93" a="1"/>
  <c r="AA135" i="93" s="1"/>
  <c r="Z135" i="93" a="1"/>
  <c r="Z135" i="93" s="1"/>
  <c r="Y135" i="93" a="1"/>
  <c r="Y135" i="93" s="1"/>
  <c r="X135" i="93" a="1"/>
  <c r="X135" i="93" s="1"/>
  <c r="W135" i="93" a="1"/>
  <c r="W135" i="93" s="1"/>
  <c r="V135" i="93" a="1"/>
  <c r="V135" i="93" s="1"/>
  <c r="U135" i="93" a="1"/>
  <c r="U135" i="93" s="1"/>
  <c r="T135" i="93" a="1"/>
  <c r="T135" i="93" s="1"/>
  <c r="S135" i="93" a="1"/>
  <c r="S135" i="93" s="1"/>
  <c r="R135" i="93" a="1"/>
  <c r="R135" i="93" s="1"/>
  <c r="Q135" i="93" a="1"/>
  <c r="Q135" i="93" s="1"/>
  <c r="P135" i="93" a="1"/>
  <c r="P135" i="93" s="1"/>
  <c r="O135" i="93" a="1"/>
  <c r="O135" i="93" s="1"/>
  <c r="N135" i="93" a="1"/>
  <c r="N135" i="93" s="1"/>
  <c r="M135" i="93" a="1"/>
  <c r="M135" i="93" s="1"/>
  <c r="L135" i="93" a="1"/>
  <c r="L135" i="93" s="1"/>
  <c r="K135" i="93" a="1"/>
  <c r="K135" i="93" s="1"/>
  <c r="J135" i="93" a="1"/>
  <c r="J135" i="93" s="1"/>
  <c r="I135" i="93" a="1"/>
  <c r="I135" i="93" s="1"/>
  <c r="H135" i="93" a="1"/>
  <c r="H135" i="93" s="1"/>
  <c r="G135" i="93" a="1"/>
  <c r="G135" i="93" s="1"/>
  <c r="F135" i="93" a="1"/>
  <c r="F135" i="93" s="1"/>
  <c r="E135" i="93" a="1"/>
  <c r="E135" i="93" s="1"/>
  <c r="D135" i="93" a="1"/>
  <c r="D135" i="93" s="1"/>
  <c r="AE134" i="93" a="1"/>
  <c r="AE134" i="93" s="1"/>
  <c r="AD134" i="93" a="1"/>
  <c r="AD134" i="93" s="1"/>
  <c r="AC134" i="93" a="1"/>
  <c r="AC134" i="93" s="1"/>
  <c r="AB134" i="93" a="1"/>
  <c r="AB134" i="93" s="1"/>
  <c r="AA134" i="93" a="1"/>
  <c r="AA134" i="93" s="1"/>
  <c r="Z134" i="93" a="1"/>
  <c r="Z134" i="93" s="1"/>
  <c r="Y134" i="93" a="1"/>
  <c r="Y134" i="93" s="1"/>
  <c r="X134" i="93" a="1"/>
  <c r="X134" i="93" s="1"/>
  <c r="W134" i="93" a="1"/>
  <c r="W134" i="93" s="1"/>
  <c r="V134" i="93" a="1"/>
  <c r="V134" i="93" s="1"/>
  <c r="U134" i="93" a="1"/>
  <c r="U134" i="93" s="1"/>
  <c r="T134" i="93" a="1"/>
  <c r="T134" i="93" s="1"/>
  <c r="S134" i="93" a="1"/>
  <c r="S134" i="93" s="1"/>
  <c r="R134" i="93" a="1"/>
  <c r="R134" i="93" s="1"/>
  <c r="Q134" i="93" a="1"/>
  <c r="Q134" i="93" s="1"/>
  <c r="P134" i="93" a="1"/>
  <c r="P134" i="93" s="1"/>
  <c r="O134" i="93" a="1"/>
  <c r="O134" i="93" s="1"/>
  <c r="N134" i="93" a="1"/>
  <c r="N134" i="93" s="1"/>
  <c r="M134" i="93" a="1"/>
  <c r="M134" i="93" s="1"/>
  <c r="L134" i="93" a="1"/>
  <c r="L134" i="93" s="1"/>
  <c r="K134" i="93" a="1"/>
  <c r="K134" i="93" s="1"/>
  <c r="J134" i="93" a="1"/>
  <c r="J134" i="93" s="1"/>
  <c r="I134" i="93" a="1"/>
  <c r="I134" i="93" s="1"/>
  <c r="H134" i="93" a="1"/>
  <c r="H134" i="93" s="1"/>
  <c r="G134" i="93" a="1"/>
  <c r="G134" i="93" s="1"/>
  <c r="F134" i="93" a="1"/>
  <c r="F134" i="93" s="1"/>
  <c r="E134" i="93" a="1"/>
  <c r="E134" i="93" s="1"/>
  <c r="D134" i="93" a="1"/>
  <c r="D134" i="93" s="1"/>
  <c r="AE133" i="93" a="1"/>
  <c r="AE133" i="93" s="1"/>
  <c r="AD133" i="93" a="1"/>
  <c r="AD133" i="93" s="1"/>
  <c r="AC133" i="93" a="1"/>
  <c r="AC133" i="93" s="1"/>
  <c r="AB133" i="93" a="1"/>
  <c r="AB133" i="93" s="1"/>
  <c r="AA133" i="93" a="1"/>
  <c r="AA133" i="93" s="1"/>
  <c r="Z133" i="93" a="1"/>
  <c r="Z133" i="93" s="1"/>
  <c r="Y133" i="93" a="1"/>
  <c r="Y133" i="93" s="1"/>
  <c r="X133" i="93" a="1"/>
  <c r="X133" i="93" s="1"/>
  <c r="W133" i="93" a="1"/>
  <c r="W133" i="93" s="1"/>
  <c r="V133" i="93" a="1"/>
  <c r="V133" i="93" s="1"/>
  <c r="U133" i="93" a="1"/>
  <c r="U133" i="93" s="1"/>
  <c r="T133" i="93" a="1"/>
  <c r="T133" i="93" s="1"/>
  <c r="S133" i="93" a="1"/>
  <c r="S133" i="93" s="1"/>
  <c r="R133" i="93" a="1"/>
  <c r="R133" i="93" s="1"/>
  <c r="Q133" i="93" a="1"/>
  <c r="Q133" i="93" s="1"/>
  <c r="P133" i="93" a="1"/>
  <c r="P133" i="93" s="1"/>
  <c r="O133" i="93" a="1"/>
  <c r="O133" i="93" s="1"/>
  <c r="N133" i="93" a="1"/>
  <c r="N133" i="93" s="1"/>
  <c r="M133" i="93" a="1"/>
  <c r="M133" i="93" s="1"/>
  <c r="L133" i="93" a="1"/>
  <c r="L133" i="93" s="1"/>
  <c r="K133" i="93" a="1"/>
  <c r="K133" i="93" s="1"/>
  <c r="J133" i="93" a="1"/>
  <c r="J133" i="93" s="1"/>
  <c r="I133" i="93" a="1"/>
  <c r="I133" i="93" s="1"/>
  <c r="H133" i="93" a="1"/>
  <c r="H133" i="93" s="1"/>
  <c r="G133" i="93" a="1"/>
  <c r="G133" i="93" s="1"/>
  <c r="F133" i="93" a="1"/>
  <c r="F133" i="93" s="1"/>
  <c r="E133" i="93" a="1"/>
  <c r="E133" i="93" s="1"/>
  <c r="D133" i="93" a="1"/>
  <c r="D133" i="93" s="1"/>
  <c r="AE132" i="93" a="1"/>
  <c r="AE132" i="93" s="1"/>
  <c r="AD132" i="93" a="1"/>
  <c r="AD132" i="93" s="1"/>
  <c r="AC132" i="93" a="1"/>
  <c r="AC132" i="93" s="1"/>
  <c r="AB132" i="93" a="1"/>
  <c r="AB132" i="93" s="1"/>
  <c r="AA132" i="93" a="1"/>
  <c r="AA132" i="93" s="1"/>
  <c r="Z132" i="93" a="1"/>
  <c r="Z132" i="93" s="1"/>
  <c r="Y132" i="93" a="1"/>
  <c r="Y132" i="93" s="1"/>
  <c r="X132" i="93" a="1"/>
  <c r="X132" i="93" s="1"/>
  <c r="W132" i="93" a="1"/>
  <c r="W132" i="93" s="1"/>
  <c r="V132" i="93" a="1"/>
  <c r="V132" i="93" s="1"/>
  <c r="U132" i="93" a="1"/>
  <c r="U132" i="93" s="1"/>
  <c r="T132" i="93" a="1"/>
  <c r="T132" i="93" s="1"/>
  <c r="S132" i="93" a="1"/>
  <c r="S132" i="93" s="1"/>
  <c r="R132" i="93" a="1"/>
  <c r="R132" i="93" s="1"/>
  <c r="Q132" i="93" a="1"/>
  <c r="Q132" i="93" s="1"/>
  <c r="P132" i="93" a="1"/>
  <c r="P132" i="93" s="1"/>
  <c r="O132" i="93" a="1"/>
  <c r="O132" i="93" s="1"/>
  <c r="N132" i="93" a="1"/>
  <c r="N132" i="93" s="1"/>
  <c r="M132" i="93" a="1"/>
  <c r="M132" i="93" s="1"/>
  <c r="L132" i="93" a="1"/>
  <c r="L132" i="93" s="1"/>
  <c r="K132" i="93" a="1"/>
  <c r="K132" i="93" s="1"/>
  <c r="J132" i="93" a="1"/>
  <c r="J132" i="93" s="1"/>
  <c r="I132" i="93" a="1"/>
  <c r="I132" i="93" s="1"/>
  <c r="H132" i="93" a="1"/>
  <c r="H132" i="93" s="1"/>
  <c r="G132" i="93" a="1"/>
  <c r="G132" i="93" s="1"/>
  <c r="F132" i="93" a="1"/>
  <c r="F132" i="93" s="1"/>
  <c r="E132" i="93" a="1"/>
  <c r="E132" i="93" s="1"/>
  <c r="D132" i="93" a="1"/>
  <c r="D132" i="93" s="1"/>
  <c r="AE131" i="93" a="1"/>
  <c r="AE131" i="93" s="1"/>
  <c r="AD131" i="93" a="1"/>
  <c r="AD131" i="93" s="1"/>
  <c r="AC131" i="93" a="1"/>
  <c r="AC131" i="93" s="1"/>
  <c r="AB131" i="93" a="1"/>
  <c r="AB131" i="93" s="1"/>
  <c r="AA131" i="93" a="1"/>
  <c r="AA131" i="93" s="1"/>
  <c r="Z131" i="93" a="1"/>
  <c r="Z131" i="93" s="1"/>
  <c r="Y131" i="93" a="1"/>
  <c r="Y131" i="93" s="1"/>
  <c r="X131" i="93" a="1"/>
  <c r="X131" i="93" s="1"/>
  <c r="W131" i="93" a="1"/>
  <c r="W131" i="93" s="1"/>
  <c r="V131" i="93" a="1"/>
  <c r="V131" i="93" s="1"/>
  <c r="U131" i="93" a="1"/>
  <c r="U131" i="93" s="1"/>
  <c r="T131" i="93" a="1"/>
  <c r="T131" i="93" s="1"/>
  <c r="S131" i="93" a="1"/>
  <c r="S131" i="93" s="1"/>
  <c r="R131" i="93" a="1"/>
  <c r="R131" i="93" s="1"/>
  <c r="Q131" i="93" a="1"/>
  <c r="Q131" i="93" s="1"/>
  <c r="P131" i="93" a="1"/>
  <c r="P131" i="93" s="1"/>
  <c r="O131" i="93" a="1"/>
  <c r="O131" i="93" s="1"/>
  <c r="N131" i="93" a="1"/>
  <c r="N131" i="93" s="1"/>
  <c r="M131" i="93" a="1"/>
  <c r="M131" i="93" s="1"/>
  <c r="L131" i="93" a="1"/>
  <c r="L131" i="93" s="1"/>
  <c r="K131" i="93" a="1"/>
  <c r="K131" i="93" s="1"/>
  <c r="J131" i="93" a="1"/>
  <c r="J131" i="93" s="1"/>
  <c r="I131" i="93" a="1"/>
  <c r="I131" i="93" s="1"/>
  <c r="H131" i="93" a="1"/>
  <c r="H131" i="93" s="1"/>
  <c r="G131" i="93" a="1"/>
  <c r="G131" i="93" s="1"/>
  <c r="F131" i="93" a="1"/>
  <c r="F131" i="93" s="1"/>
  <c r="E131" i="93" a="1"/>
  <c r="E131" i="93" s="1"/>
  <c r="D131" i="93" a="1"/>
  <c r="D131" i="93" s="1"/>
  <c r="AE130" i="93" a="1"/>
  <c r="AE130" i="93" s="1"/>
  <c r="AD130" i="93" a="1"/>
  <c r="AD130" i="93" s="1"/>
  <c r="AC130" i="93" a="1"/>
  <c r="AC130" i="93" s="1"/>
  <c r="AB130" i="93" a="1"/>
  <c r="AB130" i="93" s="1"/>
  <c r="AA130" i="93" a="1"/>
  <c r="AA130" i="93" s="1"/>
  <c r="Z130" i="93" a="1"/>
  <c r="Z130" i="93" s="1"/>
  <c r="Y130" i="93" a="1"/>
  <c r="Y130" i="93" s="1"/>
  <c r="X130" i="93" a="1"/>
  <c r="X130" i="93" s="1"/>
  <c r="W130" i="93" a="1"/>
  <c r="W130" i="93" s="1"/>
  <c r="V130" i="93" a="1"/>
  <c r="V130" i="93" s="1"/>
  <c r="U130" i="93" a="1"/>
  <c r="U130" i="93" s="1"/>
  <c r="T130" i="93" a="1"/>
  <c r="T130" i="93" s="1"/>
  <c r="S130" i="93" a="1"/>
  <c r="S130" i="93" s="1"/>
  <c r="R130" i="93" a="1"/>
  <c r="R130" i="93" s="1"/>
  <c r="Q130" i="93" a="1"/>
  <c r="Q130" i="93" s="1"/>
  <c r="P130" i="93" a="1"/>
  <c r="P130" i="93" s="1"/>
  <c r="O130" i="93" a="1"/>
  <c r="O130" i="93" s="1"/>
  <c r="N130" i="93" a="1"/>
  <c r="N130" i="93" s="1"/>
  <c r="M130" i="93" a="1"/>
  <c r="M130" i="93" s="1"/>
  <c r="L130" i="93" a="1"/>
  <c r="L130" i="93" s="1"/>
  <c r="K130" i="93" a="1"/>
  <c r="K130" i="93" s="1"/>
  <c r="J130" i="93" a="1"/>
  <c r="J130" i="93" s="1"/>
  <c r="I130" i="93" a="1"/>
  <c r="I130" i="93" s="1"/>
  <c r="H130" i="93" a="1"/>
  <c r="H130" i="93" s="1"/>
  <c r="G130" i="93" a="1"/>
  <c r="G130" i="93" s="1"/>
  <c r="F130" i="93" a="1"/>
  <c r="F130" i="93" s="1"/>
  <c r="E130" i="93" a="1"/>
  <c r="E130" i="93" s="1"/>
  <c r="D130" i="93" a="1"/>
  <c r="D130" i="93" s="1"/>
  <c r="AE129" i="93" a="1"/>
  <c r="AE129" i="93" s="1"/>
  <c r="AD129" i="93" a="1"/>
  <c r="AD129" i="93" s="1"/>
  <c r="AC129" i="93" a="1"/>
  <c r="AC129" i="93" s="1"/>
  <c r="AB129" i="93" a="1"/>
  <c r="AB129" i="93" s="1"/>
  <c r="AA129" i="93" a="1"/>
  <c r="AA129" i="93" s="1"/>
  <c r="Z129" i="93" a="1"/>
  <c r="Z129" i="93" s="1"/>
  <c r="Y129" i="93" a="1"/>
  <c r="Y129" i="93" s="1"/>
  <c r="X129" i="93" a="1"/>
  <c r="X129" i="93" s="1"/>
  <c r="W129" i="93" a="1"/>
  <c r="W129" i="93" s="1"/>
  <c r="V129" i="93" a="1"/>
  <c r="V129" i="93" s="1"/>
  <c r="U129" i="93" a="1"/>
  <c r="U129" i="93" s="1"/>
  <c r="T129" i="93" a="1"/>
  <c r="T129" i="93" s="1"/>
  <c r="S129" i="93" a="1"/>
  <c r="S129" i="93" s="1"/>
  <c r="R129" i="93" a="1"/>
  <c r="R129" i="93" s="1"/>
  <c r="Q129" i="93" a="1"/>
  <c r="Q129" i="93" s="1"/>
  <c r="P129" i="93" a="1"/>
  <c r="P129" i="93" s="1"/>
  <c r="O129" i="93" a="1"/>
  <c r="O129" i="93" s="1"/>
  <c r="N129" i="93" a="1"/>
  <c r="N129" i="93" s="1"/>
  <c r="M129" i="93" a="1"/>
  <c r="M129" i="93" s="1"/>
  <c r="L129" i="93" a="1"/>
  <c r="L129" i="93" s="1"/>
  <c r="K129" i="93" a="1"/>
  <c r="K129" i="93" s="1"/>
  <c r="J129" i="93" a="1"/>
  <c r="J129" i="93" s="1"/>
  <c r="I129" i="93" a="1"/>
  <c r="I129" i="93" s="1"/>
  <c r="H129" i="93" a="1"/>
  <c r="H129" i="93" s="1"/>
  <c r="G129" i="93" a="1"/>
  <c r="G129" i="93" s="1"/>
  <c r="F129" i="93" a="1"/>
  <c r="F129" i="93" s="1"/>
  <c r="E129" i="93" a="1"/>
  <c r="E129" i="93" s="1"/>
  <c r="D129" i="93" a="1"/>
  <c r="D129" i="93" s="1"/>
  <c r="AE128" i="93" a="1"/>
  <c r="AE128" i="93" s="1"/>
  <c r="AD128" i="93" a="1"/>
  <c r="AD128" i="93" s="1"/>
  <c r="AC128" i="93" a="1"/>
  <c r="AC128" i="93" s="1"/>
  <c r="AB128" i="93" a="1"/>
  <c r="AB128" i="93" s="1"/>
  <c r="AA128" i="93" a="1"/>
  <c r="AA128" i="93" s="1"/>
  <c r="Z128" i="93" a="1"/>
  <c r="Z128" i="93" s="1"/>
  <c r="Y128" i="93" a="1"/>
  <c r="Y128" i="93" s="1"/>
  <c r="X128" i="93" a="1"/>
  <c r="X128" i="93" s="1"/>
  <c r="W128" i="93" a="1"/>
  <c r="W128" i="93" s="1"/>
  <c r="V128" i="93" a="1"/>
  <c r="V128" i="93" s="1"/>
  <c r="U128" i="93" a="1"/>
  <c r="U128" i="93" s="1"/>
  <c r="T128" i="93" a="1"/>
  <c r="T128" i="93" s="1"/>
  <c r="S128" i="93" a="1"/>
  <c r="S128" i="93" s="1"/>
  <c r="R128" i="93" a="1"/>
  <c r="R128" i="93" s="1"/>
  <c r="Q128" i="93" a="1"/>
  <c r="Q128" i="93" s="1"/>
  <c r="P128" i="93" a="1"/>
  <c r="P128" i="93" s="1"/>
  <c r="O128" i="93" a="1"/>
  <c r="O128" i="93" s="1"/>
  <c r="N128" i="93" a="1"/>
  <c r="N128" i="93" s="1"/>
  <c r="M128" i="93" a="1"/>
  <c r="M128" i="93" s="1"/>
  <c r="L128" i="93" a="1"/>
  <c r="L128" i="93" s="1"/>
  <c r="K128" i="93" a="1"/>
  <c r="K128" i="93" s="1"/>
  <c r="J128" i="93" a="1"/>
  <c r="J128" i="93" s="1"/>
  <c r="I128" i="93" a="1"/>
  <c r="I128" i="93" s="1"/>
  <c r="H128" i="93" a="1"/>
  <c r="H128" i="93" s="1"/>
  <c r="G128" i="93" a="1"/>
  <c r="G128" i="93" s="1"/>
  <c r="F128" i="93" a="1"/>
  <c r="F128" i="93" s="1"/>
  <c r="E128" i="93" a="1"/>
  <c r="E128" i="93" s="1"/>
  <c r="D128" i="93" a="1"/>
  <c r="D128" i="93" s="1"/>
  <c r="AE127" i="93" a="1"/>
  <c r="AE127" i="93" s="1"/>
  <c r="AD127" i="93" a="1"/>
  <c r="AD127" i="93" s="1"/>
  <c r="AC127" i="93" a="1"/>
  <c r="AC127" i="93" s="1"/>
  <c r="AB127" i="93" a="1"/>
  <c r="AB127" i="93" s="1"/>
  <c r="AA127" i="93" a="1"/>
  <c r="AA127" i="93" s="1"/>
  <c r="Z127" i="93" a="1"/>
  <c r="Z127" i="93" s="1"/>
  <c r="Y127" i="93" a="1"/>
  <c r="Y127" i="93" s="1"/>
  <c r="X127" i="93" a="1"/>
  <c r="X127" i="93" s="1"/>
  <c r="W127" i="93" a="1"/>
  <c r="W127" i="93" s="1"/>
  <c r="V127" i="93" a="1"/>
  <c r="V127" i="93" s="1"/>
  <c r="U127" i="93" a="1"/>
  <c r="U127" i="93" s="1"/>
  <c r="T127" i="93" a="1"/>
  <c r="T127" i="93" s="1"/>
  <c r="S127" i="93" a="1"/>
  <c r="S127" i="93" s="1"/>
  <c r="R127" i="93" a="1"/>
  <c r="R127" i="93" s="1"/>
  <c r="Q127" i="93" a="1"/>
  <c r="Q127" i="93" s="1"/>
  <c r="P127" i="93" a="1"/>
  <c r="P127" i="93" s="1"/>
  <c r="O127" i="93" a="1"/>
  <c r="O127" i="93" s="1"/>
  <c r="N127" i="93" a="1"/>
  <c r="N127" i="93" s="1"/>
  <c r="M127" i="93" a="1"/>
  <c r="M127" i="93" s="1"/>
  <c r="L127" i="93" a="1"/>
  <c r="L127" i="93" s="1"/>
  <c r="K127" i="93" a="1"/>
  <c r="K127" i="93" s="1"/>
  <c r="J127" i="93" a="1"/>
  <c r="J127" i="93" s="1"/>
  <c r="I127" i="93" a="1"/>
  <c r="I127" i="93" s="1"/>
  <c r="H127" i="93" a="1"/>
  <c r="H127" i="93" s="1"/>
  <c r="G127" i="93" a="1"/>
  <c r="G127" i="93" s="1"/>
  <c r="F127" i="93" a="1"/>
  <c r="F127" i="93" s="1"/>
  <c r="E127" i="93" a="1"/>
  <c r="E127" i="93" s="1"/>
  <c r="D127" i="93" a="1"/>
  <c r="D127" i="93" s="1"/>
  <c r="AE126" i="93" a="1"/>
  <c r="AE126" i="93" s="1"/>
  <c r="AD126" i="93" a="1"/>
  <c r="AD126" i="93" s="1"/>
  <c r="AC126" i="93" a="1"/>
  <c r="AC126" i="93" s="1"/>
  <c r="AB126" i="93" a="1"/>
  <c r="AB126" i="93" s="1"/>
  <c r="AA126" i="93" a="1"/>
  <c r="AA126" i="93" s="1"/>
  <c r="Z126" i="93" a="1"/>
  <c r="Z126" i="93" s="1"/>
  <c r="Y126" i="93" a="1"/>
  <c r="Y126" i="93" s="1"/>
  <c r="X126" i="93" a="1"/>
  <c r="X126" i="93" s="1"/>
  <c r="W126" i="93" a="1"/>
  <c r="W126" i="93" s="1"/>
  <c r="V126" i="93" a="1"/>
  <c r="V126" i="93" s="1"/>
  <c r="U126" i="93" a="1"/>
  <c r="U126" i="93" s="1"/>
  <c r="T126" i="93" a="1"/>
  <c r="T126" i="93" s="1"/>
  <c r="S126" i="93" a="1"/>
  <c r="S126" i="93" s="1"/>
  <c r="R126" i="93" a="1"/>
  <c r="R126" i="93" s="1"/>
  <c r="Q126" i="93" a="1"/>
  <c r="Q126" i="93" s="1"/>
  <c r="P126" i="93" a="1"/>
  <c r="P126" i="93" s="1"/>
  <c r="O126" i="93" a="1"/>
  <c r="O126" i="93" s="1"/>
  <c r="N126" i="93" a="1"/>
  <c r="N126" i="93" s="1"/>
  <c r="M126" i="93" a="1"/>
  <c r="M126" i="93" s="1"/>
  <c r="L126" i="93" a="1"/>
  <c r="L126" i="93" s="1"/>
  <c r="K126" i="93" a="1"/>
  <c r="K126" i="93" s="1"/>
  <c r="J126" i="93" a="1"/>
  <c r="J126" i="93" s="1"/>
  <c r="I126" i="93" a="1"/>
  <c r="I126" i="93" s="1"/>
  <c r="H126" i="93" a="1"/>
  <c r="H126" i="93" s="1"/>
  <c r="G126" i="93" a="1"/>
  <c r="G126" i="93" s="1"/>
  <c r="F126" i="93" a="1"/>
  <c r="F126" i="93" s="1"/>
  <c r="E126" i="93" a="1"/>
  <c r="E126" i="93" s="1"/>
  <c r="D126" i="93" a="1"/>
  <c r="D126" i="93" s="1"/>
  <c r="AE125" i="93" a="1"/>
  <c r="AE125" i="93" s="1"/>
  <c r="AD125" i="93" a="1"/>
  <c r="AD125" i="93" s="1"/>
  <c r="AC125" i="93" a="1"/>
  <c r="AC125" i="93" s="1"/>
  <c r="AB125" i="93" a="1"/>
  <c r="AB125" i="93" s="1"/>
  <c r="AA125" i="93" a="1"/>
  <c r="AA125" i="93" s="1"/>
  <c r="Z125" i="93" a="1"/>
  <c r="Z125" i="93" s="1"/>
  <c r="Y125" i="93" a="1"/>
  <c r="Y125" i="93" s="1"/>
  <c r="X125" i="93" a="1"/>
  <c r="X125" i="93" s="1"/>
  <c r="W125" i="93" a="1"/>
  <c r="W125" i="93" s="1"/>
  <c r="V125" i="93" a="1"/>
  <c r="V125" i="93" s="1"/>
  <c r="U125" i="93" a="1"/>
  <c r="U125" i="93" s="1"/>
  <c r="T125" i="93" a="1"/>
  <c r="T125" i="93" s="1"/>
  <c r="S125" i="93" a="1"/>
  <c r="S125" i="93" s="1"/>
  <c r="R125" i="93" a="1"/>
  <c r="R125" i="93" s="1"/>
  <c r="Q125" i="93" a="1"/>
  <c r="Q125" i="93" s="1"/>
  <c r="P125" i="93" a="1"/>
  <c r="P125" i="93" s="1"/>
  <c r="O125" i="93" a="1"/>
  <c r="O125" i="93" s="1"/>
  <c r="N125" i="93" a="1"/>
  <c r="N125" i="93" s="1"/>
  <c r="M125" i="93" a="1"/>
  <c r="M125" i="93" s="1"/>
  <c r="L125" i="93" a="1"/>
  <c r="L125" i="93" s="1"/>
  <c r="K125" i="93" a="1"/>
  <c r="K125" i="93" s="1"/>
  <c r="J125" i="93" a="1"/>
  <c r="J125" i="93" s="1"/>
  <c r="I125" i="93" a="1"/>
  <c r="I125" i="93" s="1"/>
  <c r="H125" i="93" a="1"/>
  <c r="H125" i="93" s="1"/>
  <c r="G125" i="93" a="1"/>
  <c r="G125" i="93" s="1"/>
  <c r="F125" i="93" a="1"/>
  <c r="F125" i="93" s="1"/>
  <c r="E125" i="93" a="1"/>
  <c r="E125" i="93" s="1"/>
  <c r="D125" i="93" a="1"/>
  <c r="D125" i="93" s="1"/>
  <c r="AE124" i="93" a="1"/>
  <c r="AE124" i="93" s="1"/>
  <c r="AD124" i="93" a="1"/>
  <c r="AD124" i="93" s="1"/>
  <c r="AC124" i="93" a="1"/>
  <c r="AC124" i="93" s="1"/>
  <c r="AB124" i="93" a="1"/>
  <c r="AB124" i="93" s="1"/>
  <c r="AA124" i="93" a="1"/>
  <c r="AA124" i="93" s="1"/>
  <c r="Z124" i="93" a="1"/>
  <c r="Z124" i="93" s="1"/>
  <c r="Y124" i="93" a="1"/>
  <c r="Y124" i="93" s="1"/>
  <c r="X124" i="93" a="1"/>
  <c r="X124" i="93" s="1"/>
  <c r="W124" i="93" a="1"/>
  <c r="W124" i="93" s="1"/>
  <c r="V124" i="93" a="1"/>
  <c r="V124" i="93" s="1"/>
  <c r="U124" i="93" a="1"/>
  <c r="U124" i="93" s="1"/>
  <c r="T124" i="93" a="1"/>
  <c r="T124" i="93" s="1"/>
  <c r="S124" i="93" a="1"/>
  <c r="S124" i="93" s="1"/>
  <c r="R124" i="93" a="1"/>
  <c r="R124" i="93" s="1"/>
  <c r="Q124" i="93" a="1"/>
  <c r="Q124" i="93" s="1"/>
  <c r="P124" i="93" a="1"/>
  <c r="P124" i="93" s="1"/>
  <c r="O124" i="93" a="1"/>
  <c r="O124" i="93" s="1"/>
  <c r="N124" i="93" a="1"/>
  <c r="N124" i="93" s="1"/>
  <c r="M124" i="93" a="1"/>
  <c r="M124" i="93" s="1"/>
  <c r="L124" i="93" a="1"/>
  <c r="L124" i="93" s="1"/>
  <c r="K124" i="93" a="1"/>
  <c r="K124" i="93" s="1"/>
  <c r="J124" i="93" a="1"/>
  <c r="J124" i="93" s="1"/>
  <c r="I124" i="93" a="1"/>
  <c r="I124" i="93" s="1"/>
  <c r="H124" i="93" a="1"/>
  <c r="H124" i="93" s="1"/>
  <c r="G124" i="93" a="1"/>
  <c r="G124" i="93" s="1"/>
  <c r="F124" i="93" a="1"/>
  <c r="F124" i="93" s="1"/>
  <c r="E124" i="93" a="1"/>
  <c r="E124" i="93" s="1"/>
  <c r="D124" i="93" a="1"/>
  <c r="D124" i="93" s="1"/>
  <c r="AE123" i="93" a="1"/>
  <c r="AE123" i="93" s="1"/>
  <c r="AD123" i="93" a="1"/>
  <c r="AD123" i="93" s="1"/>
  <c r="AC123" i="93" a="1"/>
  <c r="AC123" i="93" s="1"/>
  <c r="AB123" i="93" a="1"/>
  <c r="AB123" i="93" s="1"/>
  <c r="AA123" i="93" a="1"/>
  <c r="AA123" i="93" s="1"/>
  <c r="Z123" i="93" a="1"/>
  <c r="Z123" i="93" s="1"/>
  <c r="Y123" i="93" a="1"/>
  <c r="Y123" i="93" s="1"/>
  <c r="X123" i="93" a="1"/>
  <c r="X123" i="93" s="1"/>
  <c r="W123" i="93" a="1"/>
  <c r="W123" i="93" s="1"/>
  <c r="V123" i="93" a="1"/>
  <c r="V123" i="93" s="1"/>
  <c r="U123" i="93" a="1"/>
  <c r="U123" i="93" s="1"/>
  <c r="T123" i="93" a="1"/>
  <c r="T123" i="93" s="1"/>
  <c r="S123" i="93" a="1"/>
  <c r="S123" i="93" s="1"/>
  <c r="R123" i="93" a="1"/>
  <c r="R123" i="93" s="1"/>
  <c r="Q123" i="93" a="1"/>
  <c r="Q123" i="93" s="1"/>
  <c r="P123" i="93" a="1"/>
  <c r="P123" i="93" s="1"/>
  <c r="O123" i="93" a="1"/>
  <c r="O123" i="93" s="1"/>
  <c r="N123" i="93" a="1"/>
  <c r="N123" i="93" s="1"/>
  <c r="M123" i="93" a="1"/>
  <c r="M123" i="93" s="1"/>
  <c r="L123" i="93" a="1"/>
  <c r="L123" i="93" s="1"/>
  <c r="K123" i="93" a="1"/>
  <c r="K123" i="93" s="1"/>
  <c r="J123" i="93" a="1"/>
  <c r="J123" i="93" s="1"/>
  <c r="I123" i="93" a="1"/>
  <c r="I123" i="93" s="1"/>
  <c r="H123" i="93" a="1"/>
  <c r="H123" i="93" s="1"/>
  <c r="G123" i="93" a="1"/>
  <c r="G123" i="93" s="1"/>
  <c r="F123" i="93" a="1"/>
  <c r="F123" i="93" s="1"/>
  <c r="E123" i="93" a="1"/>
  <c r="E123" i="93" s="1"/>
  <c r="D123" i="93" a="1"/>
  <c r="D123" i="93" s="1"/>
  <c r="AE122" i="93" a="1"/>
  <c r="AE122" i="93" s="1"/>
  <c r="AD122" i="93" a="1"/>
  <c r="AD122" i="93" s="1"/>
  <c r="AC122" i="93" a="1"/>
  <c r="AC122" i="93" s="1"/>
  <c r="AB122" i="93" a="1"/>
  <c r="AB122" i="93" s="1"/>
  <c r="AA122" i="93" a="1"/>
  <c r="AA122" i="93" s="1"/>
  <c r="Z122" i="93" a="1"/>
  <c r="Z122" i="93" s="1"/>
  <c r="Y122" i="93" a="1"/>
  <c r="Y122" i="93" s="1"/>
  <c r="X122" i="93" a="1"/>
  <c r="X122" i="93" s="1"/>
  <c r="W122" i="93" a="1"/>
  <c r="W122" i="93" s="1"/>
  <c r="V122" i="93" a="1"/>
  <c r="V122" i="93" s="1"/>
  <c r="U122" i="93" a="1"/>
  <c r="U122" i="93" s="1"/>
  <c r="T122" i="93" a="1"/>
  <c r="T122" i="93" s="1"/>
  <c r="S122" i="93" a="1"/>
  <c r="S122" i="93" s="1"/>
  <c r="R122" i="93" a="1"/>
  <c r="R122" i="93" s="1"/>
  <c r="Q122" i="93" a="1"/>
  <c r="Q122" i="93" s="1"/>
  <c r="P122" i="93" a="1"/>
  <c r="P122" i="93" s="1"/>
  <c r="O122" i="93" a="1"/>
  <c r="O122" i="93" s="1"/>
  <c r="N122" i="93" a="1"/>
  <c r="N122" i="93" s="1"/>
  <c r="M122" i="93" a="1"/>
  <c r="M122" i="93" s="1"/>
  <c r="L122" i="93" a="1"/>
  <c r="L122" i="93" s="1"/>
  <c r="K122" i="93" a="1"/>
  <c r="K122" i="93" s="1"/>
  <c r="J122" i="93" a="1"/>
  <c r="J122" i="93" s="1"/>
  <c r="I122" i="93" a="1"/>
  <c r="I122" i="93" s="1"/>
  <c r="H122" i="93" a="1"/>
  <c r="H122" i="93" s="1"/>
  <c r="G122" i="93" a="1"/>
  <c r="G122" i="93" s="1"/>
  <c r="F122" i="93" a="1"/>
  <c r="F122" i="93" s="1"/>
  <c r="E122" i="93" a="1"/>
  <c r="E122" i="93" s="1"/>
  <c r="D122" i="93" a="1"/>
  <c r="D122" i="93" s="1"/>
  <c r="AE121" i="93" a="1"/>
  <c r="AE121" i="93" s="1"/>
  <c r="AD121" i="93" a="1"/>
  <c r="AD121" i="93" s="1"/>
  <c r="AC121" i="93" a="1"/>
  <c r="AC121" i="93" s="1"/>
  <c r="AB121" i="93" a="1"/>
  <c r="AB121" i="93" s="1"/>
  <c r="AA121" i="93" a="1"/>
  <c r="AA121" i="93" s="1"/>
  <c r="Z121" i="93" a="1"/>
  <c r="Z121" i="93" s="1"/>
  <c r="Y121" i="93" a="1"/>
  <c r="Y121" i="93" s="1"/>
  <c r="X121" i="93" a="1"/>
  <c r="X121" i="93" s="1"/>
  <c r="W121" i="93" a="1"/>
  <c r="W121" i="93" s="1"/>
  <c r="V121" i="93" a="1"/>
  <c r="V121" i="93" s="1"/>
  <c r="U121" i="93" a="1"/>
  <c r="U121" i="93" s="1"/>
  <c r="T121" i="93" a="1"/>
  <c r="T121" i="93" s="1"/>
  <c r="S121" i="93" a="1"/>
  <c r="S121" i="93" s="1"/>
  <c r="R121" i="93" a="1"/>
  <c r="R121" i="93" s="1"/>
  <c r="Q121" i="93" a="1"/>
  <c r="Q121" i="93" s="1"/>
  <c r="P121" i="93" a="1"/>
  <c r="P121" i="93" s="1"/>
  <c r="O121" i="93" a="1"/>
  <c r="O121" i="93" s="1"/>
  <c r="N121" i="93" a="1"/>
  <c r="N121" i="93" s="1"/>
  <c r="M121" i="93" a="1"/>
  <c r="M121" i="93" s="1"/>
  <c r="L121" i="93" a="1"/>
  <c r="L121" i="93" s="1"/>
  <c r="K121" i="93" a="1"/>
  <c r="K121" i="93" s="1"/>
  <c r="J121" i="93" a="1"/>
  <c r="J121" i="93" s="1"/>
  <c r="I121" i="93" a="1"/>
  <c r="I121" i="93" s="1"/>
  <c r="H121" i="93" a="1"/>
  <c r="H121" i="93" s="1"/>
  <c r="G121" i="93" a="1"/>
  <c r="G121" i="93" s="1"/>
  <c r="F121" i="93" a="1"/>
  <c r="F121" i="93" s="1"/>
  <c r="E121" i="93" a="1"/>
  <c r="E121" i="93" s="1"/>
  <c r="D121" i="93" a="1"/>
  <c r="D121" i="93" s="1"/>
  <c r="AE120" i="93" a="1"/>
  <c r="AE120" i="93" s="1"/>
  <c r="AD120" i="93" a="1"/>
  <c r="AD120" i="93" s="1"/>
  <c r="AC120" i="93" a="1"/>
  <c r="AC120" i="93" s="1"/>
  <c r="AB120" i="93" a="1"/>
  <c r="AB120" i="93" s="1"/>
  <c r="AA120" i="93" a="1"/>
  <c r="AA120" i="93" s="1"/>
  <c r="Z120" i="93" a="1"/>
  <c r="Z120" i="93" s="1"/>
  <c r="Y120" i="93" a="1"/>
  <c r="Y120" i="93" s="1"/>
  <c r="X120" i="93" a="1"/>
  <c r="X120" i="93" s="1"/>
  <c r="W120" i="93" a="1"/>
  <c r="W120" i="93" s="1"/>
  <c r="V120" i="93" a="1"/>
  <c r="V120" i="93" s="1"/>
  <c r="U120" i="93" a="1"/>
  <c r="U120" i="93" s="1"/>
  <c r="T120" i="93" a="1"/>
  <c r="T120" i="93" s="1"/>
  <c r="S120" i="93" a="1"/>
  <c r="S120" i="93" s="1"/>
  <c r="R120" i="93" a="1"/>
  <c r="R120" i="93" s="1"/>
  <c r="Q120" i="93" a="1"/>
  <c r="Q120" i="93" s="1"/>
  <c r="P120" i="93" a="1"/>
  <c r="P120" i="93" s="1"/>
  <c r="O120" i="93" a="1"/>
  <c r="O120" i="93" s="1"/>
  <c r="N120" i="93" a="1"/>
  <c r="N120" i="93" s="1"/>
  <c r="M120" i="93" a="1"/>
  <c r="M120" i="93" s="1"/>
  <c r="L120" i="93" a="1"/>
  <c r="L120" i="93" s="1"/>
  <c r="K120" i="93" a="1"/>
  <c r="K120" i="93" s="1"/>
  <c r="J120" i="93" a="1"/>
  <c r="J120" i="93" s="1"/>
  <c r="I120" i="93" a="1"/>
  <c r="I120" i="93" s="1"/>
  <c r="H120" i="93" a="1"/>
  <c r="H120" i="93" s="1"/>
  <c r="G120" i="93" a="1"/>
  <c r="G120" i="93" s="1"/>
  <c r="F120" i="93" a="1"/>
  <c r="F120" i="93" s="1"/>
  <c r="E120" i="93" a="1"/>
  <c r="E120" i="93" s="1"/>
  <c r="D120" i="93" a="1"/>
  <c r="D120" i="93" s="1"/>
  <c r="AE119" i="93" a="1"/>
  <c r="AE119" i="93" s="1"/>
  <c r="AD119" i="93" a="1"/>
  <c r="AD119" i="93" s="1"/>
  <c r="AC119" i="93" a="1"/>
  <c r="AC119" i="93" s="1"/>
  <c r="AB119" i="93" a="1"/>
  <c r="AB119" i="93" s="1"/>
  <c r="AA119" i="93" a="1"/>
  <c r="AA119" i="93" s="1"/>
  <c r="Z119" i="93" a="1"/>
  <c r="Z119" i="93" s="1"/>
  <c r="Y119" i="93" a="1"/>
  <c r="Y119" i="93" s="1"/>
  <c r="X119" i="93" a="1"/>
  <c r="X119" i="93" s="1"/>
  <c r="W119" i="93" a="1"/>
  <c r="W119" i="93" s="1"/>
  <c r="V119" i="93" a="1"/>
  <c r="V119" i="93" s="1"/>
  <c r="U119" i="93" a="1"/>
  <c r="U119" i="93" s="1"/>
  <c r="T119" i="93" a="1"/>
  <c r="T119" i="93" s="1"/>
  <c r="S119" i="93" a="1"/>
  <c r="S119" i="93" s="1"/>
  <c r="R119" i="93" a="1"/>
  <c r="R119" i="93" s="1"/>
  <c r="Q119" i="93" a="1"/>
  <c r="Q119" i="93" s="1"/>
  <c r="P119" i="93" a="1"/>
  <c r="P119" i="93" s="1"/>
  <c r="O119" i="93" a="1"/>
  <c r="O119" i="93" s="1"/>
  <c r="N119" i="93" a="1"/>
  <c r="N119" i="93" s="1"/>
  <c r="M119" i="93" a="1"/>
  <c r="M119" i="93" s="1"/>
  <c r="L119" i="93" a="1"/>
  <c r="L119" i="93" s="1"/>
  <c r="K119" i="93" a="1"/>
  <c r="K119" i="93" s="1"/>
  <c r="J119" i="93" a="1"/>
  <c r="J119" i="93" s="1"/>
  <c r="I119" i="93" a="1"/>
  <c r="I119" i="93" s="1"/>
  <c r="H119" i="93" a="1"/>
  <c r="H119" i="93" s="1"/>
  <c r="G119" i="93" a="1"/>
  <c r="G119" i="93" s="1"/>
  <c r="F119" i="93" a="1"/>
  <c r="F119" i="93" s="1"/>
  <c r="E119" i="93" a="1"/>
  <c r="E119" i="93" s="1"/>
  <c r="D119" i="93" a="1"/>
  <c r="D119" i="93" s="1"/>
  <c r="AE118" i="93" a="1"/>
  <c r="AE118" i="93" s="1"/>
  <c r="AD118" i="93" a="1"/>
  <c r="AD118" i="93" s="1"/>
  <c r="AC118" i="93" a="1"/>
  <c r="AC118" i="93" s="1"/>
  <c r="AB118" i="93" a="1"/>
  <c r="AB118" i="93" s="1"/>
  <c r="AA118" i="93" a="1"/>
  <c r="AA118" i="93" s="1"/>
  <c r="Z118" i="93" a="1"/>
  <c r="Z118" i="93" s="1"/>
  <c r="Y118" i="93" a="1"/>
  <c r="Y118" i="93" s="1"/>
  <c r="X118" i="93" a="1"/>
  <c r="X118" i="93" s="1"/>
  <c r="W118" i="93" a="1"/>
  <c r="W118" i="93" s="1"/>
  <c r="V118" i="93" a="1"/>
  <c r="V118" i="93" s="1"/>
  <c r="U118" i="93" a="1"/>
  <c r="U118" i="93" s="1"/>
  <c r="T118" i="93" a="1"/>
  <c r="T118" i="93" s="1"/>
  <c r="S118" i="93" a="1"/>
  <c r="S118" i="93" s="1"/>
  <c r="R118" i="93" a="1"/>
  <c r="R118" i="93" s="1"/>
  <c r="Q118" i="93" a="1"/>
  <c r="Q118" i="93" s="1"/>
  <c r="P118" i="93" a="1"/>
  <c r="P118" i="93" s="1"/>
  <c r="O118" i="93" a="1"/>
  <c r="O118" i="93" s="1"/>
  <c r="N118" i="93" a="1"/>
  <c r="N118" i="93" s="1"/>
  <c r="M118" i="93" a="1"/>
  <c r="M118" i="93" s="1"/>
  <c r="L118" i="93" a="1"/>
  <c r="L118" i="93" s="1"/>
  <c r="K118" i="93" a="1"/>
  <c r="K118" i="93" s="1"/>
  <c r="J118" i="93" a="1"/>
  <c r="J118" i="93" s="1"/>
  <c r="I118" i="93" a="1"/>
  <c r="I118" i="93" s="1"/>
  <c r="H118" i="93" a="1"/>
  <c r="H118" i="93" s="1"/>
  <c r="G118" i="93" a="1"/>
  <c r="G118" i="93" s="1"/>
  <c r="F118" i="93" a="1"/>
  <c r="F118" i="93" s="1"/>
  <c r="E118" i="93" a="1"/>
  <c r="E118" i="93" s="1"/>
  <c r="D118" i="93" a="1"/>
  <c r="D118" i="93" s="1"/>
  <c r="AE117" i="93" a="1"/>
  <c r="AE117" i="93" s="1"/>
  <c r="AD117" i="93" a="1"/>
  <c r="AD117" i="93" s="1"/>
  <c r="AC117" i="93" a="1"/>
  <c r="AC117" i="93" s="1"/>
  <c r="AB117" i="93" a="1"/>
  <c r="AB117" i="93" s="1"/>
  <c r="AA117" i="93" a="1"/>
  <c r="AA117" i="93" s="1"/>
  <c r="Z117" i="93" a="1"/>
  <c r="Z117" i="93" s="1"/>
  <c r="Y117" i="93" a="1"/>
  <c r="Y117" i="93" s="1"/>
  <c r="X117" i="93" a="1"/>
  <c r="X117" i="93" s="1"/>
  <c r="W117" i="93" a="1"/>
  <c r="W117" i="93" s="1"/>
  <c r="V117" i="93" a="1"/>
  <c r="V117" i="93" s="1"/>
  <c r="U117" i="93" a="1"/>
  <c r="U117" i="93" s="1"/>
  <c r="T117" i="93" a="1"/>
  <c r="T117" i="93" s="1"/>
  <c r="S117" i="93" a="1"/>
  <c r="S117" i="93" s="1"/>
  <c r="R117" i="93" a="1"/>
  <c r="R117" i="93" s="1"/>
  <c r="Q117" i="93" a="1"/>
  <c r="Q117" i="93" s="1"/>
  <c r="P117" i="93" a="1"/>
  <c r="P117" i="93" s="1"/>
  <c r="O117" i="93" a="1"/>
  <c r="O117" i="93" s="1"/>
  <c r="N117" i="93" a="1"/>
  <c r="N117" i="93" s="1"/>
  <c r="M117" i="93" a="1"/>
  <c r="M117" i="93" s="1"/>
  <c r="L117" i="93" a="1"/>
  <c r="L117" i="93" s="1"/>
  <c r="K117" i="93" a="1"/>
  <c r="K117" i="93" s="1"/>
  <c r="J117" i="93" a="1"/>
  <c r="J117" i="93" s="1"/>
  <c r="I117" i="93" a="1"/>
  <c r="I117" i="93" s="1"/>
  <c r="H117" i="93" a="1"/>
  <c r="H117" i="93" s="1"/>
  <c r="G117" i="93" a="1"/>
  <c r="G117" i="93" s="1"/>
  <c r="F117" i="93" a="1"/>
  <c r="F117" i="93" s="1"/>
  <c r="E117" i="93" a="1"/>
  <c r="E117" i="93" s="1"/>
  <c r="D117" i="93" a="1"/>
  <c r="D117" i="93" s="1"/>
  <c r="AE116" i="93" a="1"/>
  <c r="AE116" i="93" s="1"/>
  <c r="AD116" i="93" a="1"/>
  <c r="AD116" i="93" s="1"/>
  <c r="AC116" i="93" a="1"/>
  <c r="AC116" i="93" s="1"/>
  <c r="AB116" i="93" a="1"/>
  <c r="AB116" i="93" s="1"/>
  <c r="AA116" i="93" a="1"/>
  <c r="AA116" i="93" s="1"/>
  <c r="Z116" i="93" a="1"/>
  <c r="Z116" i="93" s="1"/>
  <c r="Y116" i="93" a="1"/>
  <c r="Y116" i="93" s="1"/>
  <c r="X116" i="93" a="1"/>
  <c r="X116" i="93" s="1"/>
  <c r="W116" i="93" a="1"/>
  <c r="W116" i="93" s="1"/>
  <c r="V116" i="93" a="1"/>
  <c r="V116" i="93" s="1"/>
  <c r="U116" i="93" a="1"/>
  <c r="U116" i="93" s="1"/>
  <c r="T116" i="93" a="1"/>
  <c r="T116" i="93" s="1"/>
  <c r="S116" i="93" a="1"/>
  <c r="S116" i="93" s="1"/>
  <c r="R116" i="93" a="1"/>
  <c r="R116" i="93" s="1"/>
  <c r="Q116" i="93" a="1"/>
  <c r="Q116" i="93" s="1"/>
  <c r="P116" i="93" a="1"/>
  <c r="P116" i="93" s="1"/>
  <c r="O116" i="93" a="1"/>
  <c r="O116" i="93" s="1"/>
  <c r="N116" i="93" a="1"/>
  <c r="N116" i="93" s="1"/>
  <c r="M116" i="93" a="1"/>
  <c r="M116" i="93" s="1"/>
  <c r="L116" i="93" a="1"/>
  <c r="L116" i="93" s="1"/>
  <c r="K116" i="93" a="1"/>
  <c r="K116" i="93" s="1"/>
  <c r="J116" i="93" a="1"/>
  <c r="J116" i="93" s="1"/>
  <c r="I116" i="93" a="1"/>
  <c r="I116" i="93" s="1"/>
  <c r="H116" i="93" a="1"/>
  <c r="H116" i="93" s="1"/>
  <c r="G116" i="93" a="1"/>
  <c r="G116" i="93" s="1"/>
  <c r="F116" i="93" a="1"/>
  <c r="F116" i="93" s="1"/>
  <c r="E116" i="93" a="1"/>
  <c r="E116" i="93" s="1"/>
  <c r="D116" i="93" a="1"/>
  <c r="D116" i="93" s="1"/>
  <c r="AE115" i="93" a="1"/>
  <c r="AE115" i="93" s="1"/>
  <c r="AD115" i="93" a="1"/>
  <c r="AD115" i="93" s="1"/>
  <c r="AC115" i="93" a="1"/>
  <c r="AC115" i="93" s="1"/>
  <c r="AB115" i="93" a="1"/>
  <c r="AB115" i="93" s="1"/>
  <c r="AA115" i="93" a="1"/>
  <c r="AA115" i="93" s="1"/>
  <c r="Z115" i="93" a="1"/>
  <c r="Z115" i="93" s="1"/>
  <c r="Y115" i="93" a="1"/>
  <c r="Y115" i="93" s="1"/>
  <c r="X115" i="93" a="1"/>
  <c r="X115" i="93" s="1"/>
  <c r="W115" i="93" a="1"/>
  <c r="W115" i="93" s="1"/>
  <c r="V115" i="93" a="1"/>
  <c r="V115" i="93" s="1"/>
  <c r="U115" i="93" a="1"/>
  <c r="U115" i="93" s="1"/>
  <c r="T115" i="93" a="1"/>
  <c r="T115" i="93" s="1"/>
  <c r="S115" i="93" a="1"/>
  <c r="S115" i="93" s="1"/>
  <c r="R115" i="93" a="1"/>
  <c r="R115" i="93" s="1"/>
  <c r="Q115" i="93" a="1"/>
  <c r="Q115" i="93" s="1"/>
  <c r="P115" i="93" a="1"/>
  <c r="P115" i="93" s="1"/>
  <c r="O115" i="93" a="1"/>
  <c r="O115" i="93" s="1"/>
  <c r="N115" i="93" a="1"/>
  <c r="N115" i="93" s="1"/>
  <c r="M115" i="93" a="1"/>
  <c r="M115" i="93" s="1"/>
  <c r="L115" i="93" a="1"/>
  <c r="L115" i="93" s="1"/>
  <c r="K115" i="93" a="1"/>
  <c r="K115" i="93" s="1"/>
  <c r="J115" i="93" a="1"/>
  <c r="J115" i="93" s="1"/>
  <c r="I115" i="93" a="1"/>
  <c r="I115" i="93" s="1"/>
  <c r="H115" i="93" a="1"/>
  <c r="H115" i="93" s="1"/>
  <c r="G115" i="93" a="1"/>
  <c r="G115" i="93" s="1"/>
  <c r="F115" i="93" a="1"/>
  <c r="F115" i="93" s="1"/>
  <c r="E115" i="93" a="1"/>
  <c r="E115" i="93" s="1"/>
  <c r="D115" i="93" a="1"/>
  <c r="D115" i="93" s="1"/>
  <c r="AE114" i="93" a="1"/>
  <c r="AE114" i="93" s="1"/>
  <c r="AD114" i="93" a="1"/>
  <c r="AD114" i="93" s="1"/>
  <c r="AC114" i="93" a="1"/>
  <c r="AC114" i="93" s="1"/>
  <c r="AB114" i="93" a="1"/>
  <c r="AB114" i="93" s="1"/>
  <c r="AA114" i="93" a="1"/>
  <c r="AA114" i="93" s="1"/>
  <c r="Z114" i="93" a="1"/>
  <c r="Z114" i="93" s="1"/>
  <c r="Y114" i="93" a="1"/>
  <c r="Y114" i="93" s="1"/>
  <c r="X114" i="93" a="1"/>
  <c r="X114" i="93" s="1"/>
  <c r="W114" i="93" a="1"/>
  <c r="W114" i="93" s="1"/>
  <c r="V114" i="93" a="1"/>
  <c r="V114" i="93" s="1"/>
  <c r="U114" i="93" a="1"/>
  <c r="U114" i="93" s="1"/>
  <c r="T114" i="93" a="1"/>
  <c r="T114" i="93" s="1"/>
  <c r="S114" i="93" a="1"/>
  <c r="S114" i="93" s="1"/>
  <c r="R114" i="93" a="1"/>
  <c r="R114" i="93" s="1"/>
  <c r="Q114" i="93" a="1"/>
  <c r="Q114" i="93" s="1"/>
  <c r="P114" i="93" a="1"/>
  <c r="P114" i="93" s="1"/>
  <c r="O114" i="93" a="1"/>
  <c r="O114" i="93" s="1"/>
  <c r="N114" i="93" a="1"/>
  <c r="N114" i="93" s="1"/>
  <c r="M114" i="93" a="1"/>
  <c r="M114" i="93" s="1"/>
  <c r="L114" i="93" a="1"/>
  <c r="L114" i="93" s="1"/>
  <c r="K114" i="93" a="1"/>
  <c r="K114" i="93" s="1"/>
  <c r="J114" i="93" a="1"/>
  <c r="J114" i="93" s="1"/>
  <c r="I114" i="93" a="1"/>
  <c r="I114" i="93" s="1"/>
  <c r="H114" i="93" a="1"/>
  <c r="H114" i="93" s="1"/>
  <c r="G114" i="93" a="1"/>
  <c r="G114" i="93" s="1"/>
  <c r="F114" i="93" a="1"/>
  <c r="F114" i="93" s="1"/>
  <c r="E114" i="93" a="1"/>
  <c r="E114" i="93" s="1"/>
  <c r="D114" i="93" a="1"/>
  <c r="D114" i="93" s="1"/>
  <c r="AE113" i="93" a="1"/>
  <c r="AE113" i="93" s="1"/>
  <c r="AD113" i="93" a="1"/>
  <c r="AD113" i="93" s="1"/>
  <c r="AC113" i="93" a="1"/>
  <c r="AC113" i="93" s="1"/>
  <c r="AB113" i="93" a="1"/>
  <c r="AB113" i="93" s="1"/>
  <c r="AA113" i="93" a="1"/>
  <c r="AA113" i="93" s="1"/>
  <c r="Z113" i="93" a="1"/>
  <c r="Z113" i="93" s="1"/>
  <c r="Y113" i="93" a="1"/>
  <c r="Y113" i="93" s="1"/>
  <c r="X113" i="93" a="1"/>
  <c r="X113" i="93" s="1"/>
  <c r="W113" i="93" a="1"/>
  <c r="W113" i="93" s="1"/>
  <c r="V113" i="93" a="1"/>
  <c r="V113" i="93" s="1"/>
  <c r="U113" i="93" a="1"/>
  <c r="U113" i="93" s="1"/>
  <c r="T113" i="93" a="1"/>
  <c r="T113" i="93" s="1"/>
  <c r="S113" i="93" a="1"/>
  <c r="S113" i="93" s="1"/>
  <c r="R113" i="93" a="1"/>
  <c r="R113" i="93" s="1"/>
  <c r="Q113" i="93" a="1"/>
  <c r="Q113" i="93" s="1"/>
  <c r="P113" i="93" a="1"/>
  <c r="P113" i="93" s="1"/>
  <c r="O113" i="93" a="1"/>
  <c r="O113" i="93" s="1"/>
  <c r="N113" i="93" a="1"/>
  <c r="N113" i="93" s="1"/>
  <c r="M113" i="93" a="1"/>
  <c r="M113" i="93" s="1"/>
  <c r="L113" i="93" a="1"/>
  <c r="L113" i="93" s="1"/>
  <c r="K113" i="93" a="1"/>
  <c r="K113" i="93" s="1"/>
  <c r="J113" i="93" a="1"/>
  <c r="J113" i="93" s="1"/>
  <c r="I113" i="93" a="1"/>
  <c r="I113" i="93" s="1"/>
  <c r="H113" i="93" a="1"/>
  <c r="H113" i="93" s="1"/>
  <c r="G113" i="93" a="1"/>
  <c r="G113" i="93" s="1"/>
  <c r="F113" i="93" a="1"/>
  <c r="F113" i="93" s="1"/>
  <c r="E113" i="93" a="1"/>
  <c r="E113" i="93" s="1"/>
  <c r="D113" i="93" a="1"/>
  <c r="D113" i="93" s="1"/>
  <c r="AE112" i="93" a="1"/>
  <c r="AE112" i="93" s="1"/>
  <c r="AD112" i="93" a="1"/>
  <c r="AD112" i="93" s="1"/>
  <c r="AC112" i="93" a="1"/>
  <c r="AC112" i="93" s="1"/>
  <c r="AB112" i="93" a="1"/>
  <c r="AB112" i="93" s="1"/>
  <c r="AA112" i="93" a="1"/>
  <c r="AA112" i="93" s="1"/>
  <c r="Z112" i="93" a="1"/>
  <c r="Z112" i="93" s="1"/>
  <c r="Y112" i="93" a="1"/>
  <c r="Y112" i="93" s="1"/>
  <c r="X112" i="93" a="1"/>
  <c r="X112" i="93" s="1"/>
  <c r="W112" i="93" a="1"/>
  <c r="W112" i="93" s="1"/>
  <c r="V112" i="93" a="1"/>
  <c r="V112" i="93" s="1"/>
  <c r="U112" i="93" a="1"/>
  <c r="U112" i="93" s="1"/>
  <c r="T112" i="93" a="1"/>
  <c r="T112" i="93" s="1"/>
  <c r="S112" i="93" a="1"/>
  <c r="S112" i="93" s="1"/>
  <c r="R112" i="93" a="1"/>
  <c r="R112" i="93" s="1"/>
  <c r="Q112" i="93" a="1"/>
  <c r="Q112" i="93" s="1"/>
  <c r="P112" i="93" a="1"/>
  <c r="P112" i="93" s="1"/>
  <c r="O112" i="93" a="1"/>
  <c r="O112" i="93" s="1"/>
  <c r="N112" i="93" a="1"/>
  <c r="N112" i="93" s="1"/>
  <c r="M112" i="93" a="1"/>
  <c r="M112" i="93" s="1"/>
  <c r="L112" i="93" a="1"/>
  <c r="L112" i="93" s="1"/>
  <c r="K112" i="93" a="1"/>
  <c r="K112" i="93" s="1"/>
  <c r="J112" i="93" a="1"/>
  <c r="J112" i="93" s="1"/>
  <c r="I112" i="93" a="1"/>
  <c r="I112" i="93" s="1"/>
  <c r="H112" i="93" a="1"/>
  <c r="H112" i="93" s="1"/>
  <c r="G112" i="93" a="1"/>
  <c r="G112" i="93" s="1"/>
  <c r="F112" i="93" a="1"/>
  <c r="F112" i="93" s="1"/>
  <c r="E112" i="93" a="1"/>
  <c r="E112" i="93" s="1"/>
  <c r="D112" i="93" a="1"/>
  <c r="D112" i="93" s="1"/>
  <c r="AE111" i="93" a="1"/>
  <c r="AE111" i="93" s="1"/>
  <c r="AD111" i="93" a="1"/>
  <c r="AD111" i="93" s="1"/>
  <c r="AC111" i="93" a="1"/>
  <c r="AC111" i="93" s="1"/>
  <c r="AB111" i="93" a="1"/>
  <c r="AB111" i="93" s="1"/>
  <c r="AA111" i="93" a="1"/>
  <c r="AA111" i="93" s="1"/>
  <c r="Z111" i="93" a="1"/>
  <c r="Z111" i="93" s="1"/>
  <c r="Y111" i="93" a="1"/>
  <c r="Y111" i="93" s="1"/>
  <c r="X111" i="93" a="1"/>
  <c r="X111" i="93" s="1"/>
  <c r="W111" i="93" a="1"/>
  <c r="W111" i="93" s="1"/>
  <c r="V111" i="93" a="1"/>
  <c r="V111" i="93" s="1"/>
  <c r="U111" i="93" a="1"/>
  <c r="U111" i="93" s="1"/>
  <c r="T111" i="93" a="1"/>
  <c r="T111" i="93" s="1"/>
  <c r="S111" i="93" a="1"/>
  <c r="S111" i="93" s="1"/>
  <c r="R111" i="93" a="1"/>
  <c r="R111" i="93" s="1"/>
  <c r="Q111" i="93" a="1"/>
  <c r="Q111" i="93" s="1"/>
  <c r="P111" i="93" a="1"/>
  <c r="P111" i="93" s="1"/>
  <c r="O111" i="93" a="1"/>
  <c r="O111" i="93" s="1"/>
  <c r="N111" i="93" a="1"/>
  <c r="N111" i="93" s="1"/>
  <c r="M111" i="93" a="1"/>
  <c r="M111" i="93" s="1"/>
  <c r="L111" i="93" a="1"/>
  <c r="L111" i="93" s="1"/>
  <c r="K111" i="93" a="1"/>
  <c r="K111" i="93" s="1"/>
  <c r="J111" i="93" a="1"/>
  <c r="J111" i="93" s="1"/>
  <c r="I111" i="93" a="1"/>
  <c r="I111" i="93" s="1"/>
  <c r="H111" i="93" a="1"/>
  <c r="H111" i="93" s="1"/>
  <c r="G111" i="93" a="1"/>
  <c r="G111" i="93" s="1"/>
  <c r="F111" i="93" a="1"/>
  <c r="F111" i="93" s="1"/>
  <c r="E111" i="93" a="1"/>
  <c r="E111" i="93" s="1"/>
  <c r="D111" i="93" a="1"/>
  <c r="D111" i="93" s="1"/>
  <c r="AE110" i="93" a="1"/>
  <c r="AE110" i="93" s="1"/>
  <c r="AD110" i="93" a="1"/>
  <c r="AD110" i="93" s="1"/>
  <c r="AC110" i="93" a="1"/>
  <c r="AC110" i="93" s="1"/>
  <c r="AB110" i="93" a="1"/>
  <c r="AB110" i="93" s="1"/>
  <c r="AA110" i="93" a="1"/>
  <c r="AA110" i="93" s="1"/>
  <c r="Z110" i="93" a="1"/>
  <c r="Z110" i="93" s="1"/>
  <c r="Y110" i="93" a="1"/>
  <c r="Y110" i="93" s="1"/>
  <c r="X110" i="93" a="1"/>
  <c r="X110" i="93" s="1"/>
  <c r="W110" i="93" a="1"/>
  <c r="W110" i="93" s="1"/>
  <c r="V110" i="93" a="1"/>
  <c r="V110" i="93" s="1"/>
  <c r="U110" i="93" a="1"/>
  <c r="U110" i="93" s="1"/>
  <c r="T110" i="93" a="1"/>
  <c r="T110" i="93" s="1"/>
  <c r="S110" i="93" a="1"/>
  <c r="S110" i="93" s="1"/>
  <c r="R110" i="93" a="1"/>
  <c r="R110" i="93" s="1"/>
  <c r="Q110" i="93" a="1"/>
  <c r="Q110" i="93" s="1"/>
  <c r="P110" i="93" a="1"/>
  <c r="P110" i="93" s="1"/>
  <c r="O110" i="93" a="1"/>
  <c r="O110" i="93" s="1"/>
  <c r="N110" i="93" a="1"/>
  <c r="N110" i="93" s="1"/>
  <c r="M110" i="93" a="1"/>
  <c r="M110" i="93" s="1"/>
  <c r="L110" i="93" a="1"/>
  <c r="L110" i="93" s="1"/>
  <c r="K110" i="93" a="1"/>
  <c r="K110" i="93" s="1"/>
  <c r="J110" i="93" a="1"/>
  <c r="J110" i="93" s="1"/>
  <c r="I110" i="93" a="1"/>
  <c r="I110" i="93" s="1"/>
  <c r="H110" i="93" a="1"/>
  <c r="H110" i="93" s="1"/>
  <c r="G110" i="93" a="1"/>
  <c r="G110" i="93" s="1"/>
  <c r="F110" i="93" a="1"/>
  <c r="F110" i="93" s="1"/>
  <c r="E110" i="93" a="1"/>
  <c r="E110" i="93" s="1"/>
  <c r="D110" i="93" a="1"/>
  <c r="D110" i="93" s="1"/>
  <c r="AE109" i="93" a="1"/>
  <c r="AE109" i="93" s="1"/>
  <c r="AD109" i="93" a="1"/>
  <c r="AD109" i="93" s="1"/>
  <c r="AC109" i="93" a="1"/>
  <c r="AC109" i="93" s="1"/>
  <c r="AB109" i="93" a="1"/>
  <c r="AB109" i="93" s="1"/>
  <c r="AA109" i="93" a="1"/>
  <c r="AA109" i="93" s="1"/>
  <c r="Z109" i="93" a="1"/>
  <c r="Z109" i="93" s="1"/>
  <c r="Y109" i="93" a="1"/>
  <c r="Y109" i="93" s="1"/>
  <c r="X109" i="93" a="1"/>
  <c r="X109" i="93" s="1"/>
  <c r="W109" i="93" a="1"/>
  <c r="W109" i="93" s="1"/>
  <c r="V109" i="93" a="1"/>
  <c r="V109" i="93" s="1"/>
  <c r="U109" i="93" a="1"/>
  <c r="U109" i="93" s="1"/>
  <c r="T109" i="93" a="1"/>
  <c r="T109" i="93" s="1"/>
  <c r="S109" i="93" a="1"/>
  <c r="S109" i="93" s="1"/>
  <c r="R109" i="93" a="1"/>
  <c r="R109" i="93" s="1"/>
  <c r="Q109" i="93" a="1"/>
  <c r="Q109" i="93" s="1"/>
  <c r="P109" i="93" a="1"/>
  <c r="P109" i="93" s="1"/>
  <c r="O109" i="93" a="1"/>
  <c r="O109" i="93" s="1"/>
  <c r="N109" i="93" a="1"/>
  <c r="N109" i="93" s="1"/>
  <c r="M109" i="93" a="1"/>
  <c r="M109" i="93" s="1"/>
  <c r="L109" i="93" a="1"/>
  <c r="L109" i="93" s="1"/>
  <c r="K109" i="93" a="1"/>
  <c r="K109" i="93" s="1"/>
  <c r="J109" i="93" a="1"/>
  <c r="J109" i="93" s="1"/>
  <c r="I109" i="93" a="1"/>
  <c r="I109" i="93" s="1"/>
  <c r="H109" i="93" a="1"/>
  <c r="H109" i="93" s="1"/>
  <c r="G109" i="93" a="1"/>
  <c r="G109" i="93" s="1"/>
  <c r="F109" i="93" a="1"/>
  <c r="F109" i="93" s="1"/>
  <c r="E109" i="93" a="1"/>
  <c r="E109" i="93" s="1"/>
  <c r="D109" i="93" a="1"/>
  <c r="D109" i="93" s="1"/>
  <c r="AE108" i="93" a="1"/>
  <c r="AE108" i="93" s="1"/>
  <c r="AD108" i="93" a="1"/>
  <c r="AD108" i="93" s="1"/>
  <c r="AC108" i="93" a="1"/>
  <c r="AC108" i="93" s="1"/>
  <c r="AB108" i="93" a="1"/>
  <c r="AB108" i="93" s="1"/>
  <c r="AA108" i="93" a="1"/>
  <c r="AA108" i="93" s="1"/>
  <c r="Z108" i="93" a="1"/>
  <c r="Z108" i="93" s="1"/>
  <c r="Y108" i="93" a="1"/>
  <c r="Y108" i="93" s="1"/>
  <c r="X108" i="93" a="1"/>
  <c r="X108" i="93" s="1"/>
  <c r="W108" i="93" a="1"/>
  <c r="W108" i="93" s="1"/>
  <c r="V108" i="93" a="1"/>
  <c r="V108" i="93" s="1"/>
  <c r="U108" i="93" a="1"/>
  <c r="U108" i="93" s="1"/>
  <c r="T108" i="93" a="1"/>
  <c r="T108" i="93" s="1"/>
  <c r="S108" i="93" a="1"/>
  <c r="S108" i="93" s="1"/>
  <c r="R108" i="93" a="1"/>
  <c r="R108" i="93" s="1"/>
  <c r="Q108" i="93" a="1"/>
  <c r="Q108" i="93" s="1"/>
  <c r="P108" i="93" a="1"/>
  <c r="P108" i="93" s="1"/>
  <c r="O108" i="93" a="1"/>
  <c r="O108" i="93" s="1"/>
  <c r="N108" i="93" a="1"/>
  <c r="N108" i="93" s="1"/>
  <c r="M108" i="93" a="1"/>
  <c r="M108" i="93" s="1"/>
  <c r="L108" i="93" a="1"/>
  <c r="L108" i="93" s="1"/>
  <c r="K108" i="93" a="1"/>
  <c r="K108" i="93" s="1"/>
  <c r="J108" i="93" a="1"/>
  <c r="J108" i="93" s="1"/>
  <c r="I108" i="93" a="1"/>
  <c r="I108" i="93" s="1"/>
  <c r="H108" i="93" a="1"/>
  <c r="H108" i="93" s="1"/>
  <c r="G108" i="93" a="1"/>
  <c r="G108" i="93" s="1"/>
  <c r="F108" i="93" a="1"/>
  <c r="F108" i="93" s="1"/>
  <c r="E108" i="93" a="1"/>
  <c r="E108" i="93" s="1"/>
  <c r="D108" i="93" a="1"/>
  <c r="D108" i="93" s="1"/>
  <c r="AE107" i="93" a="1"/>
  <c r="AE107" i="93" s="1"/>
  <c r="AD107" i="93" a="1"/>
  <c r="AD107" i="93" s="1"/>
  <c r="AC107" i="93" a="1"/>
  <c r="AC107" i="93" s="1"/>
  <c r="AB107" i="93" a="1"/>
  <c r="AB107" i="93" s="1"/>
  <c r="AA107" i="93" a="1"/>
  <c r="AA107" i="93" s="1"/>
  <c r="Z107" i="93" a="1"/>
  <c r="Z107" i="93" s="1"/>
  <c r="Y107" i="93" a="1"/>
  <c r="Y107" i="93" s="1"/>
  <c r="X107" i="93" a="1"/>
  <c r="X107" i="93" s="1"/>
  <c r="W107" i="93" a="1"/>
  <c r="W107" i="93" s="1"/>
  <c r="V107" i="93" a="1"/>
  <c r="V107" i="93" s="1"/>
  <c r="U107" i="93" a="1"/>
  <c r="U107" i="93" s="1"/>
  <c r="T107" i="93" a="1"/>
  <c r="T107" i="93" s="1"/>
  <c r="S107" i="93" a="1"/>
  <c r="S107" i="93" s="1"/>
  <c r="R107" i="93" a="1"/>
  <c r="R107" i="93" s="1"/>
  <c r="Q107" i="93" a="1"/>
  <c r="Q107" i="93" s="1"/>
  <c r="P107" i="93" a="1"/>
  <c r="P107" i="93" s="1"/>
  <c r="O107" i="93" a="1"/>
  <c r="O107" i="93" s="1"/>
  <c r="N107" i="93" a="1"/>
  <c r="N107" i="93" s="1"/>
  <c r="M107" i="93" a="1"/>
  <c r="M107" i="93" s="1"/>
  <c r="L107" i="93" a="1"/>
  <c r="L107" i="93" s="1"/>
  <c r="K107" i="93" a="1"/>
  <c r="K107" i="93" s="1"/>
  <c r="J107" i="93" a="1"/>
  <c r="J107" i="93" s="1"/>
  <c r="I107" i="93" a="1"/>
  <c r="I107" i="93" s="1"/>
  <c r="H107" i="93" a="1"/>
  <c r="H107" i="93" s="1"/>
  <c r="G107" i="93" a="1"/>
  <c r="G107" i="93" s="1"/>
  <c r="F107" i="93" a="1"/>
  <c r="F107" i="93" s="1"/>
  <c r="E107" i="93" a="1"/>
  <c r="E107" i="93" s="1"/>
  <c r="D107" i="93" a="1"/>
  <c r="D107" i="93" s="1"/>
  <c r="AE106" i="93" a="1"/>
  <c r="AE106" i="93" s="1"/>
  <c r="AD106" i="93" a="1"/>
  <c r="AD106" i="93" s="1"/>
  <c r="AC106" i="93" a="1"/>
  <c r="AC106" i="93" s="1"/>
  <c r="AB106" i="93" a="1"/>
  <c r="AB106" i="93" s="1"/>
  <c r="AA106" i="93" a="1"/>
  <c r="AA106" i="93" s="1"/>
  <c r="Z106" i="93" a="1"/>
  <c r="Z106" i="93" s="1"/>
  <c r="Y106" i="93" a="1"/>
  <c r="Y106" i="93" s="1"/>
  <c r="X106" i="93" a="1"/>
  <c r="X106" i="93" s="1"/>
  <c r="W106" i="93" a="1"/>
  <c r="W106" i="93" s="1"/>
  <c r="V106" i="93" a="1"/>
  <c r="V106" i="93" s="1"/>
  <c r="U106" i="93" a="1"/>
  <c r="U106" i="93" s="1"/>
  <c r="T106" i="93" a="1"/>
  <c r="T106" i="93" s="1"/>
  <c r="S106" i="93" a="1"/>
  <c r="S106" i="93" s="1"/>
  <c r="R106" i="93" a="1"/>
  <c r="R106" i="93" s="1"/>
  <c r="Q106" i="93" a="1"/>
  <c r="Q106" i="93" s="1"/>
  <c r="P106" i="93" a="1"/>
  <c r="P106" i="93" s="1"/>
  <c r="O106" i="93" a="1"/>
  <c r="O106" i="93" s="1"/>
  <c r="N106" i="93" a="1"/>
  <c r="N106" i="93" s="1"/>
  <c r="M106" i="93" a="1"/>
  <c r="M106" i="93" s="1"/>
  <c r="L106" i="93" a="1"/>
  <c r="L106" i="93" s="1"/>
  <c r="K106" i="93" a="1"/>
  <c r="K106" i="93" s="1"/>
  <c r="J106" i="93" a="1"/>
  <c r="J106" i="93" s="1"/>
  <c r="I106" i="93" a="1"/>
  <c r="I106" i="93" s="1"/>
  <c r="H106" i="93" a="1"/>
  <c r="H106" i="93" s="1"/>
  <c r="G106" i="93" a="1"/>
  <c r="G106" i="93" s="1"/>
  <c r="F106" i="93" a="1"/>
  <c r="F106" i="93" s="1"/>
  <c r="E106" i="93" a="1"/>
  <c r="E106" i="93" s="1"/>
  <c r="D106" i="93" a="1"/>
  <c r="D106" i="93" s="1"/>
  <c r="AE105" i="93" a="1"/>
  <c r="AE105" i="93" s="1"/>
  <c r="AD105" i="93" a="1"/>
  <c r="AD105" i="93" s="1"/>
  <c r="AC105" i="93" a="1"/>
  <c r="AC105" i="93" s="1"/>
  <c r="AB105" i="93" a="1"/>
  <c r="AB105" i="93" s="1"/>
  <c r="AA105" i="93" a="1"/>
  <c r="AA105" i="93" s="1"/>
  <c r="Z105" i="93" a="1"/>
  <c r="Z105" i="93" s="1"/>
  <c r="Y105" i="93" a="1"/>
  <c r="Y105" i="93" s="1"/>
  <c r="X105" i="93" a="1"/>
  <c r="X105" i="93" s="1"/>
  <c r="W105" i="93" a="1"/>
  <c r="W105" i="93" s="1"/>
  <c r="V105" i="93" a="1"/>
  <c r="V105" i="93" s="1"/>
  <c r="U105" i="93" a="1"/>
  <c r="U105" i="93" s="1"/>
  <c r="T105" i="93" a="1"/>
  <c r="T105" i="93" s="1"/>
  <c r="S105" i="93" a="1"/>
  <c r="S105" i="93" s="1"/>
  <c r="R105" i="93" a="1"/>
  <c r="R105" i="93" s="1"/>
  <c r="Q105" i="93" a="1"/>
  <c r="Q105" i="93" s="1"/>
  <c r="P105" i="93" a="1"/>
  <c r="P105" i="93" s="1"/>
  <c r="O105" i="93" a="1"/>
  <c r="O105" i="93" s="1"/>
  <c r="N105" i="93" a="1"/>
  <c r="N105" i="93" s="1"/>
  <c r="M105" i="93" a="1"/>
  <c r="M105" i="93" s="1"/>
  <c r="L105" i="93" a="1"/>
  <c r="L105" i="93" s="1"/>
  <c r="K105" i="93" a="1"/>
  <c r="K105" i="93" s="1"/>
  <c r="J105" i="93" a="1"/>
  <c r="J105" i="93" s="1"/>
  <c r="I105" i="93" a="1"/>
  <c r="I105" i="93" s="1"/>
  <c r="H105" i="93" a="1"/>
  <c r="H105" i="93" s="1"/>
  <c r="G105" i="93" a="1"/>
  <c r="G105" i="93" s="1"/>
  <c r="F105" i="93" a="1"/>
  <c r="F105" i="93" s="1"/>
  <c r="E105" i="93" a="1"/>
  <c r="E105" i="93" s="1"/>
  <c r="D105" i="93" a="1"/>
  <c r="D105" i="93" s="1"/>
  <c r="AE104" i="93" a="1"/>
  <c r="AE104" i="93" s="1"/>
  <c r="AD104" i="93" a="1"/>
  <c r="AD104" i="93" s="1"/>
  <c r="AC104" i="93" a="1"/>
  <c r="AC104" i="93" s="1"/>
  <c r="AB104" i="93" a="1"/>
  <c r="AB104" i="93" s="1"/>
  <c r="AA104" i="93" a="1"/>
  <c r="AA104" i="93" s="1"/>
  <c r="Z104" i="93" a="1"/>
  <c r="Z104" i="93" s="1"/>
  <c r="Y104" i="93" a="1"/>
  <c r="Y104" i="93" s="1"/>
  <c r="X104" i="93" a="1"/>
  <c r="X104" i="93" s="1"/>
  <c r="W104" i="93" a="1"/>
  <c r="W104" i="93" s="1"/>
  <c r="V104" i="93" a="1"/>
  <c r="V104" i="93" s="1"/>
  <c r="U104" i="93" a="1"/>
  <c r="U104" i="93" s="1"/>
  <c r="T104" i="93" a="1"/>
  <c r="T104" i="93" s="1"/>
  <c r="S104" i="93" a="1"/>
  <c r="S104" i="93" s="1"/>
  <c r="R104" i="93" a="1"/>
  <c r="R104" i="93" s="1"/>
  <c r="Q104" i="93" a="1"/>
  <c r="Q104" i="93" s="1"/>
  <c r="P104" i="93" a="1"/>
  <c r="P104" i="93" s="1"/>
  <c r="O104" i="93" a="1"/>
  <c r="O104" i="93" s="1"/>
  <c r="N104" i="93" a="1"/>
  <c r="N104" i="93" s="1"/>
  <c r="M104" i="93" a="1"/>
  <c r="M104" i="93" s="1"/>
  <c r="L104" i="93" a="1"/>
  <c r="L104" i="93" s="1"/>
  <c r="K104" i="93" a="1"/>
  <c r="K104" i="93" s="1"/>
  <c r="J104" i="93" a="1"/>
  <c r="J104" i="93" s="1"/>
  <c r="I104" i="93" a="1"/>
  <c r="I104" i="93" s="1"/>
  <c r="H104" i="93" a="1"/>
  <c r="H104" i="93" s="1"/>
  <c r="G104" i="93" a="1"/>
  <c r="G104" i="93" s="1"/>
  <c r="F104" i="93" a="1"/>
  <c r="F104" i="93" s="1"/>
  <c r="E104" i="93" a="1"/>
  <c r="E104" i="93" s="1"/>
  <c r="D104" i="93" a="1"/>
  <c r="D104" i="93" s="1"/>
  <c r="AE103" i="93" a="1"/>
  <c r="AE103" i="93" s="1"/>
  <c r="AD103" i="93" a="1"/>
  <c r="AD103" i="93" s="1"/>
  <c r="AC103" i="93" a="1"/>
  <c r="AC103" i="93" s="1"/>
  <c r="AB103" i="93" a="1"/>
  <c r="AB103" i="93" s="1"/>
  <c r="AA103" i="93" a="1"/>
  <c r="AA103" i="93" s="1"/>
  <c r="Z103" i="93" a="1"/>
  <c r="Z103" i="93" s="1"/>
  <c r="Y103" i="93" a="1"/>
  <c r="Y103" i="93" s="1"/>
  <c r="X103" i="93" a="1"/>
  <c r="X103" i="93" s="1"/>
  <c r="W103" i="93" a="1"/>
  <c r="W103" i="93" s="1"/>
  <c r="V103" i="93" a="1"/>
  <c r="V103" i="93" s="1"/>
  <c r="U103" i="93" a="1"/>
  <c r="U103" i="93" s="1"/>
  <c r="T103" i="93" a="1"/>
  <c r="T103" i="93" s="1"/>
  <c r="S103" i="93" a="1"/>
  <c r="S103" i="93" s="1"/>
  <c r="R103" i="93" a="1"/>
  <c r="R103" i="93" s="1"/>
  <c r="Q103" i="93" a="1"/>
  <c r="Q103" i="93" s="1"/>
  <c r="P103" i="93" a="1"/>
  <c r="P103" i="93" s="1"/>
  <c r="O103" i="93" a="1"/>
  <c r="O103" i="93" s="1"/>
  <c r="N103" i="93" a="1"/>
  <c r="N103" i="93" s="1"/>
  <c r="M103" i="93" a="1"/>
  <c r="M103" i="93" s="1"/>
  <c r="L103" i="93" a="1"/>
  <c r="L103" i="93" s="1"/>
  <c r="K103" i="93" a="1"/>
  <c r="K103" i="93" s="1"/>
  <c r="J103" i="93" a="1"/>
  <c r="J103" i="93" s="1"/>
  <c r="I103" i="93" a="1"/>
  <c r="I103" i="93" s="1"/>
  <c r="H103" i="93" a="1"/>
  <c r="H103" i="93" s="1"/>
  <c r="G103" i="93" a="1"/>
  <c r="G103" i="93" s="1"/>
  <c r="F103" i="93" a="1"/>
  <c r="F103" i="93" s="1"/>
  <c r="E103" i="93" a="1"/>
  <c r="E103" i="93" s="1"/>
  <c r="D103" i="93" a="1"/>
  <c r="D103" i="93" s="1"/>
  <c r="AE102" i="93" a="1"/>
  <c r="AE102" i="93" s="1"/>
  <c r="AD102" i="93" a="1"/>
  <c r="AD102" i="93" s="1"/>
  <c r="AC102" i="93" a="1"/>
  <c r="AC102" i="93" s="1"/>
  <c r="AB102" i="93" a="1"/>
  <c r="AB102" i="93" s="1"/>
  <c r="AA102" i="93" a="1"/>
  <c r="AA102" i="93" s="1"/>
  <c r="Z102" i="93" a="1"/>
  <c r="Z102" i="93" s="1"/>
  <c r="Y102" i="93" a="1"/>
  <c r="Y102" i="93" s="1"/>
  <c r="X102" i="93" a="1"/>
  <c r="X102" i="93" s="1"/>
  <c r="W102" i="93" a="1"/>
  <c r="W102" i="93" s="1"/>
  <c r="V102" i="93" a="1"/>
  <c r="V102" i="93" s="1"/>
  <c r="U102" i="93" a="1"/>
  <c r="U102" i="93" s="1"/>
  <c r="T102" i="93" a="1"/>
  <c r="T102" i="93" s="1"/>
  <c r="S102" i="93" a="1"/>
  <c r="S102" i="93" s="1"/>
  <c r="R102" i="93" a="1"/>
  <c r="R102" i="93" s="1"/>
  <c r="Q102" i="93" a="1"/>
  <c r="Q102" i="93" s="1"/>
  <c r="P102" i="93" a="1"/>
  <c r="P102" i="93" s="1"/>
  <c r="O102" i="93" a="1"/>
  <c r="O102" i="93" s="1"/>
  <c r="N102" i="93" a="1"/>
  <c r="N102" i="93" s="1"/>
  <c r="M102" i="93" a="1"/>
  <c r="M102" i="93" s="1"/>
  <c r="L102" i="93" a="1"/>
  <c r="L102" i="93" s="1"/>
  <c r="K102" i="93" a="1"/>
  <c r="K102" i="93" s="1"/>
  <c r="J102" i="93" a="1"/>
  <c r="J102" i="93" s="1"/>
  <c r="I102" i="93" a="1"/>
  <c r="I102" i="93" s="1"/>
  <c r="H102" i="93" a="1"/>
  <c r="H102" i="93" s="1"/>
  <c r="G102" i="93" a="1"/>
  <c r="G102" i="93" s="1"/>
  <c r="F102" i="93" a="1"/>
  <c r="F102" i="93" s="1"/>
  <c r="E102" i="93" a="1"/>
  <c r="E102" i="93" s="1"/>
  <c r="D102" i="93" a="1"/>
  <c r="D102" i="93" s="1"/>
  <c r="AE101" i="93" a="1"/>
  <c r="AE101" i="93" s="1"/>
  <c r="AD101" i="93" a="1"/>
  <c r="AD101" i="93" s="1"/>
  <c r="AC101" i="93" a="1"/>
  <c r="AC101" i="93" s="1"/>
  <c r="AB101" i="93" a="1"/>
  <c r="AB101" i="93" s="1"/>
  <c r="AA101" i="93" a="1"/>
  <c r="AA101" i="93" s="1"/>
  <c r="Z101" i="93" a="1"/>
  <c r="Z101" i="93" s="1"/>
  <c r="Y101" i="93" a="1"/>
  <c r="Y101" i="93" s="1"/>
  <c r="X101" i="93" a="1"/>
  <c r="X101" i="93" s="1"/>
  <c r="W101" i="93" a="1"/>
  <c r="W101" i="93" s="1"/>
  <c r="V101" i="93" a="1"/>
  <c r="V101" i="93" s="1"/>
  <c r="U101" i="93" a="1"/>
  <c r="U101" i="93" s="1"/>
  <c r="T101" i="93" a="1"/>
  <c r="T101" i="93" s="1"/>
  <c r="S101" i="93" a="1"/>
  <c r="S101" i="93" s="1"/>
  <c r="R101" i="93" a="1"/>
  <c r="R101" i="93" s="1"/>
  <c r="Q101" i="93" a="1"/>
  <c r="Q101" i="93" s="1"/>
  <c r="P101" i="93" a="1"/>
  <c r="P101" i="93" s="1"/>
  <c r="O101" i="93" a="1"/>
  <c r="O101" i="93" s="1"/>
  <c r="N101" i="93" a="1"/>
  <c r="N101" i="93" s="1"/>
  <c r="M101" i="93" a="1"/>
  <c r="M101" i="93" s="1"/>
  <c r="L101" i="93" a="1"/>
  <c r="L101" i="93" s="1"/>
  <c r="K101" i="93" a="1"/>
  <c r="K101" i="93" s="1"/>
  <c r="J101" i="93" a="1"/>
  <c r="J101" i="93" s="1"/>
  <c r="I101" i="93" a="1"/>
  <c r="I101" i="93" s="1"/>
  <c r="H101" i="93" a="1"/>
  <c r="H101" i="93" s="1"/>
  <c r="G101" i="93" a="1"/>
  <c r="G101" i="93" s="1"/>
  <c r="F101" i="93" a="1"/>
  <c r="F101" i="93" s="1"/>
  <c r="E101" i="93" a="1"/>
  <c r="E101" i="93" s="1"/>
  <c r="D101" i="93" a="1"/>
  <c r="D101" i="93" s="1"/>
  <c r="AE100" i="93" a="1"/>
  <c r="AE100" i="93" s="1"/>
  <c r="AD100" i="93" a="1"/>
  <c r="AD100" i="93" s="1"/>
  <c r="AC100" i="93" a="1"/>
  <c r="AC100" i="93" s="1"/>
  <c r="AB100" i="93" a="1"/>
  <c r="AB100" i="93" s="1"/>
  <c r="AA100" i="93" a="1"/>
  <c r="AA100" i="93" s="1"/>
  <c r="Z100" i="93" a="1"/>
  <c r="Z100" i="93" s="1"/>
  <c r="Y100" i="93" a="1"/>
  <c r="Y100" i="93" s="1"/>
  <c r="X100" i="93" a="1"/>
  <c r="X100" i="93" s="1"/>
  <c r="W100" i="93" a="1"/>
  <c r="W100" i="93" s="1"/>
  <c r="V100" i="93" a="1"/>
  <c r="V100" i="93" s="1"/>
  <c r="U100" i="93" a="1"/>
  <c r="U100" i="93" s="1"/>
  <c r="T100" i="93" a="1"/>
  <c r="T100" i="93" s="1"/>
  <c r="S100" i="93" a="1"/>
  <c r="S100" i="93" s="1"/>
  <c r="R100" i="93" a="1"/>
  <c r="R100" i="93" s="1"/>
  <c r="Q100" i="93" a="1"/>
  <c r="Q100" i="93" s="1"/>
  <c r="P100" i="93" a="1"/>
  <c r="P100" i="93" s="1"/>
  <c r="O100" i="93" a="1"/>
  <c r="O100" i="93" s="1"/>
  <c r="N100" i="93" a="1"/>
  <c r="N100" i="93" s="1"/>
  <c r="M100" i="93" a="1"/>
  <c r="M100" i="93" s="1"/>
  <c r="L100" i="93" a="1"/>
  <c r="L100" i="93" s="1"/>
  <c r="K100" i="93" a="1"/>
  <c r="K100" i="93" s="1"/>
  <c r="J100" i="93" a="1"/>
  <c r="J100" i="93" s="1"/>
  <c r="I100" i="93" a="1"/>
  <c r="I100" i="93" s="1"/>
  <c r="H100" i="93" a="1"/>
  <c r="H100" i="93" s="1"/>
  <c r="G100" i="93" a="1"/>
  <c r="G100" i="93" s="1"/>
  <c r="F100" i="93" a="1"/>
  <c r="F100" i="93" s="1"/>
  <c r="E100" i="93" a="1"/>
  <c r="E100" i="93" s="1"/>
  <c r="D100" i="93" a="1"/>
  <c r="D100" i="93" s="1"/>
  <c r="AE99" i="93" a="1"/>
  <c r="AE99" i="93" s="1"/>
  <c r="AD99" i="93" a="1"/>
  <c r="AD99" i="93" s="1"/>
  <c r="AC99" i="93" a="1"/>
  <c r="AC99" i="93" s="1"/>
  <c r="AB99" i="93" a="1"/>
  <c r="AB99" i="93" s="1"/>
  <c r="AA99" i="93" a="1"/>
  <c r="AA99" i="93" s="1"/>
  <c r="Z99" i="93" a="1"/>
  <c r="Z99" i="93" s="1"/>
  <c r="Y99" i="93" a="1"/>
  <c r="Y99" i="93" s="1"/>
  <c r="X99" i="93" a="1"/>
  <c r="X99" i="93" s="1"/>
  <c r="W99" i="93" a="1"/>
  <c r="W99" i="93" s="1"/>
  <c r="V99" i="93" a="1"/>
  <c r="V99" i="93" s="1"/>
  <c r="U99" i="93" a="1"/>
  <c r="U99" i="93" s="1"/>
  <c r="T99" i="93" a="1"/>
  <c r="T99" i="93" s="1"/>
  <c r="S99" i="93" a="1"/>
  <c r="S99" i="93" s="1"/>
  <c r="R99" i="93" a="1"/>
  <c r="R99" i="93" s="1"/>
  <c r="Q99" i="93" a="1"/>
  <c r="Q99" i="93" s="1"/>
  <c r="P99" i="93" a="1"/>
  <c r="P99" i="93" s="1"/>
  <c r="O99" i="93" a="1"/>
  <c r="O99" i="93" s="1"/>
  <c r="N99" i="93" a="1"/>
  <c r="N99" i="93" s="1"/>
  <c r="M99" i="93" a="1"/>
  <c r="M99" i="93" s="1"/>
  <c r="L99" i="93" a="1"/>
  <c r="L99" i="93" s="1"/>
  <c r="K99" i="93" a="1"/>
  <c r="K99" i="93" s="1"/>
  <c r="J99" i="93" a="1"/>
  <c r="J99" i="93" s="1"/>
  <c r="I99" i="93" a="1"/>
  <c r="I99" i="93" s="1"/>
  <c r="H99" i="93" a="1"/>
  <c r="H99" i="93" s="1"/>
  <c r="G99" i="93" a="1"/>
  <c r="G99" i="93" s="1"/>
  <c r="F99" i="93" a="1"/>
  <c r="F99" i="93" s="1"/>
  <c r="E99" i="93" a="1"/>
  <c r="E99" i="93" s="1"/>
  <c r="D99" i="93" a="1"/>
  <c r="D99" i="93" s="1"/>
  <c r="AE98" i="93" a="1"/>
  <c r="AE98" i="93" s="1"/>
  <c r="AD98" i="93" a="1"/>
  <c r="AD98" i="93" s="1"/>
  <c r="AC98" i="93" a="1"/>
  <c r="AC98" i="93" s="1"/>
  <c r="AB98" i="93" a="1"/>
  <c r="AB98" i="93" s="1"/>
  <c r="AA98" i="93" a="1"/>
  <c r="AA98" i="93" s="1"/>
  <c r="Z98" i="93" a="1"/>
  <c r="Z98" i="93" s="1"/>
  <c r="Y98" i="93" a="1"/>
  <c r="Y98" i="93" s="1"/>
  <c r="X98" i="93" a="1"/>
  <c r="X98" i="93" s="1"/>
  <c r="W98" i="93" a="1"/>
  <c r="W98" i="93" s="1"/>
  <c r="V98" i="93" a="1"/>
  <c r="V98" i="93" s="1"/>
  <c r="U98" i="93" a="1"/>
  <c r="U98" i="93" s="1"/>
  <c r="T98" i="93" a="1"/>
  <c r="T98" i="93" s="1"/>
  <c r="S98" i="93" a="1"/>
  <c r="S98" i="93" s="1"/>
  <c r="R98" i="93" a="1"/>
  <c r="R98" i="93" s="1"/>
  <c r="Q98" i="93" a="1"/>
  <c r="Q98" i="93" s="1"/>
  <c r="P98" i="93" a="1"/>
  <c r="P98" i="93" s="1"/>
  <c r="O98" i="93" a="1"/>
  <c r="O98" i="93" s="1"/>
  <c r="N98" i="93" a="1"/>
  <c r="N98" i="93" s="1"/>
  <c r="M98" i="93" a="1"/>
  <c r="M98" i="93" s="1"/>
  <c r="L98" i="93" a="1"/>
  <c r="L98" i="93" s="1"/>
  <c r="K98" i="93" a="1"/>
  <c r="K98" i="93" s="1"/>
  <c r="J98" i="93" a="1"/>
  <c r="J98" i="93" s="1"/>
  <c r="I98" i="93" a="1"/>
  <c r="I98" i="93" s="1"/>
  <c r="H98" i="93" a="1"/>
  <c r="H98" i="93" s="1"/>
  <c r="G98" i="93" a="1"/>
  <c r="G98" i="93" s="1"/>
  <c r="F98" i="93" a="1"/>
  <c r="F98" i="93" s="1"/>
  <c r="E98" i="93" a="1"/>
  <c r="E98" i="93" s="1"/>
  <c r="D98" i="93" a="1"/>
  <c r="D98" i="93" s="1"/>
  <c r="AE97" i="93" a="1"/>
  <c r="AE97" i="93" s="1"/>
  <c r="AD97" i="93" a="1"/>
  <c r="AD97" i="93" s="1"/>
  <c r="AC97" i="93" a="1"/>
  <c r="AC97" i="93" s="1"/>
  <c r="AB97" i="93" a="1"/>
  <c r="AB97" i="93" s="1"/>
  <c r="AA97" i="93" a="1"/>
  <c r="AA97" i="93" s="1"/>
  <c r="Z97" i="93" a="1"/>
  <c r="Z97" i="93" s="1"/>
  <c r="Y97" i="93" a="1"/>
  <c r="Y97" i="93" s="1"/>
  <c r="X97" i="93" a="1"/>
  <c r="X97" i="93" s="1"/>
  <c r="W97" i="93" a="1"/>
  <c r="W97" i="93" s="1"/>
  <c r="V97" i="93" a="1"/>
  <c r="V97" i="93" s="1"/>
  <c r="U97" i="93" a="1"/>
  <c r="U97" i="93" s="1"/>
  <c r="T97" i="93" a="1"/>
  <c r="T97" i="93" s="1"/>
  <c r="S97" i="93" a="1"/>
  <c r="S97" i="93" s="1"/>
  <c r="R97" i="93" a="1"/>
  <c r="R97" i="93" s="1"/>
  <c r="Q97" i="93" a="1"/>
  <c r="Q97" i="93" s="1"/>
  <c r="P97" i="93" a="1"/>
  <c r="P97" i="93" s="1"/>
  <c r="O97" i="93" a="1"/>
  <c r="O97" i="93" s="1"/>
  <c r="N97" i="93" a="1"/>
  <c r="N97" i="93" s="1"/>
  <c r="M97" i="93" a="1"/>
  <c r="M97" i="93" s="1"/>
  <c r="L97" i="93" a="1"/>
  <c r="L97" i="93" s="1"/>
  <c r="K97" i="93" a="1"/>
  <c r="K97" i="93" s="1"/>
  <c r="J97" i="93" a="1"/>
  <c r="J97" i="93" s="1"/>
  <c r="I97" i="93" a="1"/>
  <c r="I97" i="93" s="1"/>
  <c r="H97" i="93" a="1"/>
  <c r="H97" i="93" s="1"/>
  <c r="G97" i="93" a="1"/>
  <c r="G97" i="93" s="1"/>
  <c r="F97" i="93" a="1"/>
  <c r="F97" i="93" s="1"/>
  <c r="E97" i="93" a="1"/>
  <c r="E97" i="93" s="1"/>
  <c r="D97" i="93" a="1"/>
  <c r="D97" i="93" s="1"/>
  <c r="AE96" i="93" a="1"/>
  <c r="AE96" i="93" s="1"/>
  <c r="AD96" i="93" a="1"/>
  <c r="AD96" i="93" s="1"/>
  <c r="AC96" i="93" a="1"/>
  <c r="AC96" i="93" s="1"/>
  <c r="AB96" i="93" a="1"/>
  <c r="AB96" i="93" s="1"/>
  <c r="AA96" i="93" a="1"/>
  <c r="AA96" i="93" s="1"/>
  <c r="Z96" i="93" a="1"/>
  <c r="Z96" i="93" s="1"/>
  <c r="Y96" i="93" a="1"/>
  <c r="Y96" i="93" s="1"/>
  <c r="X96" i="93" a="1"/>
  <c r="X96" i="93" s="1"/>
  <c r="W96" i="93" a="1"/>
  <c r="W96" i="93" s="1"/>
  <c r="V96" i="93" a="1"/>
  <c r="V96" i="93" s="1"/>
  <c r="U96" i="93" a="1"/>
  <c r="U96" i="93" s="1"/>
  <c r="T96" i="93" a="1"/>
  <c r="T96" i="93" s="1"/>
  <c r="S96" i="93" a="1"/>
  <c r="S96" i="93" s="1"/>
  <c r="R96" i="93" a="1"/>
  <c r="R96" i="93" s="1"/>
  <c r="Q96" i="93" a="1"/>
  <c r="Q96" i="93" s="1"/>
  <c r="P96" i="93" a="1"/>
  <c r="P96" i="93" s="1"/>
  <c r="O96" i="93" a="1"/>
  <c r="O96" i="93" s="1"/>
  <c r="N96" i="93" a="1"/>
  <c r="N96" i="93" s="1"/>
  <c r="M96" i="93" a="1"/>
  <c r="M96" i="93" s="1"/>
  <c r="L96" i="93" a="1"/>
  <c r="L96" i="93" s="1"/>
  <c r="K96" i="93" a="1"/>
  <c r="K96" i="93" s="1"/>
  <c r="J96" i="93" a="1"/>
  <c r="J96" i="93" s="1"/>
  <c r="I96" i="93" a="1"/>
  <c r="I96" i="93" s="1"/>
  <c r="H96" i="93" a="1"/>
  <c r="H96" i="93" s="1"/>
  <c r="G96" i="93" a="1"/>
  <c r="G96" i="93" s="1"/>
  <c r="F96" i="93" a="1"/>
  <c r="F96" i="93" s="1"/>
  <c r="E96" i="93" a="1"/>
  <c r="E96" i="93" s="1"/>
  <c r="D96" i="93" a="1"/>
  <c r="D96" i="93" s="1"/>
  <c r="AE95" i="93" a="1"/>
  <c r="AE95" i="93" s="1"/>
  <c r="AD95" i="93" a="1"/>
  <c r="AD95" i="93" s="1"/>
  <c r="AC95" i="93" a="1"/>
  <c r="AC95" i="93" s="1"/>
  <c r="AB95" i="93" a="1"/>
  <c r="AB95" i="93" s="1"/>
  <c r="AA95" i="93" a="1"/>
  <c r="AA95" i="93" s="1"/>
  <c r="Z95" i="93" a="1"/>
  <c r="Z95" i="93" s="1"/>
  <c r="Y95" i="93" a="1"/>
  <c r="Y95" i="93" s="1"/>
  <c r="X95" i="93" a="1"/>
  <c r="X95" i="93" s="1"/>
  <c r="W95" i="93" a="1"/>
  <c r="W95" i="93" s="1"/>
  <c r="V95" i="93" a="1"/>
  <c r="V95" i="93" s="1"/>
  <c r="U95" i="93" a="1"/>
  <c r="U95" i="93" s="1"/>
  <c r="T95" i="93" a="1"/>
  <c r="T95" i="93" s="1"/>
  <c r="S95" i="93" a="1"/>
  <c r="S95" i="93" s="1"/>
  <c r="R95" i="93" a="1"/>
  <c r="R95" i="93" s="1"/>
  <c r="Q95" i="93" a="1"/>
  <c r="Q95" i="93" s="1"/>
  <c r="P95" i="93" a="1"/>
  <c r="P95" i="93" s="1"/>
  <c r="O95" i="93" a="1"/>
  <c r="O95" i="93" s="1"/>
  <c r="N95" i="93" a="1"/>
  <c r="N95" i="93" s="1"/>
  <c r="M95" i="93" a="1"/>
  <c r="M95" i="93" s="1"/>
  <c r="L95" i="93" a="1"/>
  <c r="L95" i="93" s="1"/>
  <c r="K95" i="93" a="1"/>
  <c r="K95" i="93" s="1"/>
  <c r="J95" i="93" a="1"/>
  <c r="J95" i="93" s="1"/>
  <c r="I95" i="93" a="1"/>
  <c r="I95" i="93" s="1"/>
  <c r="H95" i="93" a="1"/>
  <c r="H95" i="93" s="1"/>
  <c r="G95" i="93" a="1"/>
  <c r="G95" i="93" s="1"/>
  <c r="F95" i="93" a="1"/>
  <c r="F95" i="93" s="1"/>
  <c r="E95" i="93" a="1"/>
  <c r="E95" i="93" s="1"/>
  <c r="D95" i="93" a="1"/>
  <c r="D95" i="93" s="1"/>
  <c r="AE94" i="93" a="1"/>
  <c r="AE94" i="93" s="1"/>
  <c r="AD94" i="93" a="1"/>
  <c r="AD94" i="93" s="1"/>
  <c r="AC94" i="93" a="1"/>
  <c r="AC94" i="93" s="1"/>
  <c r="AB94" i="93" a="1"/>
  <c r="AB94" i="93" s="1"/>
  <c r="AA94" i="93" a="1"/>
  <c r="AA94" i="93" s="1"/>
  <c r="Z94" i="93" a="1"/>
  <c r="Z94" i="93" s="1"/>
  <c r="Y94" i="93" a="1"/>
  <c r="Y94" i="93" s="1"/>
  <c r="X94" i="93" a="1"/>
  <c r="X94" i="93" s="1"/>
  <c r="W94" i="93" a="1"/>
  <c r="W94" i="93" s="1"/>
  <c r="V94" i="93" a="1"/>
  <c r="V94" i="93" s="1"/>
  <c r="U94" i="93" a="1"/>
  <c r="U94" i="93" s="1"/>
  <c r="T94" i="93" a="1"/>
  <c r="T94" i="93" s="1"/>
  <c r="S94" i="93" a="1"/>
  <c r="S94" i="93" s="1"/>
  <c r="R94" i="93" a="1"/>
  <c r="R94" i="93" s="1"/>
  <c r="Q94" i="93" a="1"/>
  <c r="Q94" i="93" s="1"/>
  <c r="P94" i="93" a="1"/>
  <c r="P94" i="93" s="1"/>
  <c r="O94" i="93" a="1"/>
  <c r="O94" i="93" s="1"/>
  <c r="N94" i="93" a="1"/>
  <c r="N94" i="93" s="1"/>
  <c r="M94" i="93" a="1"/>
  <c r="M94" i="93" s="1"/>
  <c r="L94" i="93" a="1"/>
  <c r="L94" i="93" s="1"/>
  <c r="K94" i="93" a="1"/>
  <c r="K94" i="93" s="1"/>
  <c r="J94" i="93" a="1"/>
  <c r="J94" i="93" s="1"/>
  <c r="I94" i="93" a="1"/>
  <c r="I94" i="93" s="1"/>
  <c r="H94" i="93" a="1"/>
  <c r="H94" i="93" s="1"/>
  <c r="G94" i="93" a="1"/>
  <c r="G94" i="93" s="1"/>
  <c r="F94" i="93" a="1"/>
  <c r="F94" i="93" s="1"/>
  <c r="E94" i="93" a="1"/>
  <c r="E94" i="93" s="1"/>
  <c r="D94" i="93" a="1"/>
  <c r="D94" i="93" s="1"/>
  <c r="AE93" i="93" a="1"/>
  <c r="AE93" i="93" s="1"/>
  <c r="AD93" i="93" a="1"/>
  <c r="AD93" i="93" s="1"/>
  <c r="AC93" i="93" a="1"/>
  <c r="AC93" i="93" s="1"/>
  <c r="AB93" i="93" a="1"/>
  <c r="AB93" i="93" s="1"/>
  <c r="AA93" i="93" a="1"/>
  <c r="AA93" i="93" s="1"/>
  <c r="Z93" i="93" a="1"/>
  <c r="Z93" i="93" s="1"/>
  <c r="Y93" i="93" a="1"/>
  <c r="Y93" i="93" s="1"/>
  <c r="X93" i="93" a="1"/>
  <c r="X93" i="93" s="1"/>
  <c r="W93" i="93" a="1"/>
  <c r="W93" i="93" s="1"/>
  <c r="V93" i="93" a="1"/>
  <c r="V93" i="93" s="1"/>
  <c r="U93" i="93" a="1"/>
  <c r="U93" i="93" s="1"/>
  <c r="T93" i="93" a="1"/>
  <c r="T93" i="93" s="1"/>
  <c r="S93" i="93" a="1"/>
  <c r="S93" i="93" s="1"/>
  <c r="R93" i="93" a="1"/>
  <c r="R93" i="93" s="1"/>
  <c r="Q93" i="93" a="1"/>
  <c r="Q93" i="93" s="1"/>
  <c r="P93" i="93" a="1"/>
  <c r="P93" i="93" s="1"/>
  <c r="O93" i="93" a="1"/>
  <c r="O93" i="93" s="1"/>
  <c r="N93" i="93" a="1"/>
  <c r="N93" i="93" s="1"/>
  <c r="M93" i="93" a="1"/>
  <c r="M93" i="93" s="1"/>
  <c r="L93" i="93" a="1"/>
  <c r="L93" i="93" s="1"/>
  <c r="K93" i="93" a="1"/>
  <c r="K93" i="93" s="1"/>
  <c r="J93" i="93" a="1"/>
  <c r="J93" i="93" s="1"/>
  <c r="I93" i="93" a="1"/>
  <c r="I93" i="93" s="1"/>
  <c r="H93" i="93" a="1"/>
  <c r="H93" i="93" s="1"/>
  <c r="G93" i="93" a="1"/>
  <c r="G93" i="93" s="1"/>
  <c r="F93" i="93" a="1"/>
  <c r="F93" i="93" s="1"/>
  <c r="E93" i="93" a="1"/>
  <c r="E93" i="93" s="1"/>
  <c r="D93" i="93" a="1"/>
  <c r="D93" i="93" s="1"/>
  <c r="AE92" i="93" a="1"/>
  <c r="AE92" i="93" s="1"/>
  <c r="AD92" i="93" a="1"/>
  <c r="AD92" i="93" s="1"/>
  <c r="AC92" i="93" a="1"/>
  <c r="AC92" i="93" s="1"/>
  <c r="AB92" i="93" a="1"/>
  <c r="AB92" i="93" s="1"/>
  <c r="AA92" i="93" a="1"/>
  <c r="AA92" i="93" s="1"/>
  <c r="Z92" i="93" a="1"/>
  <c r="Z92" i="93" s="1"/>
  <c r="Y92" i="93" a="1"/>
  <c r="Y92" i="93" s="1"/>
  <c r="X92" i="93" a="1"/>
  <c r="X92" i="93" s="1"/>
  <c r="W92" i="93" a="1"/>
  <c r="W92" i="93" s="1"/>
  <c r="V92" i="93" a="1"/>
  <c r="V92" i="93" s="1"/>
  <c r="U92" i="93" a="1"/>
  <c r="U92" i="93" s="1"/>
  <c r="T92" i="93" a="1"/>
  <c r="T92" i="93" s="1"/>
  <c r="S92" i="93" a="1"/>
  <c r="S92" i="93" s="1"/>
  <c r="R92" i="93" a="1"/>
  <c r="R92" i="93" s="1"/>
  <c r="Q92" i="93" a="1"/>
  <c r="Q92" i="93" s="1"/>
  <c r="P92" i="93" a="1"/>
  <c r="P92" i="93" s="1"/>
  <c r="O92" i="93" a="1"/>
  <c r="O92" i="93" s="1"/>
  <c r="N92" i="93" a="1"/>
  <c r="N92" i="93" s="1"/>
  <c r="M92" i="93" a="1"/>
  <c r="M92" i="93" s="1"/>
  <c r="L92" i="93" a="1"/>
  <c r="L92" i="93" s="1"/>
  <c r="K92" i="93" a="1"/>
  <c r="K92" i="93" s="1"/>
  <c r="J92" i="93" a="1"/>
  <c r="J92" i="93" s="1"/>
  <c r="I92" i="93" a="1"/>
  <c r="I92" i="93" s="1"/>
  <c r="H92" i="93" a="1"/>
  <c r="H92" i="93" s="1"/>
  <c r="G92" i="93" a="1"/>
  <c r="G92" i="93" s="1"/>
  <c r="F92" i="93" a="1"/>
  <c r="F92" i="93" s="1"/>
  <c r="E92" i="93" a="1"/>
  <c r="E92" i="93" s="1"/>
  <c r="D92" i="93" a="1"/>
  <c r="D92" i="93" s="1"/>
  <c r="AE91" i="93" a="1"/>
  <c r="AE91" i="93" s="1"/>
  <c r="AD91" i="93" a="1"/>
  <c r="AD91" i="93" s="1"/>
  <c r="AC91" i="93" a="1"/>
  <c r="AC91" i="93" s="1"/>
  <c r="AB91" i="93" a="1"/>
  <c r="AB91" i="93" s="1"/>
  <c r="AA91" i="93" a="1"/>
  <c r="AA91" i="93" s="1"/>
  <c r="Z91" i="93" a="1"/>
  <c r="Z91" i="93" s="1"/>
  <c r="Y91" i="93" a="1"/>
  <c r="Y91" i="93" s="1"/>
  <c r="X91" i="93" a="1"/>
  <c r="X91" i="93" s="1"/>
  <c r="W91" i="93" a="1"/>
  <c r="W91" i="93" s="1"/>
  <c r="V91" i="93" a="1"/>
  <c r="V91" i="93" s="1"/>
  <c r="U91" i="93" a="1"/>
  <c r="U91" i="93" s="1"/>
  <c r="T91" i="93" a="1"/>
  <c r="T91" i="93" s="1"/>
  <c r="S91" i="93" a="1"/>
  <c r="S91" i="93" s="1"/>
  <c r="R91" i="93" a="1"/>
  <c r="R91" i="93" s="1"/>
  <c r="Q91" i="93" a="1"/>
  <c r="Q91" i="93" s="1"/>
  <c r="P91" i="93" a="1"/>
  <c r="P91" i="93" s="1"/>
  <c r="O91" i="93" a="1"/>
  <c r="O91" i="93" s="1"/>
  <c r="N91" i="93" a="1"/>
  <c r="N91" i="93" s="1"/>
  <c r="M91" i="93" a="1"/>
  <c r="M91" i="93" s="1"/>
  <c r="L91" i="93" a="1"/>
  <c r="L91" i="93" s="1"/>
  <c r="K91" i="93" a="1"/>
  <c r="K91" i="93" s="1"/>
  <c r="J91" i="93" a="1"/>
  <c r="J91" i="93" s="1"/>
  <c r="I91" i="93" a="1"/>
  <c r="I91" i="93" s="1"/>
  <c r="H91" i="93" a="1"/>
  <c r="H91" i="93" s="1"/>
  <c r="G91" i="93" a="1"/>
  <c r="G91" i="93" s="1"/>
  <c r="F91" i="93" a="1"/>
  <c r="F91" i="93" s="1"/>
  <c r="E91" i="93" a="1"/>
  <c r="E91" i="93" s="1"/>
  <c r="D91" i="93" a="1"/>
  <c r="D91" i="93" s="1"/>
  <c r="AE90" i="93" a="1"/>
  <c r="AE90" i="93" s="1"/>
  <c r="AD90" i="93" a="1"/>
  <c r="AD90" i="93" s="1"/>
  <c r="AC90" i="93" a="1"/>
  <c r="AC90" i="93" s="1"/>
  <c r="AB90" i="93" a="1"/>
  <c r="AB90" i="93" s="1"/>
  <c r="AA90" i="93" a="1"/>
  <c r="AA90" i="93" s="1"/>
  <c r="Z90" i="93" a="1"/>
  <c r="Z90" i="93" s="1"/>
  <c r="Y90" i="93" a="1"/>
  <c r="Y90" i="93" s="1"/>
  <c r="X90" i="93" a="1"/>
  <c r="X90" i="93" s="1"/>
  <c r="W90" i="93" a="1"/>
  <c r="W90" i="93" s="1"/>
  <c r="V90" i="93" a="1"/>
  <c r="V90" i="93" s="1"/>
  <c r="U90" i="93" a="1"/>
  <c r="U90" i="93" s="1"/>
  <c r="T90" i="93" a="1"/>
  <c r="T90" i="93" s="1"/>
  <c r="S90" i="93" a="1"/>
  <c r="S90" i="93" s="1"/>
  <c r="R90" i="93" a="1"/>
  <c r="R90" i="93" s="1"/>
  <c r="Q90" i="93" a="1"/>
  <c r="Q90" i="93" s="1"/>
  <c r="P90" i="93" a="1"/>
  <c r="P90" i="93" s="1"/>
  <c r="O90" i="93" a="1"/>
  <c r="O90" i="93" s="1"/>
  <c r="N90" i="93" a="1"/>
  <c r="N90" i="93" s="1"/>
  <c r="M90" i="93" a="1"/>
  <c r="M90" i="93" s="1"/>
  <c r="L90" i="93" a="1"/>
  <c r="L90" i="93" s="1"/>
  <c r="K90" i="93" a="1"/>
  <c r="K90" i="93" s="1"/>
  <c r="J90" i="93" a="1"/>
  <c r="J90" i="93" s="1"/>
  <c r="I90" i="93" a="1"/>
  <c r="I90" i="93" s="1"/>
  <c r="H90" i="93" a="1"/>
  <c r="H90" i="93" s="1"/>
  <c r="G90" i="93" a="1"/>
  <c r="G90" i="93" s="1"/>
  <c r="F90" i="93" a="1"/>
  <c r="F90" i="93" s="1"/>
  <c r="E90" i="93" a="1"/>
  <c r="E90" i="93" s="1"/>
  <c r="D90" i="93" a="1"/>
  <c r="D90" i="93" s="1"/>
  <c r="F83" i="93" a="1"/>
  <c r="F83" i="93" s="1"/>
  <c r="E83" i="93" a="1"/>
  <c r="E83" i="93" s="1"/>
  <c r="D83" i="93" a="1"/>
  <c r="D83" i="93" s="1"/>
  <c r="D82" i="93" a="1"/>
  <c r="D82" i="93" s="1"/>
  <c r="D81" i="93" a="1"/>
  <c r="D81" i="93" s="1"/>
  <c r="F78" i="93" a="1"/>
  <c r="F78" i="93" s="1"/>
  <c r="E78" i="93" a="1"/>
  <c r="E78" i="93" s="1"/>
  <c r="D78" i="93" a="1"/>
  <c r="D78" i="93" s="1"/>
  <c r="D77" i="93" a="1"/>
  <c r="D77" i="93" s="1"/>
  <c r="D76" i="93" a="1"/>
  <c r="D76" i="93" s="1"/>
  <c r="F73" i="93" a="1"/>
  <c r="F73" i="93" s="1"/>
  <c r="E73" i="93" a="1"/>
  <c r="E73" i="93" s="1"/>
  <c r="D73" i="93" a="1"/>
  <c r="D73" i="93" s="1"/>
  <c r="D72" i="93" a="1"/>
  <c r="D72" i="93" s="1"/>
  <c r="D71" i="93" a="1"/>
  <c r="D71" i="93" s="1"/>
  <c r="F68" i="93" a="1"/>
  <c r="F68" i="93" s="1"/>
  <c r="E68" i="93" a="1"/>
  <c r="E68" i="93" s="1"/>
  <c r="D68" i="93" a="1"/>
  <c r="D68" i="93" s="1"/>
  <c r="F67" i="93" a="1"/>
  <c r="F67" i="93" s="1"/>
  <c r="I19" i="90" s="1"/>
  <c r="E67" i="93" a="1"/>
  <c r="E67" i="93" s="1"/>
  <c r="I18" i="90" s="1"/>
  <c r="D67" i="93" a="1"/>
  <c r="D67" i="93" s="1"/>
  <c r="F66" i="93" a="1"/>
  <c r="F66" i="93" s="1"/>
  <c r="I16" i="90" s="1"/>
  <c r="E66" i="93" a="1"/>
  <c r="E66" i="93" s="1"/>
  <c r="I15" i="90" s="1"/>
  <c r="D66" i="93" a="1"/>
  <c r="D66" i="93" s="1"/>
  <c r="D64" i="93" a="1"/>
  <c r="D64" i="93" s="1"/>
  <c r="D63" i="93" a="1"/>
  <c r="D63" i="93" s="1"/>
  <c r="F60" i="93" a="1"/>
  <c r="F60" i="93" s="1"/>
  <c r="E60" i="93" a="1"/>
  <c r="E60" i="93" s="1"/>
  <c r="I50" i="88" s="1"/>
  <c r="D60" i="93" a="1"/>
  <c r="D60" i="93" s="1"/>
  <c r="D59" i="93" a="1"/>
  <c r="D59" i="93" s="1"/>
  <c r="D58" i="93" a="1"/>
  <c r="D58" i="93" s="1"/>
  <c r="E55" i="93" a="1"/>
  <c r="E55" i="93" s="1"/>
  <c r="D55" i="93" a="1"/>
  <c r="D55" i="93" s="1"/>
  <c r="E54" i="93" a="1"/>
  <c r="E54" i="93" s="1"/>
  <c r="D54" i="93" a="1"/>
  <c r="D54" i="93" s="1"/>
  <c r="E53" i="93" a="1"/>
  <c r="E53" i="93" s="1"/>
  <c r="D53" i="93" a="1"/>
  <c r="D53" i="93" s="1"/>
  <c r="E52" i="93" a="1"/>
  <c r="E52" i="93" s="1"/>
  <c r="D52" i="93" a="1"/>
  <c r="D52" i="93" s="1"/>
  <c r="E51" i="93" a="1"/>
  <c r="E51" i="93" s="1"/>
  <c r="D51" i="93" a="1"/>
  <c r="D51" i="93" s="1"/>
  <c r="D49" i="93" a="1"/>
  <c r="D49" i="93" s="1"/>
  <c r="D48" i="93" a="1"/>
  <c r="D48" i="93" s="1"/>
  <c r="I38" i="93" a="1"/>
  <c r="I38" i="93" s="1"/>
  <c r="H38" i="93" a="1"/>
  <c r="H38" i="93" s="1"/>
  <c r="G38" i="93" a="1"/>
  <c r="G38" i="93" s="1"/>
  <c r="F38" i="93" a="1"/>
  <c r="F38" i="93" s="1"/>
  <c r="E38" i="93" a="1"/>
  <c r="E38" i="93" s="1"/>
  <c r="D38" i="93" a="1"/>
  <c r="D38" i="93" s="1"/>
  <c r="G180" i="114" s="1"/>
  <c r="I37" i="93" a="1"/>
  <c r="I37" i="93" s="1"/>
  <c r="H37" i="93" a="1"/>
  <c r="H37" i="93" s="1"/>
  <c r="G37" i="93" a="1"/>
  <c r="G37" i="93" s="1"/>
  <c r="F37" i="93" a="1"/>
  <c r="F37" i="93" s="1"/>
  <c r="E37" i="93" a="1"/>
  <c r="E37" i="93" s="1"/>
  <c r="D37" i="93" a="1"/>
  <c r="D37" i="93" s="1"/>
  <c r="I36" i="93" a="1"/>
  <c r="I36" i="93" s="1"/>
  <c r="H36" i="93" a="1"/>
  <c r="H36" i="93" s="1"/>
  <c r="G36" i="93" a="1"/>
  <c r="G36" i="93" s="1"/>
  <c r="F36" i="93" a="1"/>
  <c r="F36" i="93" s="1"/>
  <c r="E36" i="93" a="1"/>
  <c r="E36" i="93" s="1"/>
  <c r="D36" i="93" a="1"/>
  <c r="D36" i="93" s="1"/>
  <c r="G190" i="114" s="1"/>
  <c r="I35" i="93" a="1"/>
  <c r="I35" i="93" s="1"/>
  <c r="H35" i="93" a="1"/>
  <c r="H35" i="93" s="1"/>
  <c r="G35" i="93" a="1"/>
  <c r="G35" i="93" s="1"/>
  <c r="F35" i="93" a="1"/>
  <c r="F35" i="93" s="1"/>
  <c r="E35" i="93" a="1"/>
  <c r="E35" i="93" s="1"/>
  <c r="D35" i="93" a="1"/>
  <c r="D35" i="93" s="1"/>
  <c r="G182" i="114" s="1"/>
  <c r="I34" i="93" a="1"/>
  <c r="I34" i="93" s="1"/>
  <c r="H34" i="93" a="1"/>
  <c r="H34" i="93" s="1"/>
  <c r="G34" i="93" a="1"/>
  <c r="G34" i="93" s="1"/>
  <c r="F34" i="93" a="1"/>
  <c r="F34" i="93" s="1"/>
  <c r="E34" i="93" a="1"/>
  <c r="E34" i="93" s="1"/>
  <c r="D34" i="93" a="1"/>
  <c r="D34" i="93" s="1"/>
  <c r="G184" i="114" s="1"/>
  <c r="I33" i="93" a="1"/>
  <c r="I33" i="93" s="1"/>
  <c r="H33" i="93" a="1"/>
  <c r="H33" i="93" s="1"/>
  <c r="G33" i="93" a="1"/>
  <c r="G33" i="93" s="1"/>
  <c r="F33" i="93" a="1"/>
  <c r="F33" i="93" s="1"/>
  <c r="E33" i="93" a="1"/>
  <c r="E33" i="93" s="1"/>
  <c r="D33" i="93" a="1"/>
  <c r="D33" i="93" s="1"/>
  <c r="G198" i="114" s="1"/>
  <c r="I32" i="93" a="1"/>
  <c r="I32" i="93" s="1"/>
  <c r="H32" i="93" a="1"/>
  <c r="H32" i="93" s="1"/>
  <c r="G32" i="93" a="1"/>
  <c r="G32" i="93" s="1"/>
  <c r="F32" i="93" a="1"/>
  <c r="F32" i="93" s="1"/>
  <c r="E32" i="93" a="1"/>
  <c r="E32" i="93" s="1"/>
  <c r="D32" i="93" a="1"/>
  <c r="D32" i="93" s="1"/>
  <c r="G191" i="114" s="1"/>
  <c r="I31" i="93" a="1"/>
  <c r="I31" i="93" s="1"/>
  <c r="H31" i="93" a="1"/>
  <c r="H31" i="93" s="1"/>
  <c r="G31" i="93" a="1"/>
  <c r="G31" i="93" s="1"/>
  <c r="F31" i="93" a="1"/>
  <c r="F31" i="93" s="1"/>
  <c r="E31" i="93" a="1"/>
  <c r="E31" i="93" s="1"/>
  <c r="D31" i="93" a="1"/>
  <c r="D31" i="93" s="1"/>
  <c r="G189" i="114" s="1"/>
  <c r="I30" i="93" a="1"/>
  <c r="I30" i="93" s="1"/>
  <c r="H30" i="93" a="1"/>
  <c r="H30" i="93" s="1"/>
  <c r="G30" i="93" a="1"/>
  <c r="G30" i="93" s="1"/>
  <c r="F30" i="93" a="1"/>
  <c r="F30" i="93" s="1"/>
  <c r="E30" i="93" a="1"/>
  <c r="E30" i="93" s="1"/>
  <c r="D30" i="93" a="1"/>
  <c r="D30" i="93" s="1"/>
  <c r="G188" i="114" s="1"/>
  <c r="I29" i="93" a="1"/>
  <c r="I29" i="93" s="1"/>
  <c r="H29" i="93" a="1"/>
  <c r="H29" i="93" s="1"/>
  <c r="G29" i="93" a="1"/>
  <c r="G29" i="93" s="1"/>
  <c r="F29" i="93" a="1"/>
  <c r="F29" i="93" s="1"/>
  <c r="E29" i="93" a="1"/>
  <c r="E29" i="93" s="1"/>
  <c r="D29" i="93" a="1"/>
  <c r="D29" i="93" s="1"/>
  <c r="G186" i="114" s="1"/>
  <c r="R28" i="93" a="1"/>
  <c r="R28" i="93" s="1"/>
  <c r="Q28" i="93" a="1"/>
  <c r="Q28" i="93" s="1"/>
  <c r="L28" i="93" a="1"/>
  <c r="L28" i="93" s="1"/>
  <c r="K28" i="93" a="1"/>
  <c r="K28" i="93" s="1"/>
  <c r="I28" i="93" a="1"/>
  <c r="I28" i="93" s="1"/>
  <c r="H28" i="93" a="1"/>
  <c r="H28" i="93" s="1"/>
  <c r="G28" i="93" a="1"/>
  <c r="G28" i="93" s="1"/>
  <c r="F28" i="93" a="1"/>
  <c r="F28" i="93" s="1"/>
  <c r="E28" i="93" a="1"/>
  <c r="E28" i="93" s="1"/>
  <c r="D28" i="93" a="1"/>
  <c r="D28" i="93" s="1"/>
  <c r="G187" i="114" s="1"/>
  <c r="R27" i="93" a="1"/>
  <c r="R27" i="93" s="1"/>
  <c r="Q27" i="93" a="1"/>
  <c r="Q27" i="93" s="1"/>
  <c r="L27" i="93" a="1"/>
  <c r="L27" i="93" s="1"/>
  <c r="K27" i="93" a="1"/>
  <c r="K27" i="93" s="1"/>
  <c r="I27" i="93" a="1"/>
  <c r="I27" i="93" s="1"/>
  <c r="H27" i="93" a="1"/>
  <c r="H27" i="93" s="1"/>
  <c r="G27" i="93" a="1"/>
  <c r="G27" i="93" s="1"/>
  <c r="F27" i="93" a="1"/>
  <c r="F27" i="93" s="1"/>
  <c r="E27" i="93" a="1"/>
  <c r="E27" i="93" s="1"/>
  <c r="D27" i="93" a="1"/>
  <c r="D27" i="93" s="1"/>
  <c r="G185" i="114" s="1"/>
  <c r="R26" i="93" a="1"/>
  <c r="R26" i="93" s="1"/>
  <c r="Q26" i="93" a="1"/>
  <c r="Q26" i="93" s="1"/>
  <c r="L26" i="93" a="1"/>
  <c r="L26" i="93" s="1"/>
  <c r="K26" i="93" a="1"/>
  <c r="K26" i="93" s="1"/>
  <c r="I26" i="93" a="1"/>
  <c r="I26" i="93" s="1"/>
  <c r="H26" i="93" a="1"/>
  <c r="H26" i="93" s="1"/>
  <c r="G26" i="93" a="1"/>
  <c r="G26" i="93" s="1"/>
  <c r="F26" i="93" a="1"/>
  <c r="F26" i="93" s="1"/>
  <c r="E26" i="93" a="1"/>
  <c r="E26" i="93" s="1"/>
  <c r="D26" i="93" a="1"/>
  <c r="D26" i="93" s="1"/>
  <c r="G179" i="114" s="1"/>
  <c r="R25" i="93" a="1"/>
  <c r="R25" i="93" s="1"/>
  <c r="Q25" i="93" a="1"/>
  <c r="Q25" i="93" s="1"/>
  <c r="L25" i="93" a="1"/>
  <c r="L25" i="93" s="1"/>
  <c r="K25" i="93" a="1"/>
  <c r="K25" i="93" s="1"/>
  <c r="I25" i="93" a="1"/>
  <c r="I25" i="93" s="1"/>
  <c r="H25" i="93" a="1"/>
  <c r="H25" i="93" s="1"/>
  <c r="G25" i="93" a="1"/>
  <c r="G25" i="93" s="1"/>
  <c r="F25" i="93" a="1"/>
  <c r="F25" i="93" s="1"/>
  <c r="E25" i="93" a="1"/>
  <c r="E25" i="93" s="1"/>
  <c r="D25" i="93" a="1"/>
  <c r="D25" i="93" s="1"/>
  <c r="G178" i="114" s="1"/>
  <c r="R24" i="93" a="1"/>
  <c r="R24" i="93" s="1"/>
  <c r="Q24" i="93" a="1"/>
  <c r="Q24" i="93" s="1"/>
  <c r="L24" i="93" a="1"/>
  <c r="L24" i="93" s="1"/>
  <c r="K24" i="93" a="1"/>
  <c r="K24" i="93" s="1"/>
  <c r="I24" i="93" a="1"/>
  <c r="I24" i="93" s="1"/>
  <c r="H24" i="93" a="1"/>
  <c r="H24" i="93" s="1"/>
  <c r="G24" i="93" a="1"/>
  <c r="G24" i="93" s="1"/>
  <c r="F24" i="93" a="1"/>
  <c r="F24" i="93" s="1"/>
  <c r="E24" i="93" a="1"/>
  <c r="E24" i="93" s="1"/>
  <c r="D24" i="93" a="1"/>
  <c r="D24" i="93" s="1"/>
  <c r="G193" i="114" s="1"/>
  <c r="V23" i="93" a="1"/>
  <c r="V23" i="93" s="1"/>
  <c r="R23" i="93" a="1"/>
  <c r="R23" i="93" s="1"/>
  <c r="Q23" i="93" a="1"/>
  <c r="Q23" i="93" s="1"/>
  <c r="L23" i="93" a="1"/>
  <c r="L23" i="93" s="1"/>
  <c r="K23" i="93" a="1"/>
  <c r="K23" i="93" s="1"/>
  <c r="I23" i="93" a="1"/>
  <c r="I23" i="93" s="1"/>
  <c r="H23" i="93" a="1"/>
  <c r="H23" i="93" s="1"/>
  <c r="G23" i="93" a="1"/>
  <c r="G23" i="93" s="1"/>
  <c r="F23" i="93" a="1"/>
  <c r="F23" i="93" s="1"/>
  <c r="E23" i="93" a="1"/>
  <c r="E23" i="93" s="1"/>
  <c r="D23" i="93" a="1"/>
  <c r="D23" i="93" s="1"/>
  <c r="G192" i="114" s="1"/>
  <c r="V22" i="93" a="1"/>
  <c r="V22" i="93" s="1"/>
  <c r="R22" i="93" a="1"/>
  <c r="R22" i="93" s="1"/>
  <c r="Q22" i="93" a="1"/>
  <c r="Q22" i="93" s="1"/>
  <c r="L22" i="93" a="1"/>
  <c r="L22" i="93" s="1"/>
  <c r="K22" i="93" a="1"/>
  <c r="K22" i="93" s="1"/>
  <c r="I22" i="93" a="1"/>
  <c r="I22" i="93" s="1"/>
  <c r="H22" i="93" a="1"/>
  <c r="H22" i="93" s="1"/>
  <c r="G22" i="93" a="1"/>
  <c r="G22" i="93" s="1"/>
  <c r="F22" i="93" a="1"/>
  <c r="F22" i="93" s="1"/>
  <c r="E22" i="93" a="1"/>
  <c r="E22" i="93" s="1"/>
  <c r="D22" i="93" a="1"/>
  <c r="D22" i="93" s="1"/>
  <c r="V21" i="93" a="1"/>
  <c r="V21" i="93" s="1"/>
  <c r="R21" i="93" a="1"/>
  <c r="R21" i="93" s="1"/>
  <c r="Q21" i="93" a="1"/>
  <c r="Q21" i="93" s="1"/>
  <c r="L21" i="93" a="1"/>
  <c r="L21" i="93" s="1"/>
  <c r="K21" i="93" a="1"/>
  <c r="K21" i="93" s="1"/>
  <c r="I21" i="93" a="1"/>
  <c r="I21" i="93" s="1"/>
  <c r="H21" i="93" a="1"/>
  <c r="H21" i="93" s="1"/>
  <c r="G21" i="93" a="1"/>
  <c r="G21" i="93" s="1"/>
  <c r="F21" i="93" a="1"/>
  <c r="F21" i="93" s="1"/>
  <c r="E21" i="93" a="1"/>
  <c r="E21" i="93" s="1"/>
  <c r="D21" i="93" a="1"/>
  <c r="D21" i="93" s="1"/>
  <c r="G181" i="114" s="1"/>
  <c r="V20" i="93" a="1"/>
  <c r="V20" i="93" s="1"/>
  <c r="R20" i="93" a="1"/>
  <c r="R20" i="93" s="1"/>
  <c r="Q20" i="93" a="1"/>
  <c r="Q20" i="93" s="1"/>
  <c r="L20" i="93" a="1"/>
  <c r="L20" i="93" s="1"/>
  <c r="K20" i="93" a="1"/>
  <c r="K20" i="93" s="1"/>
  <c r="I20" i="93" a="1"/>
  <c r="I20" i="93" s="1"/>
  <c r="H20" i="93" a="1"/>
  <c r="H20" i="93" s="1"/>
  <c r="G20" i="93" a="1"/>
  <c r="G20" i="93" s="1"/>
  <c r="F20" i="93" a="1"/>
  <c r="F20" i="93" s="1"/>
  <c r="E20" i="93" a="1"/>
  <c r="E20" i="93" s="1"/>
  <c r="D20" i="93" a="1"/>
  <c r="D20" i="93" s="1"/>
  <c r="V18" i="93" a="1"/>
  <c r="V18" i="93" s="1"/>
  <c r="Q18" i="93" a="1"/>
  <c r="Q18" i="93" s="1"/>
  <c r="K18" i="93" a="1"/>
  <c r="K18" i="93" s="1"/>
  <c r="V17" i="93" a="1"/>
  <c r="V17" i="93" s="1"/>
  <c r="Q17" i="93" a="1"/>
  <c r="Q17" i="93" s="1"/>
  <c r="K17" i="93" a="1"/>
  <c r="K17" i="93" s="1"/>
  <c r="D7" i="93" a="1"/>
  <c r="D7" i="93" s="1"/>
  <c r="D6" i="93" a="1"/>
  <c r="D6" i="93" s="1"/>
  <c r="D5" i="93" a="1"/>
  <c r="D5" i="93" s="1"/>
  <c r="F99" i="92" a="1"/>
  <c r="F99" i="92" s="1"/>
  <c r="D96" i="92" a="1"/>
  <c r="D96" i="92" s="1"/>
  <c r="H89" i="92" a="1"/>
  <c r="H89" i="92" s="1"/>
  <c r="D89" i="92" a="1"/>
  <c r="D89" i="92" s="1"/>
  <c r="E87" i="92" a="1"/>
  <c r="E87" i="92" s="1"/>
  <c r="F94" i="92" s="1"/>
  <c r="E86" i="92" a="1"/>
  <c r="E86" i="92" s="1"/>
  <c r="D82" i="92" a="1"/>
  <c r="D82" i="92" s="1"/>
  <c r="D81" i="92" a="1"/>
  <c r="D81" i="92" s="1"/>
  <c r="D67" i="92"/>
  <c r="D66" i="92"/>
  <c r="D65" i="92"/>
  <c r="I59" i="92"/>
  <c r="I58" i="92"/>
  <c r="I55" i="92" a="1"/>
  <c r="I55" i="92" s="1"/>
  <c r="G55" i="92" a="1"/>
  <c r="G55" i="92" s="1"/>
  <c r="D55" i="92" a="1"/>
  <c r="D55" i="92" s="1"/>
  <c r="E53" i="92" a="1"/>
  <c r="E53" i="92" s="1"/>
  <c r="F77" i="92" s="1"/>
  <c r="E52" i="92" a="1"/>
  <c r="E52" i="92" s="1"/>
  <c r="D48" i="92" a="1"/>
  <c r="D48" i="92" s="1"/>
  <c r="D47" i="92" a="1"/>
  <c r="D47" i="92" s="1"/>
  <c r="I17" i="92"/>
  <c r="I16" i="92"/>
  <c r="I13" i="92" a="1"/>
  <c r="I13" i="92" s="1"/>
  <c r="G13" i="92" a="1"/>
  <c r="G13" i="92" s="1"/>
  <c r="D13" i="92" a="1"/>
  <c r="D13" i="92" s="1"/>
  <c r="E11" i="92" a="1"/>
  <c r="E11" i="92" s="1"/>
  <c r="F43" i="92" s="1"/>
  <c r="E10" i="92" a="1"/>
  <c r="E10" i="92" s="1"/>
  <c r="D6" i="92" a="1"/>
  <c r="D6" i="92" s="1"/>
  <c r="D5" i="92" a="1"/>
  <c r="D5" i="92" s="1"/>
  <c r="F151" i="91" a="1"/>
  <c r="F151" i="91" s="1"/>
  <c r="D148" i="91" a="1"/>
  <c r="D148" i="91" s="1"/>
  <c r="I127" i="91"/>
  <c r="I124" i="91" a="1"/>
  <c r="I124" i="91" s="1"/>
  <c r="G124" i="91" a="1"/>
  <c r="G124" i="91" s="1"/>
  <c r="D124" i="91" a="1"/>
  <c r="D124" i="91" s="1"/>
  <c r="E122" i="91" a="1"/>
  <c r="E122" i="91" s="1"/>
  <c r="F146" i="91" s="1"/>
  <c r="E121" i="91" a="1"/>
  <c r="E121" i="91" s="1"/>
  <c r="D117" i="91" a="1"/>
  <c r="D117" i="91" s="1"/>
  <c r="D116" i="91" a="1"/>
  <c r="D116" i="91" s="1"/>
  <c r="I96" i="91" a="1"/>
  <c r="I96" i="91" s="1"/>
  <c r="G96" i="91" a="1"/>
  <c r="G96" i="91" s="1"/>
  <c r="D96" i="91" a="1"/>
  <c r="D96" i="91" s="1"/>
  <c r="E94" i="91" a="1"/>
  <c r="E94" i="91" s="1"/>
  <c r="G102" i="91" s="1"/>
  <c r="E93" i="91" a="1"/>
  <c r="E93" i="91" s="1"/>
  <c r="D89" i="91" a="1"/>
  <c r="D89" i="91" s="1"/>
  <c r="D88" i="91" a="1"/>
  <c r="D88" i="91" s="1"/>
  <c r="F84" i="91" a="1"/>
  <c r="F84" i="91" s="1"/>
  <c r="D81" i="91" a="1"/>
  <c r="D81" i="91" s="1"/>
  <c r="J52" i="91"/>
  <c r="J49" i="91" a="1"/>
  <c r="J49" i="91" s="1"/>
  <c r="H49" i="91" a="1"/>
  <c r="H49" i="91" s="1"/>
  <c r="D49" i="91" a="1"/>
  <c r="D49" i="91" s="1"/>
  <c r="E47" i="91" a="1"/>
  <c r="E47" i="91" s="1"/>
  <c r="F79"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I17" i="90" a="1"/>
  <c r="I17" i="90" s="1"/>
  <c r="I14" i="90" a="1"/>
  <c r="I14" i="90" s="1"/>
  <c r="I13" i="90" a="1"/>
  <c r="I13" i="90" s="1"/>
  <c r="G13" i="90" a="1"/>
  <c r="G13" i="90" s="1"/>
  <c r="D13" i="90" a="1"/>
  <c r="D13" i="90" s="1"/>
  <c r="E11" i="90" a="1"/>
  <c r="E11" i="90" s="1"/>
  <c r="E10" i="90" a="1"/>
  <c r="E10" i="90" s="1"/>
  <c r="D6" i="90" a="1"/>
  <c r="D6" i="90" s="1"/>
  <c r="D5" i="90" a="1"/>
  <c r="D5" i="90" s="1"/>
  <c r="F55" i="89" a="1"/>
  <c r="F55" i="89" s="1"/>
  <c r="D52" i="89" a="1"/>
  <c r="D52" i="89" s="1"/>
  <c r="K47" i="89"/>
  <c r="I44" i="89" a="1"/>
  <c r="I44" i="89" s="1"/>
  <c r="D44" i="89" a="1"/>
  <c r="D44" i="89" s="1"/>
  <c r="E42" i="89" a="1"/>
  <c r="E42" i="89" s="1"/>
  <c r="F50" i="89" s="1"/>
  <c r="E41" i="89" a="1"/>
  <c r="E41" i="89" s="1"/>
  <c r="D37" i="89" a="1"/>
  <c r="D37" i="89" s="1"/>
  <c r="D36" i="89" a="1"/>
  <c r="D36" i="89" s="1"/>
  <c r="I30" i="89" a="1"/>
  <c r="I30" i="89" s="1"/>
  <c r="I29" i="89" a="1"/>
  <c r="I29" i="89" s="1"/>
  <c r="I28" i="89" a="1"/>
  <c r="I28" i="89" s="1"/>
  <c r="I27" i="89" a="1"/>
  <c r="I27" i="89" s="1"/>
  <c r="I26" i="89" a="1"/>
  <c r="I26" i="89" s="1"/>
  <c r="I25" i="89" a="1"/>
  <c r="I25" i="89" s="1"/>
  <c r="I24" i="89" a="1"/>
  <c r="I24" i="89" s="1"/>
  <c r="I23" i="89" a="1"/>
  <c r="I23" i="89" s="1"/>
  <c r="I15" i="89" a="1"/>
  <c r="I15" i="89" s="1"/>
  <c r="I14" i="89" a="1"/>
  <c r="I14" i="89" s="1"/>
  <c r="I13" i="89" a="1"/>
  <c r="I13" i="89" s="1"/>
  <c r="G13" i="89" a="1"/>
  <c r="G13" i="89" s="1"/>
  <c r="D13" i="89" a="1"/>
  <c r="D13" i="89" s="1"/>
  <c r="E11" i="89" a="1"/>
  <c r="E11" i="89" s="1"/>
  <c r="F32" i="89" s="1"/>
  <c r="E10" i="89" a="1"/>
  <c r="E10" i="89" s="1"/>
  <c r="D6" i="89" a="1"/>
  <c r="D6" i="89" s="1"/>
  <c r="D5" i="89" a="1"/>
  <c r="D5" i="89" s="1"/>
  <c r="I53" i="88" a="1"/>
  <c r="I53" i="88" s="1"/>
  <c r="I52" i="88"/>
  <c r="I49" i="88" a="1"/>
  <c r="I49" i="88" s="1"/>
  <c r="G49" i="88" a="1"/>
  <c r="G49" i="88" s="1"/>
  <c r="D49" i="88" a="1"/>
  <c r="D49" i="88" s="1"/>
  <c r="E47" i="88" a="1"/>
  <c r="E47" i="88" s="1"/>
  <c r="E46" i="88" a="1"/>
  <c r="E46" i="88" s="1"/>
  <c r="D42" i="88" a="1"/>
  <c r="D42" i="88" s="1"/>
  <c r="D41" i="88" a="1"/>
  <c r="D41" i="88" s="1"/>
  <c r="I14" i="88" a="1"/>
  <c r="I14" i="88" s="1"/>
  <c r="I13" i="88" a="1"/>
  <c r="I13" i="88" s="1"/>
  <c r="G13" i="88" a="1"/>
  <c r="G13" i="88" s="1"/>
  <c r="D13" i="88" a="1"/>
  <c r="D13" i="88" s="1"/>
  <c r="E11" i="88" a="1"/>
  <c r="E11" i="88" s="1"/>
  <c r="E10" i="88" a="1"/>
  <c r="E10" i="88" s="1"/>
  <c r="D6" i="88" a="1"/>
  <c r="D6" i="88" s="1"/>
  <c r="D5" i="88" a="1"/>
  <c r="D5" i="88" s="1"/>
  <c r="O93" i="87" a="1"/>
  <c r="O93" i="87" s="1"/>
  <c r="M90" i="87" a="1"/>
  <c r="M90" i="87" s="1"/>
  <c r="F85" i="87" a="1"/>
  <c r="F85" i="87" s="1"/>
  <c r="D82" i="87" a="1"/>
  <c r="D82" i="87" s="1"/>
  <c r="S71" i="87"/>
  <c r="S70" i="87"/>
  <c r="S67" i="87" a="1"/>
  <c r="S67" i="87" s="1"/>
  <c r="Q67" i="87" a="1"/>
  <c r="Q67" i="87" s="1"/>
  <c r="M67" i="87" a="1"/>
  <c r="M67" i="87" s="1"/>
  <c r="N65" i="87" a="1"/>
  <c r="N65" i="87" s="1"/>
  <c r="N64" i="87" a="1"/>
  <c r="N64" i="87" s="1"/>
  <c r="M59" i="87" a="1"/>
  <c r="M59" i="87" s="1"/>
  <c r="M58" i="87" a="1"/>
  <c r="M58" i="87" s="1"/>
  <c r="V54" i="87" a="1"/>
  <c r="V54" i="87" s="1"/>
  <c r="T54" i="87"/>
  <c r="U54" i="87" s="1"/>
  <c r="S54" i="87" a="1"/>
  <c r="S54" i="87" s="1"/>
  <c r="R54" i="87" a="1"/>
  <c r="R54" i="87" s="1"/>
  <c r="Q54" i="87"/>
  <c r="V53" i="87" a="1"/>
  <c r="V53" i="87" s="1"/>
  <c r="T53" i="87"/>
  <c r="U53" i="87" s="1"/>
  <c r="S53" i="87" a="1"/>
  <c r="S53" i="87" s="1"/>
  <c r="R53" i="87" a="1"/>
  <c r="R53" i="87" s="1"/>
  <c r="Q53" i="87"/>
  <c r="I53" i="87"/>
  <c r="I52" i="87"/>
  <c r="I49" i="87" a="1"/>
  <c r="I49" i="87" s="1"/>
  <c r="G49" i="87" a="1"/>
  <c r="G49" i="87" s="1"/>
  <c r="D49" i="87" a="1"/>
  <c r="D49" i="87" s="1"/>
  <c r="E47" i="87" a="1"/>
  <c r="E47" i="87" s="1"/>
  <c r="E46" i="87" a="1"/>
  <c r="E46" i="87" s="1"/>
  <c r="D41" i="87" a="1"/>
  <c r="D41" i="87" s="1"/>
  <c r="D40" i="87" a="1"/>
  <c r="D40" i="87" s="1"/>
  <c r="R35" i="87" a="1"/>
  <c r="R35" i="87" s="1"/>
  <c r="P35" i="87" a="1"/>
  <c r="P35" i="87" s="1"/>
  <c r="M35" i="87" a="1"/>
  <c r="M35" i="87" s="1"/>
  <c r="N33" i="87" a="1"/>
  <c r="N33" i="87" s="1"/>
  <c r="V43" i="87" s="1"/>
  <c r="N32" i="87" a="1"/>
  <c r="N32" i="87" s="1"/>
  <c r="V44" i="87" s="1"/>
  <c r="M28" i="87" a="1"/>
  <c r="M28" i="87" s="1"/>
  <c r="M27" i="87" a="1"/>
  <c r="M27" i="87" s="1"/>
  <c r="R23" i="87" a="1"/>
  <c r="R23" i="87" s="1"/>
  <c r="P23" i="87" a="1"/>
  <c r="P23" i="87" s="1"/>
  <c r="M23" i="87" a="1"/>
  <c r="M23" i="87" s="1"/>
  <c r="N21" i="87" a="1"/>
  <c r="N21" i="87" s="1"/>
  <c r="S43" i="87" s="1"/>
  <c r="N20" i="87" a="1"/>
  <c r="N20" i="87" s="1"/>
  <c r="S44" i="87" s="1"/>
  <c r="M17" i="87" a="1"/>
  <c r="M17" i="87" s="1"/>
  <c r="M16" i="87" a="1"/>
  <c r="M16" i="87" s="1"/>
  <c r="I14" i="87" a="1"/>
  <c r="I14" i="87" s="1"/>
  <c r="I13" i="87" a="1"/>
  <c r="I13" i="87" s="1"/>
  <c r="G13" i="87" a="1"/>
  <c r="G13" i="87" s="1"/>
  <c r="D13" i="87" a="1"/>
  <c r="D13" i="87" s="1"/>
  <c r="R12" i="87" a="1"/>
  <c r="R12" i="87" s="1"/>
  <c r="P12" i="87" a="1"/>
  <c r="P12" i="87" s="1"/>
  <c r="M12" i="87" a="1"/>
  <c r="M12" i="87" s="1"/>
  <c r="E11" i="87" a="1"/>
  <c r="E11" i="87" s="1"/>
  <c r="N10" i="87" a="1"/>
  <c r="N10" i="87" s="1"/>
  <c r="R43" i="87" s="1"/>
  <c r="E10" i="87" a="1"/>
  <c r="E10" i="87" s="1"/>
  <c r="N9" i="87" a="1"/>
  <c r="N9" i="87" s="1"/>
  <c r="R44" i="87" s="1"/>
  <c r="M6" i="87" a="1"/>
  <c r="M6" i="87" s="1"/>
  <c r="D6" i="87" a="1"/>
  <c r="D6" i="87" s="1"/>
  <c r="M5" i="87" a="1"/>
  <c r="M5" i="87" s="1"/>
  <c r="D5" i="87" a="1"/>
  <c r="D5" i="87" s="1"/>
  <c r="G44" i="86"/>
  <c r="G43" i="86"/>
  <c r="G42" i="86"/>
  <c r="K33" i="86"/>
  <c r="K32" i="86"/>
  <c r="K31" i="86"/>
  <c r="O41" i="85" a="1"/>
  <c r="O41" i="85" s="1"/>
  <c r="F41" i="85" a="1"/>
  <c r="F41" i="85" s="1"/>
  <c r="M38" i="85" a="1"/>
  <c r="M38" i="85" s="1"/>
  <c r="D38" i="85" a="1"/>
  <c r="D38" i="85" s="1"/>
  <c r="P32" i="85" a="1"/>
  <c r="P32" i="85" s="1"/>
  <c r="M32" i="85" a="1"/>
  <c r="M32" i="85" s="1"/>
  <c r="G32" i="85" a="1"/>
  <c r="G32" i="85" s="1"/>
  <c r="D32" i="85" a="1"/>
  <c r="D32" i="85" s="1"/>
  <c r="E30" i="85" a="1"/>
  <c r="E30" i="85" s="1"/>
  <c r="E29" i="85" a="1"/>
  <c r="E29" i="85" s="1"/>
  <c r="D25" i="85" a="1"/>
  <c r="D25" i="85" s="1"/>
  <c r="D24" i="85" a="1"/>
  <c r="D24" i="85" s="1"/>
  <c r="I18" i="85"/>
  <c r="I17" i="85"/>
  <c r="I16" i="85"/>
  <c r="I15" i="85"/>
  <c r="P13" i="85" a="1"/>
  <c r="P13" i="85" s="1"/>
  <c r="M13" i="85" a="1"/>
  <c r="M13" i="85" s="1"/>
  <c r="G13" i="85" a="1"/>
  <c r="G13" i="85" s="1"/>
  <c r="D13" i="85" a="1"/>
  <c r="D13" i="85" s="1"/>
  <c r="E11" i="85" a="1"/>
  <c r="E11" i="85" s="1"/>
  <c r="E10" i="85" a="1"/>
  <c r="E10" i="85" s="1"/>
  <c r="D6" i="85" a="1"/>
  <c r="D6" i="85" s="1"/>
  <c r="D5" i="85" a="1"/>
  <c r="D5" i="85" s="1"/>
  <c r="P40" i="84" a="1"/>
  <c r="P40" i="84" s="1"/>
  <c r="F40" i="84" a="1"/>
  <c r="F40" i="84" s="1"/>
  <c r="N37" i="84" a="1"/>
  <c r="N37" i="84" s="1"/>
  <c r="D37" i="84" a="1"/>
  <c r="D37" i="84" s="1"/>
  <c r="I32" i="84"/>
  <c r="I31" i="84"/>
  <c r="Q28" i="84" a="1"/>
  <c r="Q28" i="84" s="1"/>
  <c r="N28" i="84" a="1"/>
  <c r="N28" i="84" s="1"/>
  <c r="G28" i="84" a="1"/>
  <c r="G28" i="84" s="1"/>
  <c r="D28" i="84" a="1"/>
  <c r="D28" i="84" s="1"/>
  <c r="E26" i="84" a="1"/>
  <c r="E26" i="84" s="1"/>
  <c r="E25" i="84" a="1"/>
  <c r="E25" i="84" s="1"/>
  <c r="D21" i="84" a="1"/>
  <c r="D21" i="84" s="1"/>
  <c r="D20" i="84" a="1"/>
  <c r="D20" i="84" s="1"/>
  <c r="P16" i="84"/>
  <c r="J14" i="84"/>
  <c r="R13" i="84" a="1"/>
  <c r="R13" i="84" s="1"/>
  <c r="N13" i="84" a="1"/>
  <c r="N13" i="84" s="1"/>
  <c r="H13" i="84" a="1"/>
  <c r="H13" i="84" s="1"/>
  <c r="D13" i="84" a="1"/>
  <c r="D13" i="84" s="1"/>
  <c r="E11" i="84" a="1"/>
  <c r="E11" i="84" s="1"/>
  <c r="F16" i="84" s="1"/>
  <c r="E10" i="84" a="1"/>
  <c r="E10" i="84" s="1"/>
  <c r="D6" i="84" a="1"/>
  <c r="D6" i="84" s="1"/>
  <c r="D5" i="84" a="1"/>
  <c r="D5" i="84" s="1"/>
  <c r="W272" i="83" a="1"/>
  <c r="W272" i="83" s="1"/>
  <c r="U269" i="83" a="1"/>
  <c r="U269" i="83" s="1"/>
  <c r="U265" i="83" a="1"/>
  <c r="U265" i="83" s="1"/>
  <c r="U259" i="83"/>
  <c r="U258" i="83"/>
  <c r="U257" i="83"/>
  <c r="U256" i="83"/>
  <c r="U255" i="83"/>
  <c r="U254" i="83"/>
  <c r="U253" i="83"/>
  <c r="U252" i="83"/>
  <c r="U251" i="83"/>
  <c r="U250" i="83"/>
  <c r="U249" i="83"/>
  <c r="U248" i="83"/>
  <c r="U243" i="83"/>
  <c r="U242" i="83"/>
  <c r="U241" i="83"/>
  <c r="U240" i="83"/>
  <c r="U239" i="83"/>
  <c r="U238" i="83"/>
  <c r="U237" i="83"/>
  <c r="U236" i="83"/>
  <c r="U235" i="83"/>
  <c r="U234" i="83"/>
  <c r="F234" i="83" a="1"/>
  <c r="F234" i="83" s="1"/>
  <c r="U233" i="83"/>
  <c r="U232" i="83"/>
  <c r="D231" i="83" a="1"/>
  <c r="D231" i="83" s="1"/>
  <c r="U227" i="83"/>
  <c r="U226" i="83"/>
  <c r="U225" i="83"/>
  <c r="U224" i="83"/>
  <c r="H224" i="83"/>
  <c r="D224" i="83" a="1"/>
  <c r="D224" i="83" s="1"/>
  <c r="U223" i="83"/>
  <c r="U222" i="83"/>
  <c r="E222" i="83" a="1"/>
  <c r="E222" i="83" s="1"/>
  <c r="U221" i="83"/>
  <c r="E221" i="83" a="1"/>
  <c r="E221" i="83" s="1"/>
  <c r="U220" i="83"/>
  <c r="U219" i="83"/>
  <c r="U218" i="83"/>
  <c r="U217" i="83"/>
  <c r="D217" i="83" a="1"/>
  <c r="D217" i="83" s="1"/>
  <c r="V216" i="83" a="1"/>
  <c r="U216" i="83"/>
  <c r="D216" i="83" a="1"/>
  <c r="D216" i="83" s="1"/>
  <c r="U211" i="83" a="1"/>
  <c r="U211" i="83" s="1"/>
  <c r="U207" i="83"/>
  <c r="U206" i="83"/>
  <c r="U205" i="83"/>
  <c r="U204" i="83"/>
  <c r="U203" i="83"/>
  <c r="U202" i="83"/>
  <c r="U201" i="83"/>
  <c r="U200" i="83"/>
  <c r="U199" i="83"/>
  <c r="E199" i="83" a="1"/>
  <c r="E199" i="83" s="1"/>
  <c r="U198" i="83"/>
  <c r="U197" i="83"/>
  <c r="U196" i="83"/>
  <c r="U191" i="83"/>
  <c r="E191" i="83" a="1"/>
  <c r="U190" i="83"/>
  <c r="U189" i="83"/>
  <c r="U188" i="83"/>
  <c r="U187" i="83"/>
  <c r="U186" i="83"/>
  <c r="I186" i="83" a="1"/>
  <c r="I186" i="83" s="1"/>
  <c r="U185" i="83"/>
  <c r="I185" i="83" a="1"/>
  <c r="I185" i="83" s="1"/>
  <c r="U184" i="83"/>
  <c r="I184" i="83" a="1"/>
  <c r="I184" i="83" s="1"/>
  <c r="G184" i="83" a="1"/>
  <c r="G184" i="83" s="1"/>
  <c r="D184" i="83" a="1"/>
  <c r="D184" i="83" s="1"/>
  <c r="U183" i="83"/>
  <c r="U182" i="83"/>
  <c r="E182" i="83" a="1"/>
  <c r="E182" i="83" s="1"/>
  <c r="O207" i="83" s="1"/>
  <c r="U181" i="83"/>
  <c r="E181" i="83" a="1"/>
  <c r="E181" i="83" s="1"/>
  <c r="U180" i="83"/>
  <c r="D177" i="83" a="1"/>
  <c r="D177" i="83" s="1"/>
  <c r="D176" i="83" a="1"/>
  <c r="D176" i="83" s="1"/>
  <c r="U175" i="83"/>
  <c r="U174" i="83"/>
  <c r="U173" i="83"/>
  <c r="U172" i="83"/>
  <c r="U171" i="83"/>
  <c r="U170" i="83"/>
  <c r="U169" i="83"/>
  <c r="U168" i="83"/>
  <c r="U167" i="83"/>
  <c r="U166" i="83"/>
  <c r="U165" i="83"/>
  <c r="U164" i="83"/>
  <c r="E164" i="83" a="1"/>
  <c r="E164" i="83" s="1"/>
  <c r="E163" i="83" a="1"/>
  <c r="E163" i="83" s="1"/>
  <c r="E162" i="83" a="1"/>
  <c r="E162" i="83" s="1"/>
  <c r="E161" i="83" a="1"/>
  <c r="E161" i="83" s="1"/>
  <c r="U151" i="83" a="1"/>
  <c r="U151" i="83" s="1"/>
  <c r="U147" i="83"/>
  <c r="I147" i="83"/>
  <c r="U146" i="83"/>
  <c r="I146" i="83" a="1"/>
  <c r="I146" i="83" s="1"/>
  <c r="U145" i="83"/>
  <c r="I145" i="83" a="1"/>
  <c r="I145" i="83" s="1"/>
  <c r="U144" i="83"/>
  <c r="I144" i="83" a="1"/>
  <c r="I144" i="83" s="1"/>
  <c r="U143" i="83"/>
  <c r="I143" i="83" a="1"/>
  <c r="I143" i="83" s="1"/>
  <c r="U142" i="83"/>
  <c r="I142" i="83" a="1"/>
  <c r="I142" i="83" s="1"/>
  <c r="G142" i="83" a="1"/>
  <c r="G142" i="83" s="1"/>
  <c r="D142" i="83" a="1"/>
  <c r="D142" i="83" s="1"/>
  <c r="U141" i="83"/>
  <c r="U140" i="83"/>
  <c r="E140" i="83" a="1"/>
  <c r="E140" i="83" s="1"/>
  <c r="AF199" i="83" s="1"/>
  <c r="U139" i="83"/>
  <c r="E139" i="83" a="1"/>
  <c r="E139" i="83" s="1"/>
  <c r="U138" i="83"/>
  <c r="U137" i="83"/>
  <c r="U136" i="83"/>
  <c r="D135" i="83" a="1"/>
  <c r="D135" i="83" s="1"/>
  <c r="D134" i="83" a="1"/>
  <c r="D134" i="83" s="1"/>
  <c r="U131" i="83"/>
  <c r="U130" i="83"/>
  <c r="U129" i="83"/>
  <c r="U128" i="83"/>
  <c r="U127" i="83"/>
  <c r="U126" i="83"/>
  <c r="U125" i="83"/>
  <c r="U124" i="83"/>
  <c r="U123" i="83"/>
  <c r="U122" i="83"/>
  <c r="D122" i="83"/>
  <c r="U121" i="83"/>
  <c r="D121" i="83"/>
  <c r="U120" i="83"/>
  <c r="D120" i="83"/>
  <c r="D119" i="83"/>
  <c r="U115" i="83" a="1"/>
  <c r="U115" i="83" s="1"/>
  <c r="I114" i="83" a="1"/>
  <c r="I114" i="83" s="1"/>
  <c r="I113" i="83" a="1"/>
  <c r="I113" i="83" s="1"/>
  <c r="I112" i="83" a="1"/>
  <c r="I112" i="83" s="1"/>
  <c r="U111" i="83"/>
  <c r="I111" i="83" a="1"/>
  <c r="I111" i="83" s="1"/>
  <c r="G111" i="83" a="1"/>
  <c r="G111" i="83" s="1"/>
  <c r="D111" i="83" a="1"/>
  <c r="D111" i="83" s="1"/>
  <c r="U110" i="83"/>
  <c r="U109" i="83"/>
  <c r="E109" i="83" a="1"/>
  <c r="E109" i="83" s="1"/>
  <c r="AF143" i="83" s="1"/>
  <c r="U108" i="83"/>
  <c r="E108" i="83" a="1"/>
  <c r="E108" i="83" s="1"/>
  <c r="U107" i="83"/>
  <c r="U106" i="83"/>
  <c r="U105" i="83"/>
  <c r="U104" i="83"/>
  <c r="U103" i="83"/>
  <c r="D103" i="83" a="1"/>
  <c r="D103" i="83" s="1"/>
  <c r="U102" i="83"/>
  <c r="D102" i="83" a="1"/>
  <c r="D102" i="83" s="1"/>
  <c r="U101" i="83"/>
  <c r="U100" i="83"/>
  <c r="D98" i="83"/>
  <c r="D97" i="83"/>
  <c r="D96" i="83"/>
  <c r="D95" i="83"/>
  <c r="U87" i="83" a="1"/>
  <c r="U87" i="83" s="1"/>
  <c r="U83" i="83"/>
  <c r="U82" i="83"/>
  <c r="I82" i="83"/>
  <c r="U81" i="83"/>
  <c r="U80" i="83"/>
  <c r="U79" i="83"/>
  <c r="I79" i="83" a="1"/>
  <c r="I79" i="83" s="1"/>
  <c r="U78" i="83"/>
  <c r="I78" i="83" a="1"/>
  <c r="I78" i="83" s="1"/>
  <c r="G78" i="83" a="1"/>
  <c r="G78" i="83" s="1"/>
  <c r="D78" i="83" a="1"/>
  <c r="D78" i="83" s="1"/>
  <c r="U77" i="83"/>
  <c r="U76" i="83"/>
  <c r="E76" i="83" a="1"/>
  <c r="E76" i="83" s="1"/>
  <c r="U75" i="83"/>
  <c r="E75" i="83" a="1"/>
  <c r="E75" i="83" s="1"/>
  <c r="U74" i="83"/>
  <c r="U73" i="83"/>
  <c r="U72" i="83"/>
  <c r="D70" i="83" a="1"/>
  <c r="D70" i="83" s="1"/>
  <c r="D69" i="83" a="1"/>
  <c r="D69" i="83" s="1"/>
  <c r="U67" i="83"/>
  <c r="U66" i="83"/>
  <c r="U65" i="83"/>
  <c r="U64" i="83"/>
  <c r="U63" i="83"/>
  <c r="U62" i="83"/>
  <c r="U61" i="83"/>
  <c r="U60" i="83"/>
  <c r="U59" i="83"/>
  <c r="U58" i="83"/>
  <c r="U57" i="83"/>
  <c r="U56" i="83"/>
  <c r="U51" i="83" a="1"/>
  <c r="U51" i="83" s="1"/>
  <c r="I49" i="83" a="1"/>
  <c r="I49" i="83" s="1"/>
  <c r="I48" i="83" a="1"/>
  <c r="I48" i="83" s="1"/>
  <c r="G48" i="83" a="1"/>
  <c r="G48" i="83" s="1"/>
  <c r="D48" i="83" a="1"/>
  <c r="D48" i="83" s="1"/>
  <c r="U47" i="83"/>
  <c r="U46" i="83"/>
  <c r="E46" i="83" a="1"/>
  <c r="E46" i="83" s="1"/>
  <c r="U45" i="83"/>
  <c r="E45" i="83" a="1"/>
  <c r="E45" i="83" s="1"/>
  <c r="U44" i="83"/>
  <c r="U43" i="83"/>
  <c r="U42" i="83"/>
  <c r="U41" i="83"/>
  <c r="D41" i="83" a="1"/>
  <c r="D41" i="83" s="1"/>
  <c r="U40" i="83"/>
  <c r="D40" i="83" a="1"/>
  <c r="D40" i="83" s="1"/>
  <c r="U39" i="83"/>
  <c r="U38" i="83"/>
  <c r="U37" i="83"/>
  <c r="U36" i="83"/>
  <c r="D36" i="83"/>
  <c r="D35" i="83"/>
  <c r="D34" i="83"/>
  <c r="D33" i="83"/>
  <c r="U31" i="83"/>
  <c r="U30" i="83"/>
  <c r="U29" i="83"/>
  <c r="U28" i="83"/>
  <c r="U27" i="83"/>
  <c r="U26" i="83"/>
  <c r="U25" i="83"/>
  <c r="U24" i="83"/>
  <c r="U23" i="83"/>
  <c r="D23" i="83"/>
  <c r="U22" i="83"/>
  <c r="D22" i="83"/>
  <c r="U21" i="83"/>
  <c r="D21" i="83"/>
  <c r="U20" i="83"/>
  <c r="D20" i="83"/>
  <c r="H15" i="83"/>
  <c r="H14" i="83" a="1"/>
  <c r="H14" i="83" s="1"/>
  <c r="H13" i="83" a="1"/>
  <c r="H13" i="83" s="1"/>
  <c r="F13" i="83" a="1"/>
  <c r="F13" i="83" s="1"/>
  <c r="D13" i="83" a="1"/>
  <c r="D13" i="83" s="1"/>
  <c r="E11" i="83" a="1"/>
  <c r="E11" i="83" s="1"/>
  <c r="E10" i="83" a="1"/>
  <c r="E10" i="83" s="1"/>
  <c r="D6" i="83" a="1"/>
  <c r="D6" i="83" s="1"/>
  <c r="D5" i="83" a="1"/>
  <c r="D5" i="83" s="1"/>
  <c r="Y281" i="82" a="1"/>
  <c r="Y281" i="82" s="1"/>
  <c r="W278" i="82" a="1"/>
  <c r="W278" i="82" s="1"/>
  <c r="F249" i="82" a="1"/>
  <c r="F249" i="82" s="1"/>
  <c r="W246" i="82"/>
  <c r="X274" i="82" s="1"/>
  <c r="D246" i="82" a="1"/>
  <c r="D246" i="82" s="1"/>
  <c r="W245" i="82"/>
  <c r="X261" i="82" s="1"/>
  <c r="W244" i="82"/>
  <c r="W243" i="82"/>
  <c r="X271" i="82" s="1"/>
  <c r="W242" i="82"/>
  <c r="W241" i="82"/>
  <c r="W240" i="82"/>
  <c r="X268" i="82" s="1"/>
  <c r="W239" i="82"/>
  <c r="X255" i="82" s="1"/>
  <c r="W238" i="82"/>
  <c r="X266" i="82" s="1"/>
  <c r="W237" i="82"/>
  <c r="W236" i="82"/>
  <c r="X252" i="82" s="1"/>
  <c r="W235" i="82"/>
  <c r="W230" i="82"/>
  <c r="W229" i="82"/>
  <c r="W228" i="82"/>
  <c r="W227" i="82"/>
  <c r="E227" i="82" a="1"/>
  <c r="E227" i="82" s="1"/>
  <c r="W226" i="82"/>
  <c r="W225" i="82"/>
  <c r="W224" i="82"/>
  <c r="W223" i="82"/>
  <c r="W222" i="82"/>
  <c r="W221" i="82"/>
  <c r="W220" i="82"/>
  <c r="X219" i="82" a="1"/>
  <c r="X219" i="82" s="1"/>
  <c r="W219" i="82"/>
  <c r="E219" i="82" a="1"/>
  <c r="I214" i="82" a="1"/>
  <c r="I214" i="82" s="1"/>
  <c r="I213" i="82" a="1"/>
  <c r="I213" i="82" s="1"/>
  <c r="I212" i="82" a="1"/>
  <c r="I212" i="82" s="1"/>
  <c r="G212" i="82" a="1"/>
  <c r="G212" i="82" s="1"/>
  <c r="D212" i="82" a="1"/>
  <c r="D212" i="82" s="1"/>
  <c r="E210" i="82" a="1"/>
  <c r="E210" i="82" s="1"/>
  <c r="AI271" i="82" s="1"/>
  <c r="E209" i="82" a="1"/>
  <c r="E209" i="82" s="1"/>
  <c r="D205" i="82" a="1"/>
  <c r="D205" i="82" s="1"/>
  <c r="D204" i="82" a="1"/>
  <c r="D204" i="82" s="1"/>
  <c r="I160" i="82"/>
  <c r="AB159" i="82"/>
  <c r="I159" i="82"/>
  <c r="I157" i="82" a="1"/>
  <c r="I157" i="82" s="1"/>
  <c r="I156" i="82" a="1"/>
  <c r="I156" i="82" s="1"/>
  <c r="Z154" i="82" a="1"/>
  <c r="Z154" i="82" s="1"/>
  <c r="W154" i="82" a="1"/>
  <c r="W154" i="82" s="1"/>
  <c r="I154" i="82" a="1"/>
  <c r="I154" i="82" s="1"/>
  <c r="G154" i="82" a="1"/>
  <c r="G154" i="82" s="1"/>
  <c r="D154" i="82" a="1"/>
  <c r="D154" i="82" s="1"/>
  <c r="E152" i="82" a="1"/>
  <c r="E152" i="82" s="1"/>
  <c r="P179" i="82" s="1"/>
  <c r="E151" i="82" a="1"/>
  <c r="E151" i="82" s="1"/>
  <c r="D147" i="82" a="1"/>
  <c r="D147" i="82" s="1"/>
  <c r="D146" i="82" a="1"/>
  <c r="D146" i="82" s="1"/>
  <c r="W126" i="82"/>
  <c r="W142" i="82" s="1"/>
  <c r="W125" i="82"/>
  <c r="W141" i="82" s="1"/>
  <c r="W124" i="82"/>
  <c r="W140" i="82" s="1"/>
  <c r="W123" i="82"/>
  <c r="W139" i="82" s="1"/>
  <c r="X197" i="82" s="1"/>
  <c r="W122" i="82"/>
  <c r="W138" i="82" s="1"/>
  <c r="W121" i="82"/>
  <c r="W137" i="82" s="1"/>
  <c r="W120" i="82"/>
  <c r="W136" i="82" s="1"/>
  <c r="W119" i="82"/>
  <c r="W135" i="82" s="1"/>
  <c r="W118" i="82"/>
  <c r="W134" i="82" s="1"/>
  <c r="W117" i="82"/>
  <c r="W133" i="82" s="1"/>
  <c r="W116" i="82"/>
  <c r="W132" i="82" s="1"/>
  <c r="W115" i="82"/>
  <c r="W131" i="82" s="1"/>
  <c r="I110" i="82"/>
  <c r="I109" i="82" a="1"/>
  <c r="I109" i="82" s="1"/>
  <c r="I108" i="82" a="1"/>
  <c r="I108" i="82" s="1"/>
  <c r="G108" i="82" a="1"/>
  <c r="G108" i="82" s="1"/>
  <c r="D108" i="82" a="1"/>
  <c r="D108" i="82" s="1"/>
  <c r="E106" i="82" a="1"/>
  <c r="E106" i="82" s="1"/>
  <c r="AH135" i="82" s="1"/>
  <c r="E105" i="82" a="1"/>
  <c r="E105" i="82" s="1"/>
  <c r="D100" i="82" a="1"/>
  <c r="D100" i="82" s="1"/>
  <c r="D99" i="82" a="1"/>
  <c r="D99" i="82" s="1"/>
  <c r="W87" i="82"/>
  <c r="W86" i="82"/>
  <c r="W85" i="82"/>
  <c r="W84" i="82"/>
  <c r="W83" i="82"/>
  <c r="W82" i="82"/>
  <c r="W81" i="82"/>
  <c r="W80" i="82"/>
  <c r="W79" i="82"/>
  <c r="W78" i="82"/>
  <c r="W77" i="82"/>
  <c r="W76" i="82"/>
  <c r="W71" i="82"/>
  <c r="D71" i="82"/>
  <c r="W70" i="82"/>
  <c r="D70" i="82"/>
  <c r="W69" i="82"/>
  <c r="D69" i="82"/>
  <c r="W68" i="82"/>
  <c r="D68" i="82"/>
  <c r="W67" i="82"/>
  <c r="W66" i="82"/>
  <c r="W65" i="82"/>
  <c r="W64" i="82"/>
  <c r="W63" i="82"/>
  <c r="W62" i="82"/>
  <c r="W61" i="82"/>
  <c r="W60" i="82"/>
  <c r="W55" i="82"/>
  <c r="D55" i="82"/>
  <c r="W54" i="82"/>
  <c r="D54" i="82"/>
  <c r="W53" i="82"/>
  <c r="D53" i="82"/>
  <c r="W52" i="82"/>
  <c r="D52" i="82"/>
  <c r="W51" i="82"/>
  <c r="W50" i="82"/>
  <c r="W49" i="82"/>
  <c r="W48" i="82"/>
  <c r="W47" i="82"/>
  <c r="I47" i="82" a="1"/>
  <c r="I47" i="82" s="1"/>
  <c r="W46" i="82"/>
  <c r="I46" i="82" a="1"/>
  <c r="I46" i="82" s="1"/>
  <c r="W45" i="82"/>
  <c r="I45" i="82" a="1"/>
  <c r="I45" i="82" s="1"/>
  <c r="G45" i="82" a="1"/>
  <c r="G45" i="82" s="1"/>
  <c r="D45" i="82" a="1"/>
  <c r="D45" i="82" s="1"/>
  <c r="W44" i="82"/>
  <c r="E43" i="82" a="1"/>
  <c r="E43" i="82" s="1"/>
  <c r="O85" i="82" s="1"/>
  <c r="O55" i="83" s="1"/>
  <c r="E42" i="82" a="1"/>
  <c r="E42" i="82" s="1"/>
  <c r="W39" i="82"/>
  <c r="W38" i="82"/>
  <c r="D38" i="82" a="1"/>
  <c r="D38" i="82" s="1"/>
  <c r="W37" i="82"/>
  <c r="D37" i="82" a="1"/>
  <c r="D37" i="82" s="1"/>
  <c r="W36" i="82"/>
  <c r="W35" i="82"/>
  <c r="W34" i="82"/>
  <c r="W33" i="82"/>
  <c r="H33" i="82"/>
  <c r="W32" i="82"/>
  <c r="G32" i="82"/>
  <c r="W31" i="82"/>
  <c r="W30" i="82"/>
  <c r="W29" i="82"/>
  <c r="W28" i="82"/>
  <c r="J16" i="82"/>
  <c r="J13" i="82" a="1"/>
  <c r="J13" i="82" s="1"/>
  <c r="H13" i="82" a="1"/>
  <c r="H13" i="82" s="1"/>
  <c r="D13" i="82" a="1"/>
  <c r="D13" i="82" s="1"/>
  <c r="E11" i="82" a="1"/>
  <c r="E11" i="82" s="1"/>
  <c r="E10" i="82" a="1"/>
  <c r="E10" i="82" s="1"/>
  <c r="D6" i="82" a="1"/>
  <c r="D6" i="82" s="1"/>
  <c r="D5" i="82" a="1"/>
  <c r="D5" i="82" s="1"/>
  <c r="D172" i="81"/>
  <c r="D171" i="81"/>
  <c r="D170" i="81"/>
  <c r="D169" i="81"/>
  <c r="D168" i="81"/>
  <c r="D167" i="81"/>
  <c r="D166" i="81"/>
  <c r="D165" i="81"/>
  <c r="D164" i="81"/>
  <c r="D163" i="81"/>
  <c r="D162" i="81"/>
  <c r="D161" i="81"/>
  <c r="D150" i="81"/>
  <c r="D149" i="81"/>
  <c r="D148" i="81"/>
  <c r="D147" i="81"/>
  <c r="D146" i="81"/>
  <c r="D145" i="81"/>
  <c r="D144" i="81"/>
  <c r="D143" i="81"/>
  <c r="D142" i="81"/>
  <c r="D141" i="81"/>
  <c r="D140" i="81"/>
  <c r="D139" i="81"/>
  <c r="G128" i="81"/>
  <c r="F128" i="81"/>
  <c r="E128" i="81"/>
  <c r="D125" i="81"/>
  <c r="K124" i="81"/>
  <c r="J124" i="81"/>
  <c r="L124" i="81" s="1"/>
  <c r="K123" i="81"/>
  <c r="M124" i="81" s="1"/>
  <c r="J123" i="81"/>
  <c r="K122" i="81"/>
  <c r="J122" i="81"/>
  <c r="K121" i="81"/>
  <c r="M122" i="81" s="1"/>
  <c r="J121" i="81"/>
  <c r="M121" i="81" s="1"/>
  <c r="E121" i="81"/>
  <c r="D127" i="81" s="1"/>
  <c r="E120" i="81"/>
  <c r="D126" i="81" s="1"/>
  <c r="M114" i="81"/>
  <c r="L114" i="81"/>
  <c r="M113" i="81"/>
  <c r="L113" i="81"/>
  <c r="M112" i="81"/>
  <c r="L112" i="81"/>
  <c r="M111" i="81"/>
  <c r="L111" i="81"/>
  <c r="D111" i="81"/>
  <c r="D100" i="81"/>
  <c r="D99" i="81"/>
  <c r="D98" i="81"/>
  <c r="D97" i="81"/>
  <c r="D96" i="81"/>
  <c r="D95" i="81"/>
  <c r="D94" i="81"/>
  <c r="D93" i="81"/>
  <c r="D92" i="81"/>
  <c r="D91" i="81"/>
  <c r="D90" i="81"/>
  <c r="D89" i="81"/>
  <c r="D78" i="81"/>
  <c r="D77" i="81"/>
  <c r="D76" i="81"/>
  <c r="D75" i="81"/>
  <c r="D74" i="81"/>
  <c r="D73" i="81"/>
  <c r="D72" i="81"/>
  <c r="D71" i="81"/>
  <c r="D70" i="81"/>
  <c r="D69" i="81"/>
  <c r="D68" i="81"/>
  <c r="D67" i="81"/>
  <c r="D56" i="81"/>
  <c r="D55" i="81"/>
  <c r="D54" i="81"/>
  <c r="D53" i="81"/>
  <c r="D52" i="81"/>
  <c r="D51" i="81"/>
  <c r="D50" i="81"/>
  <c r="D49" i="81"/>
  <c r="D48" i="81"/>
  <c r="D47" i="81"/>
  <c r="D46" i="81"/>
  <c r="D45" i="81"/>
  <c r="D34" i="81"/>
  <c r="N34" i="81" s="1"/>
  <c r="D33" i="81"/>
  <c r="M33" i="81" s="1"/>
  <c r="D32" i="81"/>
  <c r="J32" i="81" s="1"/>
  <c r="D31" i="81"/>
  <c r="F31" i="81" s="1"/>
  <c r="D30" i="81"/>
  <c r="K30" i="81" s="1"/>
  <c r="D29" i="81"/>
  <c r="N29" i="81" s="1"/>
  <c r="D28" i="81"/>
  <c r="L28" i="81" s="1"/>
  <c r="D27" i="81"/>
  <c r="I27" i="81" s="1"/>
  <c r="D26" i="81"/>
  <c r="E26" i="81" s="1"/>
  <c r="D25" i="81"/>
  <c r="N25" i="81" s="1"/>
  <c r="D24" i="81"/>
  <c r="N24" i="81" s="1"/>
  <c r="D23" i="81"/>
  <c r="L23" i="81" s="1"/>
  <c r="E7" i="81"/>
  <c r="I483" i="80" a="1"/>
  <c r="I483" i="80" s="1"/>
  <c r="H483" i="80" a="1"/>
  <c r="H483" i="80" s="1"/>
  <c r="G483" i="80" a="1"/>
  <c r="G483" i="80" s="1"/>
  <c r="F483" i="80" a="1"/>
  <c r="F483" i="80" s="1"/>
  <c r="E483" i="80" a="1"/>
  <c r="E483" i="80" s="1"/>
  <c r="D483" i="80" a="1"/>
  <c r="D483" i="80" s="1"/>
  <c r="I482" i="80" a="1"/>
  <c r="I482" i="80" s="1"/>
  <c r="H482" i="80" a="1"/>
  <c r="H482" i="80" s="1"/>
  <c r="G482" i="80" a="1"/>
  <c r="G482" i="80" s="1"/>
  <c r="F482" i="80" a="1"/>
  <c r="F482" i="80" s="1"/>
  <c r="E482" i="80" a="1"/>
  <c r="E482" i="80" s="1"/>
  <c r="D482" i="80" a="1"/>
  <c r="D482" i="80" s="1"/>
  <c r="I481" i="80" a="1"/>
  <c r="I481" i="80" s="1"/>
  <c r="H481" i="80" a="1"/>
  <c r="H481" i="80" s="1"/>
  <c r="G481" i="80" a="1"/>
  <c r="G481" i="80" s="1"/>
  <c r="F481" i="80" a="1"/>
  <c r="F481" i="80" s="1"/>
  <c r="E481" i="80" a="1"/>
  <c r="E481" i="80" s="1"/>
  <c r="D481" i="80" a="1"/>
  <c r="D481" i="80" s="1"/>
  <c r="I480" i="80" a="1"/>
  <c r="I480" i="80" s="1"/>
  <c r="H480" i="80" a="1"/>
  <c r="H480" i="80" s="1"/>
  <c r="G480" i="80" a="1"/>
  <c r="G480" i="80" s="1"/>
  <c r="F480" i="80" a="1"/>
  <c r="F480" i="80" s="1"/>
  <c r="E480" i="80" a="1"/>
  <c r="E480" i="80" s="1"/>
  <c r="D480" i="80" a="1"/>
  <c r="D480" i="80" s="1"/>
  <c r="I479" i="80" a="1"/>
  <c r="I479" i="80" s="1"/>
  <c r="H479" i="80" a="1"/>
  <c r="H479" i="80" s="1"/>
  <c r="G479" i="80" a="1"/>
  <c r="G479" i="80" s="1"/>
  <c r="F479" i="80" a="1"/>
  <c r="F479" i="80" s="1"/>
  <c r="E479" i="80" a="1"/>
  <c r="E479" i="80" s="1"/>
  <c r="D479" i="80" a="1"/>
  <c r="D479" i="80" s="1"/>
  <c r="I478" i="80" a="1"/>
  <c r="I478" i="80" s="1"/>
  <c r="H478" i="80" a="1"/>
  <c r="H478" i="80" s="1"/>
  <c r="G478" i="80" a="1"/>
  <c r="G478" i="80" s="1"/>
  <c r="F478" i="80" a="1"/>
  <c r="F478" i="80" s="1"/>
  <c r="E478" i="80" a="1"/>
  <c r="E478" i="80" s="1"/>
  <c r="D478" i="80" a="1"/>
  <c r="D478" i="80" s="1"/>
  <c r="I477" i="80" a="1"/>
  <c r="I477" i="80" s="1"/>
  <c r="H477" i="80" a="1"/>
  <c r="H477" i="80" s="1"/>
  <c r="G477" i="80" a="1"/>
  <c r="G477" i="80" s="1"/>
  <c r="F477" i="80" a="1"/>
  <c r="F477" i="80" s="1"/>
  <c r="E477" i="80" a="1"/>
  <c r="E477" i="80" s="1"/>
  <c r="D477" i="80" a="1"/>
  <c r="D477" i="80" s="1"/>
  <c r="I476" i="80" a="1"/>
  <c r="I476" i="80" s="1"/>
  <c r="H476" i="80" a="1"/>
  <c r="H476" i="80" s="1"/>
  <c r="G476" i="80" a="1"/>
  <c r="G476" i="80" s="1"/>
  <c r="F476" i="80" a="1"/>
  <c r="F476" i="80" s="1"/>
  <c r="E476" i="80" a="1"/>
  <c r="E476" i="80" s="1"/>
  <c r="D476" i="80" a="1"/>
  <c r="D476" i="80" s="1"/>
  <c r="I475" i="80" a="1"/>
  <c r="I475" i="80" s="1"/>
  <c r="H475" i="80" a="1"/>
  <c r="H475" i="80" s="1"/>
  <c r="G475" i="80" a="1"/>
  <c r="G475" i="80" s="1"/>
  <c r="F475" i="80" a="1"/>
  <c r="F475" i="80" s="1"/>
  <c r="E475" i="80" a="1"/>
  <c r="E475" i="80" s="1"/>
  <c r="D475" i="80" a="1"/>
  <c r="D475" i="80" s="1"/>
  <c r="I474" i="80" a="1"/>
  <c r="I474" i="80" s="1"/>
  <c r="H474" i="80" a="1"/>
  <c r="H474" i="80" s="1"/>
  <c r="G474" i="80" a="1"/>
  <c r="G474" i="80" s="1"/>
  <c r="F474" i="80" a="1"/>
  <c r="F474" i="80" s="1"/>
  <c r="E474" i="80" a="1"/>
  <c r="E474" i="80" s="1"/>
  <c r="D474" i="80" a="1"/>
  <c r="D474" i="80" s="1"/>
  <c r="I473" i="80" a="1"/>
  <c r="I473" i="80" s="1"/>
  <c r="H473" i="80" a="1"/>
  <c r="H473" i="80" s="1"/>
  <c r="G473" i="80" a="1"/>
  <c r="G473" i="80" s="1"/>
  <c r="F473" i="80" a="1"/>
  <c r="F473" i="80" s="1"/>
  <c r="E473" i="80" a="1"/>
  <c r="E473" i="80" s="1"/>
  <c r="D473" i="80" a="1"/>
  <c r="D473" i="80" s="1"/>
  <c r="I472" i="80" a="1"/>
  <c r="I472" i="80" s="1"/>
  <c r="H472" i="80" a="1"/>
  <c r="H472" i="80" s="1"/>
  <c r="G472" i="80" a="1"/>
  <c r="G472" i="80" s="1"/>
  <c r="F472" i="80" a="1"/>
  <c r="F472" i="80" s="1"/>
  <c r="E472" i="80" a="1"/>
  <c r="E472" i="80" s="1"/>
  <c r="D472" i="80" a="1"/>
  <c r="D472" i="80" s="1"/>
  <c r="I471" i="80" a="1"/>
  <c r="I471" i="80" s="1"/>
  <c r="H471" i="80" a="1"/>
  <c r="H471" i="80" s="1"/>
  <c r="G471" i="80" a="1"/>
  <c r="G471" i="80" s="1"/>
  <c r="F471" i="80" a="1"/>
  <c r="F471" i="80" s="1"/>
  <c r="E471" i="80" a="1"/>
  <c r="E471" i="80" s="1"/>
  <c r="D471" i="80" a="1"/>
  <c r="D471" i="80" s="1"/>
  <c r="I470" i="80" a="1"/>
  <c r="I470" i="80" s="1"/>
  <c r="H470" i="80" a="1"/>
  <c r="H470" i="80" s="1"/>
  <c r="G470" i="80" a="1"/>
  <c r="G470" i="80" s="1"/>
  <c r="F470" i="80" a="1"/>
  <c r="F470" i="80" s="1"/>
  <c r="E470" i="80" a="1"/>
  <c r="E470" i="80" s="1"/>
  <c r="D470" i="80" a="1"/>
  <c r="D470" i="80" s="1"/>
  <c r="I469" i="80" a="1"/>
  <c r="I469" i="80" s="1"/>
  <c r="H469" i="80" a="1"/>
  <c r="H469" i="80" s="1"/>
  <c r="G469" i="80" a="1"/>
  <c r="G469" i="80" s="1"/>
  <c r="F469" i="80" a="1"/>
  <c r="F469" i="80" s="1"/>
  <c r="E469" i="80" a="1"/>
  <c r="E469" i="80" s="1"/>
  <c r="D469" i="80" a="1"/>
  <c r="D469" i="80" s="1"/>
  <c r="I468" i="80" a="1"/>
  <c r="I468" i="80" s="1"/>
  <c r="H468" i="80" a="1"/>
  <c r="H468" i="80" s="1"/>
  <c r="G468" i="80" a="1"/>
  <c r="G468" i="80" s="1"/>
  <c r="F468" i="80" a="1"/>
  <c r="F468" i="80" s="1"/>
  <c r="E468" i="80" a="1"/>
  <c r="E468" i="80" s="1"/>
  <c r="D468" i="80" a="1"/>
  <c r="D468" i="80" s="1"/>
  <c r="I467" i="80" a="1"/>
  <c r="I467" i="80" s="1"/>
  <c r="H467" i="80" a="1"/>
  <c r="H467" i="80" s="1"/>
  <c r="G467" i="80" a="1"/>
  <c r="G467" i="80" s="1"/>
  <c r="F467" i="80" a="1"/>
  <c r="F467" i="80" s="1"/>
  <c r="E467" i="80" a="1"/>
  <c r="E467" i="80" s="1"/>
  <c r="D467" i="80" a="1"/>
  <c r="D467" i="80" s="1"/>
  <c r="I466" i="80" a="1"/>
  <c r="I466" i="80" s="1"/>
  <c r="H466" i="80" a="1"/>
  <c r="H466" i="80" s="1"/>
  <c r="G466" i="80" a="1"/>
  <c r="G466" i="80" s="1"/>
  <c r="F466" i="80" a="1"/>
  <c r="F466" i="80" s="1"/>
  <c r="E466" i="80" a="1"/>
  <c r="E466" i="80" s="1"/>
  <c r="D466" i="80" a="1"/>
  <c r="D466" i="80" s="1"/>
  <c r="I465" i="80" a="1"/>
  <c r="I465" i="80" s="1"/>
  <c r="H465" i="80" a="1"/>
  <c r="H465" i="80" s="1"/>
  <c r="G465" i="80" a="1"/>
  <c r="G465" i="80" s="1"/>
  <c r="F465" i="80" a="1"/>
  <c r="F465" i="80" s="1"/>
  <c r="E465" i="80" a="1"/>
  <c r="E465" i="80" s="1"/>
  <c r="D465" i="80" a="1"/>
  <c r="D465" i="80" s="1"/>
  <c r="I464" i="80" a="1"/>
  <c r="I464" i="80" s="1"/>
  <c r="H464" i="80" a="1"/>
  <c r="H464" i="80" s="1"/>
  <c r="G464" i="80" a="1"/>
  <c r="G464" i="80" s="1"/>
  <c r="F464" i="80" a="1"/>
  <c r="F464" i="80" s="1"/>
  <c r="E464" i="80" a="1"/>
  <c r="E464" i="80" s="1"/>
  <c r="D464" i="80" a="1"/>
  <c r="D464" i="80" s="1"/>
  <c r="I463" i="80" a="1"/>
  <c r="I463" i="80" s="1"/>
  <c r="H463" i="80" a="1"/>
  <c r="H463" i="80" s="1"/>
  <c r="G463" i="80" a="1"/>
  <c r="G463" i="80" s="1"/>
  <c r="F463" i="80" a="1"/>
  <c r="F463" i="80" s="1"/>
  <c r="E463" i="80" a="1"/>
  <c r="E463" i="80" s="1"/>
  <c r="D463" i="80" a="1"/>
  <c r="D463" i="80" s="1"/>
  <c r="I462" i="80" a="1"/>
  <c r="I462" i="80" s="1"/>
  <c r="H462" i="80" a="1"/>
  <c r="H462" i="80" s="1"/>
  <c r="G462" i="80" a="1"/>
  <c r="G462" i="80" s="1"/>
  <c r="F462" i="80" a="1"/>
  <c r="F462" i="80" s="1"/>
  <c r="E462" i="80" a="1"/>
  <c r="E462" i="80" s="1"/>
  <c r="D462" i="80" a="1"/>
  <c r="D462" i="80" s="1"/>
  <c r="I461" i="80" a="1"/>
  <c r="I461" i="80" s="1"/>
  <c r="H461" i="80" a="1"/>
  <c r="H461" i="80" s="1"/>
  <c r="G461" i="80" a="1"/>
  <c r="G461" i="80" s="1"/>
  <c r="F461" i="80" a="1"/>
  <c r="F461" i="80" s="1"/>
  <c r="E461" i="80" a="1"/>
  <c r="E461" i="80" s="1"/>
  <c r="D461" i="80" a="1"/>
  <c r="D461" i="80" s="1"/>
  <c r="I460" i="80" a="1"/>
  <c r="I460" i="80" s="1"/>
  <c r="H460" i="80" a="1"/>
  <c r="H460" i="80" s="1"/>
  <c r="G460" i="80" a="1"/>
  <c r="G460" i="80" s="1"/>
  <c r="F460" i="80" a="1"/>
  <c r="F460" i="80" s="1"/>
  <c r="E460" i="80" a="1"/>
  <c r="E460" i="80" s="1"/>
  <c r="D460" i="80" a="1"/>
  <c r="D460" i="80" s="1"/>
  <c r="I459" i="80" a="1"/>
  <c r="I459" i="80" s="1"/>
  <c r="H459" i="80" a="1"/>
  <c r="H459" i="80" s="1"/>
  <c r="G459" i="80" a="1"/>
  <c r="G459" i="80" s="1"/>
  <c r="F459" i="80" a="1"/>
  <c r="F459" i="80" s="1"/>
  <c r="E459" i="80" a="1"/>
  <c r="E459" i="80" s="1"/>
  <c r="D459" i="80" a="1"/>
  <c r="D459" i="80" s="1"/>
  <c r="I458" i="80" a="1"/>
  <c r="I458" i="80" s="1"/>
  <c r="H458" i="80" a="1"/>
  <c r="H458" i="80" s="1"/>
  <c r="G458" i="80" a="1"/>
  <c r="G458" i="80" s="1"/>
  <c r="F458" i="80" a="1"/>
  <c r="F458" i="80" s="1"/>
  <c r="E458" i="80" a="1"/>
  <c r="E458" i="80" s="1"/>
  <c r="D458" i="80" a="1"/>
  <c r="D458" i="80" s="1"/>
  <c r="I457" i="80" a="1"/>
  <c r="I457" i="80" s="1"/>
  <c r="H457" i="80" a="1"/>
  <c r="H457" i="80" s="1"/>
  <c r="G457" i="80" a="1"/>
  <c r="G457" i="80" s="1"/>
  <c r="F457" i="80" a="1"/>
  <c r="F457" i="80" s="1"/>
  <c r="E457" i="80" a="1"/>
  <c r="E457" i="80" s="1"/>
  <c r="D457" i="80" a="1"/>
  <c r="D457" i="80" s="1"/>
  <c r="I456" i="80" a="1"/>
  <c r="I456" i="80" s="1"/>
  <c r="H456" i="80" a="1"/>
  <c r="H456" i="80" s="1"/>
  <c r="G456" i="80" a="1"/>
  <c r="G456" i="80" s="1"/>
  <c r="F456" i="80" a="1"/>
  <c r="F456" i="80" s="1"/>
  <c r="E456" i="80" a="1"/>
  <c r="E456" i="80" s="1"/>
  <c r="D456" i="80" a="1"/>
  <c r="D456" i="80" s="1"/>
  <c r="I455" i="80" a="1"/>
  <c r="I455" i="80" s="1"/>
  <c r="H455" i="80" a="1"/>
  <c r="H455" i="80" s="1"/>
  <c r="G455" i="80" a="1"/>
  <c r="G455" i="80" s="1"/>
  <c r="F455" i="80" a="1"/>
  <c r="F455" i="80" s="1"/>
  <c r="E455" i="80" a="1"/>
  <c r="E455" i="80" s="1"/>
  <c r="D455" i="80" a="1"/>
  <c r="D455" i="80" s="1"/>
  <c r="I454" i="80" a="1"/>
  <c r="I454" i="80" s="1"/>
  <c r="H454" i="80" a="1"/>
  <c r="H454" i="80" s="1"/>
  <c r="G454" i="80" a="1"/>
  <c r="G454" i="80" s="1"/>
  <c r="F454" i="80" a="1"/>
  <c r="F454" i="80" s="1"/>
  <c r="E454" i="80" a="1"/>
  <c r="E454" i="80" s="1"/>
  <c r="D454" i="80" a="1"/>
  <c r="D454" i="80" s="1"/>
  <c r="I453" i="80" a="1"/>
  <c r="I453" i="80" s="1"/>
  <c r="H453" i="80" a="1"/>
  <c r="H453" i="80" s="1"/>
  <c r="G453" i="80" a="1"/>
  <c r="G453" i="80" s="1"/>
  <c r="F453" i="80" a="1"/>
  <c r="F453" i="80" s="1"/>
  <c r="E453" i="80" a="1"/>
  <c r="E453" i="80" s="1"/>
  <c r="D453" i="80" a="1"/>
  <c r="D453" i="80" s="1"/>
  <c r="I452" i="80" a="1"/>
  <c r="I452" i="80" s="1"/>
  <c r="H452" i="80" a="1"/>
  <c r="H452" i="80" s="1"/>
  <c r="G452" i="80" a="1"/>
  <c r="G452" i="80" s="1"/>
  <c r="F452" i="80" a="1"/>
  <c r="F452" i="80" s="1"/>
  <c r="E452" i="80" a="1"/>
  <c r="E452" i="80" s="1"/>
  <c r="D452" i="80" a="1"/>
  <c r="D452" i="80" s="1"/>
  <c r="I451" i="80" a="1"/>
  <c r="I451" i="80" s="1"/>
  <c r="H451" i="80" a="1"/>
  <c r="H451" i="80" s="1"/>
  <c r="G451" i="80" a="1"/>
  <c r="G451" i="80" s="1"/>
  <c r="F451" i="80" a="1"/>
  <c r="F451" i="80" s="1"/>
  <c r="E451" i="80" a="1"/>
  <c r="E451" i="80" s="1"/>
  <c r="D451" i="80" a="1"/>
  <c r="D451" i="80" s="1"/>
  <c r="I450" i="80" a="1"/>
  <c r="I450" i="80" s="1"/>
  <c r="H450" i="80" a="1"/>
  <c r="H450" i="80" s="1"/>
  <c r="G450" i="80" a="1"/>
  <c r="G450" i="80" s="1"/>
  <c r="F450" i="80" a="1"/>
  <c r="F450" i="80" s="1"/>
  <c r="E450" i="80" a="1"/>
  <c r="E450" i="80" s="1"/>
  <c r="D450" i="80" a="1"/>
  <c r="D450" i="80" s="1"/>
  <c r="I449" i="80" a="1"/>
  <c r="I449" i="80" s="1"/>
  <c r="H449" i="80" a="1"/>
  <c r="H449" i="80" s="1"/>
  <c r="G449" i="80" a="1"/>
  <c r="G449" i="80" s="1"/>
  <c r="F449" i="80" a="1"/>
  <c r="F449" i="80" s="1"/>
  <c r="E449" i="80" a="1"/>
  <c r="E449" i="80" s="1"/>
  <c r="D449" i="80" a="1"/>
  <c r="D449" i="80" s="1"/>
  <c r="I448" i="80" a="1"/>
  <c r="I448" i="80" s="1"/>
  <c r="H448" i="80" a="1"/>
  <c r="H448" i="80" s="1"/>
  <c r="G448" i="80" a="1"/>
  <c r="G448" i="80" s="1"/>
  <c r="F448" i="80" a="1"/>
  <c r="F448" i="80" s="1"/>
  <c r="E448" i="80" a="1"/>
  <c r="E448" i="80" s="1"/>
  <c r="D448" i="80" a="1"/>
  <c r="D448" i="80" s="1"/>
  <c r="I447" i="80" a="1"/>
  <c r="I447" i="80" s="1"/>
  <c r="H447" i="80" a="1"/>
  <c r="H447" i="80" s="1"/>
  <c r="G447" i="80" a="1"/>
  <c r="G447" i="80" s="1"/>
  <c r="F447" i="80" a="1"/>
  <c r="F447" i="80" s="1"/>
  <c r="E447" i="80" a="1"/>
  <c r="E447" i="80" s="1"/>
  <c r="D447" i="80" a="1"/>
  <c r="D447" i="80" s="1"/>
  <c r="I446" i="80" a="1"/>
  <c r="I446" i="80" s="1"/>
  <c r="H446" i="80" a="1"/>
  <c r="H446" i="80" s="1"/>
  <c r="G446" i="80" a="1"/>
  <c r="G446" i="80" s="1"/>
  <c r="F446" i="80" a="1"/>
  <c r="F446" i="80" s="1"/>
  <c r="E446" i="80" a="1"/>
  <c r="E446" i="80" s="1"/>
  <c r="D446" i="80" a="1"/>
  <c r="D446" i="80" s="1"/>
  <c r="I445" i="80" a="1"/>
  <c r="I445" i="80" s="1"/>
  <c r="H445" i="80" a="1"/>
  <c r="H445" i="80" s="1"/>
  <c r="G445" i="80" a="1"/>
  <c r="G445" i="80" s="1"/>
  <c r="F445" i="80" a="1"/>
  <c r="F445" i="80" s="1"/>
  <c r="E445" i="80" a="1"/>
  <c r="E445" i="80" s="1"/>
  <c r="D445" i="80" a="1"/>
  <c r="D445" i="80" s="1"/>
  <c r="I444" i="80" a="1"/>
  <c r="I444" i="80" s="1"/>
  <c r="H444" i="80" a="1"/>
  <c r="H444" i="80" s="1"/>
  <c r="G444" i="80" a="1"/>
  <c r="G444" i="80" s="1"/>
  <c r="F444" i="80" a="1"/>
  <c r="F444" i="80" s="1"/>
  <c r="E444" i="80" a="1"/>
  <c r="E444" i="80" s="1"/>
  <c r="D444" i="80" a="1"/>
  <c r="D444" i="80" s="1"/>
  <c r="I443" i="80" a="1"/>
  <c r="I443" i="80" s="1"/>
  <c r="H443" i="80" a="1"/>
  <c r="H443" i="80" s="1"/>
  <c r="G443" i="80" a="1"/>
  <c r="G443" i="80" s="1"/>
  <c r="F443" i="80" a="1"/>
  <c r="F443" i="80" s="1"/>
  <c r="E443" i="80" a="1"/>
  <c r="E443" i="80" s="1"/>
  <c r="D443" i="80" a="1"/>
  <c r="D443" i="80" s="1"/>
  <c r="D440" i="80" a="1"/>
  <c r="D440" i="80" s="1"/>
  <c r="D439" i="80" a="1"/>
  <c r="D439" i="80" s="1"/>
  <c r="D438" i="80" a="1"/>
  <c r="D438" i="80" s="1"/>
  <c r="D437" i="80" a="1"/>
  <c r="D437" i="80" s="1"/>
  <c r="D436" i="80" a="1"/>
  <c r="D436" i="80" s="1"/>
  <c r="D434" i="80" a="1"/>
  <c r="D434" i="80" s="1"/>
  <c r="D433" i="80" a="1"/>
  <c r="D433" i="80" s="1"/>
  <c r="D432" i="80" a="1"/>
  <c r="D432" i="80" s="1"/>
  <c r="D431" i="80" a="1"/>
  <c r="D431" i="80" s="1"/>
  <c r="D430" i="80" a="1"/>
  <c r="D430" i="80" s="1"/>
  <c r="D428" i="80" a="1"/>
  <c r="D428" i="80" s="1"/>
  <c r="I155" i="82" s="1"/>
  <c r="D427" i="80" a="1"/>
  <c r="D427" i="80" s="1"/>
  <c r="D426" i="80" a="1"/>
  <c r="D426" i="80" s="1"/>
  <c r="D425" i="80" a="1"/>
  <c r="D425" i="80" s="1"/>
  <c r="D424" i="80" a="1"/>
  <c r="D424" i="80" s="1"/>
  <c r="D422" i="80" a="1"/>
  <c r="D422" i="80" s="1"/>
  <c r="D421" i="80" a="1"/>
  <c r="D421" i="80" s="1"/>
  <c r="D420" i="80" a="1"/>
  <c r="D420" i="80" s="1"/>
  <c r="D419" i="80" a="1"/>
  <c r="D419" i="80" s="1"/>
  <c r="D418" i="80" a="1"/>
  <c r="D418" i="80" s="1"/>
  <c r="G415" i="80" a="1"/>
  <c r="G415" i="80" s="1"/>
  <c r="F415" i="80" a="1"/>
  <c r="F415" i="80" s="1"/>
  <c r="E415" i="80" a="1"/>
  <c r="E415" i="80" s="1"/>
  <c r="D415" i="80" a="1"/>
  <c r="D415" i="80" s="1"/>
  <c r="G414" i="80" a="1"/>
  <c r="G414" i="80" s="1"/>
  <c r="F414" i="80" a="1"/>
  <c r="F414" i="80" s="1"/>
  <c r="E414" i="80" a="1"/>
  <c r="E414" i="80" s="1"/>
  <c r="D414" i="80" a="1"/>
  <c r="D414" i="80" s="1"/>
  <c r="G413" i="80" a="1"/>
  <c r="G413" i="80" s="1"/>
  <c r="F413" i="80" a="1"/>
  <c r="F413" i="80" s="1"/>
  <c r="E413" i="80" a="1"/>
  <c r="E413" i="80" s="1"/>
  <c r="D413" i="80" a="1"/>
  <c r="D413" i="80" s="1"/>
  <c r="G412" i="80" a="1"/>
  <c r="G412" i="80" s="1"/>
  <c r="F412" i="80" a="1"/>
  <c r="F412" i="80" s="1"/>
  <c r="E412" i="80" a="1"/>
  <c r="E412" i="80" s="1"/>
  <c r="D412" i="80" a="1"/>
  <c r="D412" i="80" s="1"/>
  <c r="G411" i="80" a="1"/>
  <c r="G411" i="80" s="1"/>
  <c r="F411" i="80" a="1"/>
  <c r="F411" i="80" s="1"/>
  <c r="E411" i="80" a="1"/>
  <c r="E411" i="80" s="1"/>
  <c r="D411" i="80" a="1"/>
  <c r="D411" i="80" s="1"/>
  <c r="G410" i="80" a="1"/>
  <c r="G410" i="80" s="1"/>
  <c r="F410" i="80" a="1"/>
  <c r="F410" i="80" s="1"/>
  <c r="E410" i="80" a="1"/>
  <c r="E410" i="80" s="1"/>
  <c r="D410" i="80" a="1"/>
  <c r="D410" i="80" s="1"/>
  <c r="G409" i="80" a="1"/>
  <c r="G409" i="80" s="1"/>
  <c r="F409" i="80" a="1"/>
  <c r="F409" i="80" s="1"/>
  <c r="E409" i="80" a="1"/>
  <c r="E409" i="80" s="1"/>
  <c r="D409" i="80" a="1"/>
  <c r="D409" i="80" s="1"/>
  <c r="G408" i="80" a="1"/>
  <c r="G408" i="80" s="1"/>
  <c r="F408" i="80" a="1"/>
  <c r="F408" i="80" s="1"/>
  <c r="E408" i="80" a="1"/>
  <c r="E408" i="80" s="1"/>
  <c r="D408" i="80" a="1"/>
  <c r="D408" i="80" s="1"/>
  <c r="G407" i="80" a="1"/>
  <c r="G407" i="80" s="1"/>
  <c r="F407" i="80" a="1"/>
  <c r="F407" i="80" s="1"/>
  <c r="E407" i="80" a="1"/>
  <c r="E407" i="80" s="1"/>
  <c r="D407" i="80" a="1"/>
  <c r="D407" i="80" s="1"/>
  <c r="G406" i="80" a="1"/>
  <c r="G406" i="80" s="1"/>
  <c r="F406" i="80" a="1"/>
  <c r="F406" i="80" s="1"/>
  <c r="E406" i="80" a="1"/>
  <c r="E406" i="80" s="1"/>
  <c r="D406" i="80" a="1"/>
  <c r="D406" i="80" s="1"/>
  <c r="G405" i="80" a="1"/>
  <c r="G405" i="80" s="1"/>
  <c r="F405" i="80" a="1"/>
  <c r="F405" i="80" s="1"/>
  <c r="E405" i="80" a="1"/>
  <c r="E405" i="80" s="1"/>
  <c r="D405" i="80" a="1"/>
  <c r="D405" i="80" s="1"/>
  <c r="G404" i="80" a="1"/>
  <c r="G404" i="80" s="1"/>
  <c r="F404" i="80" a="1"/>
  <c r="F404" i="80" s="1"/>
  <c r="E404" i="80" a="1"/>
  <c r="E404" i="80" s="1"/>
  <c r="D404" i="80" a="1"/>
  <c r="D404" i="80" s="1"/>
  <c r="G403" i="80" a="1"/>
  <c r="G403" i="80" s="1"/>
  <c r="F403" i="80" a="1"/>
  <c r="F403" i="80" s="1"/>
  <c r="E403" i="80" a="1"/>
  <c r="E403" i="80" s="1"/>
  <c r="D403" i="80" a="1"/>
  <c r="D403" i="80" s="1"/>
  <c r="G402" i="80" a="1"/>
  <c r="G402" i="80" s="1"/>
  <c r="F402" i="80" a="1"/>
  <c r="F402" i="80" s="1"/>
  <c r="E402" i="80" a="1"/>
  <c r="E402" i="80" s="1"/>
  <c r="D402" i="80" a="1"/>
  <c r="D402" i="80" s="1"/>
  <c r="G401" i="80" a="1"/>
  <c r="G401" i="80" s="1"/>
  <c r="F401" i="80" a="1"/>
  <c r="F401" i="80" s="1"/>
  <c r="E401" i="80" a="1"/>
  <c r="E401" i="80" s="1"/>
  <c r="D401" i="80" a="1"/>
  <c r="D401" i="80" s="1"/>
  <c r="D399" i="80" a="1"/>
  <c r="D399" i="80" s="1"/>
  <c r="D398" i="80" a="1"/>
  <c r="D398" i="80" s="1"/>
  <c r="D397" i="80" a="1"/>
  <c r="D397" i="80" s="1"/>
  <c r="D396" i="80" a="1"/>
  <c r="D396" i="80" s="1"/>
  <c r="D395" i="80" a="1"/>
  <c r="D395" i="80" s="1"/>
  <c r="G392" i="80" a="1"/>
  <c r="G392" i="80" s="1"/>
  <c r="F392" i="80" a="1"/>
  <c r="F392" i="80" s="1"/>
  <c r="E392" i="80" a="1"/>
  <c r="E392" i="80" s="1"/>
  <c r="D392" i="80" a="1"/>
  <c r="D392" i="80" s="1"/>
  <c r="G391" i="80" a="1"/>
  <c r="G391" i="80" s="1"/>
  <c r="F391" i="80" a="1"/>
  <c r="F391" i="80" s="1"/>
  <c r="E391" i="80" a="1"/>
  <c r="E391" i="80" s="1"/>
  <c r="D391" i="80" a="1"/>
  <c r="D391" i="80" s="1"/>
  <c r="G390" i="80" a="1"/>
  <c r="G390" i="80" s="1"/>
  <c r="F390" i="80" a="1"/>
  <c r="F390" i="80" s="1"/>
  <c r="E390" i="80" a="1"/>
  <c r="E390" i="80" s="1"/>
  <c r="D390" i="80" a="1"/>
  <c r="D390" i="80" s="1"/>
  <c r="G389" i="80" a="1"/>
  <c r="G389" i="80" s="1"/>
  <c r="F389" i="80" a="1"/>
  <c r="F389" i="80" s="1"/>
  <c r="E389" i="80" a="1"/>
  <c r="E389" i="80" s="1"/>
  <c r="D389" i="80" a="1"/>
  <c r="D389" i="80" s="1"/>
  <c r="G388" i="80" a="1"/>
  <c r="G388" i="80" s="1"/>
  <c r="F388" i="80" a="1"/>
  <c r="F388" i="80" s="1"/>
  <c r="E388" i="80" a="1"/>
  <c r="E388" i="80" s="1"/>
  <c r="D388" i="80" a="1"/>
  <c r="D388" i="80" s="1"/>
  <c r="G387" i="80" a="1"/>
  <c r="G387" i="80" s="1"/>
  <c r="F387" i="80" a="1"/>
  <c r="F387" i="80" s="1"/>
  <c r="E387" i="80" a="1"/>
  <c r="E387" i="80" s="1"/>
  <c r="D387" i="80" a="1"/>
  <c r="D387" i="80" s="1"/>
  <c r="G386" i="80" a="1"/>
  <c r="G386" i="80" s="1"/>
  <c r="F386" i="80" a="1"/>
  <c r="F386" i="80" s="1"/>
  <c r="E386" i="80" a="1"/>
  <c r="E386" i="80" s="1"/>
  <c r="D386" i="80" a="1"/>
  <c r="D386" i="80" s="1"/>
  <c r="G385" i="80" a="1"/>
  <c r="G385" i="80" s="1"/>
  <c r="F385" i="80" a="1"/>
  <c r="F385" i="80" s="1"/>
  <c r="E385" i="80" a="1"/>
  <c r="E385" i="80" s="1"/>
  <c r="D385" i="80" a="1"/>
  <c r="D385" i="80" s="1"/>
  <c r="G384" i="80" a="1"/>
  <c r="G384" i="80" s="1"/>
  <c r="F384" i="80" a="1"/>
  <c r="F384" i="80" s="1"/>
  <c r="E384" i="80" a="1"/>
  <c r="E384" i="80" s="1"/>
  <c r="D384" i="80" a="1"/>
  <c r="D384" i="80" s="1"/>
  <c r="G383" i="80" a="1"/>
  <c r="G383" i="80" s="1"/>
  <c r="F383" i="80" a="1"/>
  <c r="F383" i="80" s="1"/>
  <c r="E383" i="80" a="1"/>
  <c r="E383" i="80" s="1"/>
  <c r="D383" i="80" a="1"/>
  <c r="D383" i="80" s="1"/>
  <c r="G382" i="80" a="1"/>
  <c r="G382" i="80" s="1"/>
  <c r="F382" i="80" a="1"/>
  <c r="F382" i="80" s="1"/>
  <c r="E382" i="80" a="1"/>
  <c r="E382" i="80" s="1"/>
  <c r="D382" i="80" a="1"/>
  <c r="D382" i="80" s="1"/>
  <c r="G381" i="80" a="1"/>
  <c r="G381" i="80" s="1"/>
  <c r="F381" i="80" a="1"/>
  <c r="F381" i="80" s="1"/>
  <c r="E381" i="80" a="1"/>
  <c r="E381" i="80" s="1"/>
  <c r="D381" i="80" a="1"/>
  <c r="D381" i="80" s="1"/>
  <c r="G380" i="80" a="1"/>
  <c r="G380" i="80" s="1"/>
  <c r="F380" i="80" a="1"/>
  <c r="F380" i="80" s="1"/>
  <c r="E380" i="80" a="1"/>
  <c r="E380" i="80" s="1"/>
  <c r="D380" i="80" a="1"/>
  <c r="D380" i="80" s="1"/>
  <c r="G379" i="80" a="1"/>
  <c r="G379" i="80" s="1"/>
  <c r="F379" i="80" a="1"/>
  <c r="F379" i="80" s="1"/>
  <c r="E379" i="80" a="1"/>
  <c r="E379" i="80" s="1"/>
  <c r="D379" i="80" a="1"/>
  <c r="D379" i="80" s="1"/>
  <c r="G378" i="80" a="1"/>
  <c r="G378" i="80" s="1"/>
  <c r="F378" i="80" a="1"/>
  <c r="F378" i="80" s="1"/>
  <c r="E378" i="80" a="1"/>
  <c r="E378" i="80" s="1"/>
  <c r="D378" i="80" a="1"/>
  <c r="D378" i="80" s="1"/>
  <c r="D376" i="80" a="1"/>
  <c r="D376" i="80" s="1"/>
  <c r="D375" i="80" a="1"/>
  <c r="D375" i="80" s="1"/>
  <c r="D374" i="80" a="1"/>
  <c r="D374" i="80" s="1"/>
  <c r="D373" i="80" a="1"/>
  <c r="D373" i="80" s="1"/>
  <c r="D372" i="80" a="1"/>
  <c r="D372" i="80" s="1"/>
  <c r="L358" i="80" a="1"/>
  <c r="L358" i="80" s="1"/>
  <c r="O369" i="80" s="1"/>
  <c r="K358" i="80" a="1"/>
  <c r="K358" i="80" s="1"/>
  <c r="J358" i="80" a="1"/>
  <c r="J358" i="80" s="1"/>
  <c r="K369" i="80" s="1"/>
  <c r="I358" i="80" a="1"/>
  <c r="I358" i="80" s="1"/>
  <c r="I369" i="80" s="1"/>
  <c r="H358" i="80" a="1"/>
  <c r="H358" i="80" s="1"/>
  <c r="H369" i="80" s="1"/>
  <c r="G358" i="80" a="1"/>
  <c r="G358" i="80" s="1"/>
  <c r="G369" i="80" s="1"/>
  <c r="F358" i="80" a="1"/>
  <c r="F358" i="80" s="1"/>
  <c r="F369" i="80" s="1"/>
  <c r="E358" i="80" a="1"/>
  <c r="E358" i="80" s="1"/>
  <c r="E369" i="80" s="1"/>
  <c r="D358" i="80" a="1"/>
  <c r="D358" i="80" s="1"/>
  <c r="D369" i="80" s="1"/>
  <c r="L357" i="80" a="1"/>
  <c r="L357" i="80" s="1"/>
  <c r="O368" i="80" s="1"/>
  <c r="K357" i="80" a="1"/>
  <c r="K357" i="80" s="1"/>
  <c r="J357" i="80" a="1"/>
  <c r="J357" i="80" s="1"/>
  <c r="K368" i="80" s="1"/>
  <c r="I357" i="80" a="1"/>
  <c r="I357" i="80" s="1"/>
  <c r="J368" i="80" s="1"/>
  <c r="H357" i="80" a="1"/>
  <c r="H357" i="80" s="1"/>
  <c r="H368" i="80" s="1"/>
  <c r="G357" i="80" a="1"/>
  <c r="G357" i="80" s="1"/>
  <c r="G368" i="80" s="1"/>
  <c r="F357" i="80" a="1"/>
  <c r="F357" i="80" s="1"/>
  <c r="F368" i="80" s="1"/>
  <c r="E357" i="80" a="1"/>
  <c r="E357" i="80" s="1"/>
  <c r="E368" i="80" s="1"/>
  <c r="D357" i="80" a="1"/>
  <c r="D357" i="80" s="1"/>
  <c r="D368" i="80" s="1"/>
  <c r="L356" i="80" a="1"/>
  <c r="L356" i="80" s="1"/>
  <c r="O367" i="80" s="1"/>
  <c r="K356" i="80" a="1"/>
  <c r="K356" i="80" s="1"/>
  <c r="J356" i="80" a="1"/>
  <c r="J356" i="80" s="1"/>
  <c r="K367" i="80" s="1"/>
  <c r="I356" i="80" a="1"/>
  <c r="I356" i="80" s="1"/>
  <c r="J367" i="80" s="1"/>
  <c r="H356" i="80" a="1"/>
  <c r="H356" i="80" s="1"/>
  <c r="H367" i="80" s="1"/>
  <c r="G356" i="80" a="1"/>
  <c r="G356" i="80" s="1"/>
  <c r="G367" i="80" s="1"/>
  <c r="F356" i="80" a="1"/>
  <c r="F356" i="80" s="1"/>
  <c r="F367" i="80" s="1"/>
  <c r="E356" i="80" a="1"/>
  <c r="E356" i="80" s="1"/>
  <c r="E367" i="80" s="1"/>
  <c r="D356" i="80" a="1"/>
  <c r="D356" i="80" s="1"/>
  <c r="D367" i="80" s="1"/>
  <c r="L355" i="80" a="1"/>
  <c r="L355" i="80" s="1"/>
  <c r="O366" i="80" s="1"/>
  <c r="K355" i="80" a="1"/>
  <c r="K355" i="80" s="1"/>
  <c r="J355" i="80" a="1"/>
  <c r="J355" i="80" s="1"/>
  <c r="K366" i="80" s="1"/>
  <c r="I355" i="80" a="1"/>
  <c r="I355" i="80" s="1"/>
  <c r="I366" i="80" s="1"/>
  <c r="H355" i="80" a="1"/>
  <c r="H355" i="80" s="1"/>
  <c r="H366" i="80" s="1"/>
  <c r="G355" i="80" a="1"/>
  <c r="G355" i="80" s="1"/>
  <c r="G366" i="80" s="1"/>
  <c r="F355" i="80" a="1"/>
  <c r="F355" i="80" s="1"/>
  <c r="F366" i="80" s="1"/>
  <c r="E355" i="80" a="1"/>
  <c r="E355" i="80" s="1"/>
  <c r="E366" i="80" s="1"/>
  <c r="D355" i="80" a="1"/>
  <c r="D355" i="80" s="1"/>
  <c r="D366" i="80" s="1"/>
  <c r="L354" i="80" a="1"/>
  <c r="L354" i="80" s="1"/>
  <c r="O365" i="80" s="1"/>
  <c r="K354" i="80" a="1"/>
  <c r="K354" i="80" s="1"/>
  <c r="N365" i="80" s="1"/>
  <c r="J354" i="80" a="1"/>
  <c r="J354" i="80" s="1"/>
  <c r="K365" i="80" s="1"/>
  <c r="I354" i="80" a="1"/>
  <c r="I354" i="80" s="1"/>
  <c r="I365" i="80" s="1"/>
  <c r="H354" i="80" a="1"/>
  <c r="H354" i="80" s="1"/>
  <c r="H365" i="80" s="1"/>
  <c r="G354" i="80" a="1"/>
  <c r="G354" i="80" s="1"/>
  <c r="G365" i="80" s="1"/>
  <c r="F354" i="80" a="1"/>
  <c r="F354" i="80" s="1"/>
  <c r="F365" i="80" s="1"/>
  <c r="E354" i="80" a="1"/>
  <c r="E354" i="80" s="1"/>
  <c r="E365" i="80" s="1"/>
  <c r="D354" i="80" a="1"/>
  <c r="D354" i="80" s="1"/>
  <c r="D365" i="80" s="1"/>
  <c r="L353" i="80" a="1"/>
  <c r="L353" i="80" s="1"/>
  <c r="O364" i="80" s="1"/>
  <c r="K353" i="80" a="1"/>
  <c r="K353" i="80" s="1"/>
  <c r="M364" i="80" s="1"/>
  <c r="J353" i="80" a="1"/>
  <c r="J353" i="80" s="1"/>
  <c r="K364" i="80" s="1"/>
  <c r="I353" i="80" a="1"/>
  <c r="I353" i="80" s="1"/>
  <c r="H353" i="80" a="1"/>
  <c r="H353" i="80" s="1"/>
  <c r="H364" i="80" s="1"/>
  <c r="G353" i="80" a="1"/>
  <c r="G353" i="80" s="1"/>
  <c r="G364" i="80" s="1"/>
  <c r="F353" i="80" a="1"/>
  <c r="F353" i="80" s="1"/>
  <c r="F364" i="80" s="1"/>
  <c r="E353" i="80" a="1"/>
  <c r="E353" i="80" s="1"/>
  <c r="E364" i="80" s="1"/>
  <c r="D353" i="80" a="1"/>
  <c r="D353" i="80" s="1"/>
  <c r="D364" i="80" s="1"/>
  <c r="L352" i="80" a="1"/>
  <c r="L352" i="80" s="1"/>
  <c r="O363" i="80" s="1"/>
  <c r="K352" i="80" a="1"/>
  <c r="K352" i="80" s="1"/>
  <c r="N363" i="80" s="1"/>
  <c r="J352" i="80" a="1"/>
  <c r="J352" i="80" s="1"/>
  <c r="K363" i="80" s="1"/>
  <c r="I352" i="80" a="1"/>
  <c r="I352" i="80" s="1"/>
  <c r="J363" i="80" s="1"/>
  <c r="H352" i="80" a="1"/>
  <c r="H352" i="80" s="1"/>
  <c r="H363" i="80" s="1"/>
  <c r="G352" i="80" a="1"/>
  <c r="G352" i="80" s="1"/>
  <c r="G363" i="80" s="1"/>
  <c r="F352" i="80" a="1"/>
  <c r="F352" i="80" s="1"/>
  <c r="F363" i="80" s="1"/>
  <c r="E352" i="80" a="1"/>
  <c r="E352" i="80" s="1"/>
  <c r="E363" i="80" s="1"/>
  <c r="D352" i="80" a="1"/>
  <c r="D352" i="80" s="1"/>
  <c r="D363" i="80" s="1"/>
  <c r="L351" i="80" a="1"/>
  <c r="L351" i="80" s="1"/>
  <c r="O362" i="80" s="1"/>
  <c r="K351" i="80" a="1"/>
  <c r="K351" i="80" s="1"/>
  <c r="L362" i="80" s="1"/>
  <c r="J351" i="80" a="1"/>
  <c r="J351" i="80" s="1"/>
  <c r="K362" i="80" s="1"/>
  <c r="I351" i="80" a="1"/>
  <c r="I351" i="80" s="1"/>
  <c r="H351" i="80" a="1"/>
  <c r="H351" i="80" s="1"/>
  <c r="H362" i="80" s="1"/>
  <c r="G351" i="80" a="1"/>
  <c r="G351" i="80" s="1"/>
  <c r="G362" i="80" s="1"/>
  <c r="F351" i="80" a="1"/>
  <c r="F351" i="80" s="1"/>
  <c r="F362" i="80" s="1"/>
  <c r="E351" i="80" a="1"/>
  <c r="E351" i="80" s="1"/>
  <c r="E362" i="80" s="1"/>
  <c r="D351" i="80" a="1"/>
  <c r="D351" i="80" s="1"/>
  <c r="D362" i="80" s="1"/>
  <c r="D349" i="80" a="1"/>
  <c r="D349" i="80" s="1"/>
  <c r="D348" i="80" a="1"/>
  <c r="D348" i="80" s="1"/>
  <c r="D347" i="80" a="1"/>
  <c r="D347" i="80" s="1"/>
  <c r="D346" i="80" a="1"/>
  <c r="D346" i="80" s="1"/>
  <c r="D345" i="80" a="1"/>
  <c r="D345" i="80" s="1"/>
  <c r="G342" i="80" a="1"/>
  <c r="G342" i="80" s="1"/>
  <c r="F342" i="80" a="1"/>
  <c r="F342" i="80" s="1"/>
  <c r="E342" i="80" a="1"/>
  <c r="E342" i="80" s="1"/>
  <c r="D342" i="80" a="1"/>
  <c r="D342" i="80" s="1"/>
  <c r="G341" i="80" a="1"/>
  <c r="G341" i="80" s="1"/>
  <c r="L338" i="80" s="1"/>
  <c r="F341" i="80" a="1"/>
  <c r="F341" i="80" s="1"/>
  <c r="K338" i="80" s="1"/>
  <c r="E341" i="80" a="1"/>
  <c r="E341" i="80" s="1"/>
  <c r="D341" i="80" a="1"/>
  <c r="D341" i="80" s="1"/>
  <c r="I338" i="80" s="1"/>
  <c r="G340" i="80" a="1"/>
  <c r="G340" i="80" s="1"/>
  <c r="L337" i="80" s="1"/>
  <c r="F340" i="80" a="1"/>
  <c r="F340" i="80" s="1"/>
  <c r="K337" i="80" s="1"/>
  <c r="E340" i="80" a="1"/>
  <c r="E340" i="80" s="1"/>
  <c r="D340" i="80" a="1"/>
  <c r="D340" i="80" s="1"/>
  <c r="I337" i="80" s="1"/>
  <c r="G339" i="80" a="1"/>
  <c r="G339" i="80" s="1"/>
  <c r="F339" i="80" a="1"/>
  <c r="F339" i="80" s="1"/>
  <c r="E339" i="80" a="1"/>
  <c r="E339" i="80" s="1"/>
  <c r="D339" i="80" a="1"/>
  <c r="D339" i="80" s="1"/>
  <c r="G338" i="80" a="1"/>
  <c r="G338" i="80" s="1"/>
  <c r="F338" i="80" a="1"/>
  <c r="F338" i="80" s="1"/>
  <c r="E338" i="80" a="1"/>
  <c r="E338" i="80" s="1"/>
  <c r="D338" i="80" a="1"/>
  <c r="D338" i="80" s="1"/>
  <c r="G337" i="80" a="1"/>
  <c r="G337" i="80" s="1"/>
  <c r="F337" i="80" a="1"/>
  <c r="F337" i="80" s="1"/>
  <c r="E337" i="80" a="1"/>
  <c r="E337" i="80" s="1"/>
  <c r="D337" i="80" a="1"/>
  <c r="D337" i="80" s="1"/>
  <c r="G336" i="80" a="1"/>
  <c r="G336" i="80" s="1"/>
  <c r="L336" i="80" s="1"/>
  <c r="F336" i="80" a="1"/>
  <c r="F336" i="80" s="1"/>
  <c r="K336" i="80" s="1"/>
  <c r="E336" i="80" a="1"/>
  <c r="E336" i="80" s="1"/>
  <c r="D336" i="80" a="1"/>
  <c r="D336" i="80" s="1"/>
  <c r="I336" i="80" s="1"/>
  <c r="G335" i="80" a="1"/>
  <c r="G335" i="80" s="1"/>
  <c r="L335" i="80" s="1"/>
  <c r="F335" i="80" a="1"/>
  <c r="F335" i="80" s="1"/>
  <c r="K335" i="80" s="1"/>
  <c r="E335" i="80" a="1"/>
  <c r="E335" i="80" s="1"/>
  <c r="D335" i="80" a="1"/>
  <c r="D335" i="80" s="1"/>
  <c r="I335" i="80" s="1"/>
  <c r="D333" i="80" a="1"/>
  <c r="D333" i="80" s="1"/>
  <c r="D332" i="80" a="1"/>
  <c r="D332" i="80" s="1"/>
  <c r="D331" i="80" a="1"/>
  <c r="D331" i="80" s="1"/>
  <c r="I328" i="80" a="1"/>
  <c r="I328" i="80" s="1"/>
  <c r="H328" i="80" a="1"/>
  <c r="H328" i="80" s="1"/>
  <c r="G328" i="80" a="1"/>
  <c r="G328" i="80" s="1"/>
  <c r="F328" i="80" a="1"/>
  <c r="F328" i="80" s="1"/>
  <c r="E328" i="80" a="1"/>
  <c r="E328" i="80" s="1"/>
  <c r="D328" i="80" a="1"/>
  <c r="D328" i="80" s="1"/>
  <c r="I327" i="80" a="1"/>
  <c r="I327" i="80" s="1"/>
  <c r="H327" i="80" a="1"/>
  <c r="H327" i="80" s="1"/>
  <c r="G327" i="80" a="1"/>
  <c r="G327" i="80" s="1"/>
  <c r="F327" i="80" a="1"/>
  <c r="F327" i="80" s="1"/>
  <c r="E327" i="80" a="1"/>
  <c r="E327" i="80" s="1"/>
  <c r="D327" i="80" a="1"/>
  <c r="D327" i="80" s="1"/>
  <c r="I326" i="80" a="1"/>
  <c r="I326" i="80" s="1"/>
  <c r="H326" i="80" a="1"/>
  <c r="H326" i="80" s="1"/>
  <c r="G326" i="80" a="1"/>
  <c r="G326" i="80" s="1"/>
  <c r="F326" i="80" a="1"/>
  <c r="F326" i="80" s="1"/>
  <c r="E326" i="80" a="1"/>
  <c r="E326" i="80" s="1"/>
  <c r="D326" i="80" a="1"/>
  <c r="D326" i="80" s="1"/>
  <c r="I325" i="80" a="1"/>
  <c r="I325" i="80" s="1"/>
  <c r="H325" i="80" a="1"/>
  <c r="H325" i="80" s="1"/>
  <c r="G325" i="80" a="1"/>
  <c r="G325" i="80" s="1"/>
  <c r="F325" i="80" a="1"/>
  <c r="F325" i="80" s="1"/>
  <c r="E325" i="80" a="1"/>
  <c r="E325" i="80" s="1"/>
  <c r="D325" i="80" a="1"/>
  <c r="D325" i="80" s="1"/>
  <c r="I324" i="80" a="1"/>
  <c r="I324" i="80" s="1"/>
  <c r="H324" i="80" a="1"/>
  <c r="H324" i="80" s="1"/>
  <c r="G324" i="80" a="1"/>
  <c r="G324" i="80" s="1"/>
  <c r="F324" i="80" a="1"/>
  <c r="F324" i="80" s="1"/>
  <c r="E324" i="80" a="1"/>
  <c r="E324" i="80" s="1"/>
  <c r="D324" i="80" a="1"/>
  <c r="D324" i="80" s="1"/>
  <c r="I323" i="80" a="1"/>
  <c r="I323" i="80" s="1"/>
  <c r="H323" i="80" a="1"/>
  <c r="H323" i="80" s="1"/>
  <c r="G323" i="80" a="1"/>
  <c r="G323" i="80" s="1"/>
  <c r="F323" i="80" a="1"/>
  <c r="F323" i="80" s="1"/>
  <c r="E323" i="80" a="1"/>
  <c r="E323" i="80" s="1"/>
  <c r="D323" i="80" a="1"/>
  <c r="D323" i="80" s="1"/>
  <c r="I322" i="80" a="1"/>
  <c r="I322" i="80" s="1"/>
  <c r="H322" i="80" a="1"/>
  <c r="H322" i="80" s="1"/>
  <c r="G322" i="80" a="1"/>
  <c r="G322" i="80" s="1"/>
  <c r="F322" i="80" a="1"/>
  <c r="F322" i="80" s="1"/>
  <c r="E322" i="80" a="1"/>
  <c r="E322" i="80" s="1"/>
  <c r="D322" i="80" a="1"/>
  <c r="D322" i="80" s="1"/>
  <c r="I321" i="80" a="1"/>
  <c r="I321" i="80" s="1"/>
  <c r="H321" i="80" a="1"/>
  <c r="H321" i="80" s="1"/>
  <c r="G321" i="80" a="1"/>
  <c r="G321" i="80" s="1"/>
  <c r="F321" i="80" a="1"/>
  <c r="F321" i="80" s="1"/>
  <c r="E321" i="80" a="1"/>
  <c r="E321" i="80" s="1"/>
  <c r="D321" i="80" a="1"/>
  <c r="D321" i="80" s="1"/>
  <c r="I320" i="80" a="1"/>
  <c r="I320" i="80" s="1"/>
  <c r="H320" i="80" a="1"/>
  <c r="H320" i="80" s="1"/>
  <c r="G320" i="80" a="1"/>
  <c r="G320" i="80" s="1"/>
  <c r="F320" i="80" a="1"/>
  <c r="F320" i="80" s="1"/>
  <c r="E320" i="80" a="1"/>
  <c r="E320" i="80" s="1"/>
  <c r="D320" i="80" a="1"/>
  <c r="D320" i="80" s="1"/>
  <c r="I319" i="80" a="1"/>
  <c r="I319" i="80" s="1"/>
  <c r="H319" i="80" a="1"/>
  <c r="H319" i="80" s="1"/>
  <c r="G319" i="80" a="1"/>
  <c r="G319" i="80" s="1"/>
  <c r="F319" i="80" a="1"/>
  <c r="F319" i="80" s="1"/>
  <c r="E319" i="80" a="1"/>
  <c r="E319" i="80" s="1"/>
  <c r="D319" i="80" a="1"/>
  <c r="D319" i="80" s="1"/>
  <c r="I318" i="80" a="1"/>
  <c r="I318" i="80" s="1"/>
  <c r="H318" i="80" a="1"/>
  <c r="H318" i="80" s="1"/>
  <c r="G318" i="80" a="1"/>
  <c r="G318" i="80" s="1"/>
  <c r="F318" i="80" a="1"/>
  <c r="F318" i="80" s="1"/>
  <c r="E318" i="80" a="1"/>
  <c r="E318" i="80" s="1"/>
  <c r="D318" i="80" a="1"/>
  <c r="D318" i="80" s="1"/>
  <c r="I317" i="80" a="1"/>
  <c r="I317" i="80" s="1"/>
  <c r="H317" i="80" a="1"/>
  <c r="H317" i="80" s="1"/>
  <c r="G317" i="80" a="1"/>
  <c r="G317" i="80" s="1"/>
  <c r="F317" i="80" a="1"/>
  <c r="F317" i="80" s="1"/>
  <c r="E317" i="80" a="1"/>
  <c r="E317" i="80" s="1"/>
  <c r="D317" i="80" a="1"/>
  <c r="D317" i="80" s="1"/>
  <c r="I316" i="80" a="1"/>
  <c r="I316" i="80" s="1"/>
  <c r="H316" i="80" a="1"/>
  <c r="H316" i="80" s="1"/>
  <c r="G316" i="80" a="1"/>
  <c r="G316" i="80" s="1"/>
  <c r="F316" i="80" a="1"/>
  <c r="F316" i="80" s="1"/>
  <c r="E316" i="80" a="1"/>
  <c r="E316" i="80" s="1"/>
  <c r="D316" i="80" a="1"/>
  <c r="D316" i="80" s="1"/>
  <c r="I315" i="80" a="1"/>
  <c r="I315" i="80" s="1"/>
  <c r="H315" i="80" a="1"/>
  <c r="H315" i="80" s="1"/>
  <c r="G315" i="80" a="1"/>
  <c r="G315" i="80" s="1"/>
  <c r="F315" i="80" a="1"/>
  <c r="F315" i="80" s="1"/>
  <c r="E315" i="80" a="1"/>
  <c r="E315" i="80" s="1"/>
  <c r="D315" i="80" a="1"/>
  <c r="D315" i="80" s="1"/>
  <c r="I314" i="80" a="1"/>
  <c r="I314" i="80" s="1"/>
  <c r="H314" i="80" a="1"/>
  <c r="H314" i="80" s="1"/>
  <c r="G314" i="80" a="1"/>
  <c r="G314" i="80" s="1"/>
  <c r="F314" i="80" a="1"/>
  <c r="F314" i="80" s="1"/>
  <c r="E314" i="80" a="1"/>
  <c r="E314" i="80" s="1"/>
  <c r="D314" i="80" a="1"/>
  <c r="D314" i="80" s="1"/>
  <c r="D312" i="80" a="1"/>
  <c r="D312" i="80" s="1"/>
  <c r="D311" i="80" a="1"/>
  <c r="D311" i="80" s="1"/>
  <c r="D310" i="80" a="1"/>
  <c r="D310" i="80" s="1"/>
  <c r="D309" i="80" a="1"/>
  <c r="D309" i="80" s="1"/>
  <c r="D308" i="80" a="1"/>
  <c r="D308" i="80" s="1"/>
  <c r="I305" i="80" a="1"/>
  <c r="I305" i="80" s="1"/>
  <c r="H305" i="80" a="1"/>
  <c r="H305" i="80" s="1"/>
  <c r="G305" i="80" a="1"/>
  <c r="G305" i="80" s="1"/>
  <c r="F305" i="80" a="1"/>
  <c r="F305" i="80" s="1"/>
  <c r="E305" i="80" a="1"/>
  <c r="E305" i="80" s="1"/>
  <c r="D305" i="80" a="1"/>
  <c r="D305" i="80" s="1"/>
  <c r="I304" i="80" a="1"/>
  <c r="I304" i="80" s="1"/>
  <c r="H304" i="80" a="1"/>
  <c r="H304" i="80" s="1"/>
  <c r="G304" i="80" a="1"/>
  <c r="G304" i="80" s="1"/>
  <c r="F304" i="80" a="1"/>
  <c r="F304" i="80" s="1"/>
  <c r="E304" i="80" a="1"/>
  <c r="E304" i="80" s="1"/>
  <c r="D304" i="80" a="1"/>
  <c r="D304" i="80" s="1"/>
  <c r="I303" i="80" a="1"/>
  <c r="I303" i="80" s="1"/>
  <c r="H303" i="80" a="1"/>
  <c r="H303" i="80" s="1"/>
  <c r="G303" i="80" a="1"/>
  <c r="G303" i="80" s="1"/>
  <c r="F303" i="80" a="1"/>
  <c r="F303" i="80" s="1"/>
  <c r="E303" i="80" a="1"/>
  <c r="E303" i="80" s="1"/>
  <c r="D303" i="80" a="1"/>
  <c r="D303" i="80" s="1"/>
  <c r="I302" i="80" a="1"/>
  <c r="I302" i="80" s="1"/>
  <c r="H302" i="80" a="1"/>
  <c r="H302" i="80" s="1"/>
  <c r="G302" i="80" a="1"/>
  <c r="G302" i="80" s="1"/>
  <c r="F302" i="80" a="1"/>
  <c r="F302" i="80" s="1"/>
  <c r="E302" i="80" a="1"/>
  <c r="E302" i="80" s="1"/>
  <c r="D302" i="80" a="1"/>
  <c r="D302" i="80" s="1"/>
  <c r="I301" i="80" a="1"/>
  <c r="I301" i="80" s="1"/>
  <c r="H301" i="80" a="1"/>
  <c r="H301" i="80" s="1"/>
  <c r="G301" i="80" a="1"/>
  <c r="G301" i="80" s="1"/>
  <c r="F301" i="80" a="1"/>
  <c r="F301" i="80" s="1"/>
  <c r="E301" i="80" a="1"/>
  <c r="E301" i="80" s="1"/>
  <c r="D301" i="80" a="1"/>
  <c r="D301" i="80" s="1"/>
  <c r="I300" i="80" a="1"/>
  <c r="I300" i="80" s="1"/>
  <c r="H300" i="80" a="1"/>
  <c r="H300" i="80" s="1"/>
  <c r="G300" i="80" a="1"/>
  <c r="G300" i="80" s="1"/>
  <c r="F300" i="80" a="1"/>
  <c r="F300" i="80" s="1"/>
  <c r="E300" i="80" a="1"/>
  <c r="E300" i="80" s="1"/>
  <c r="D300" i="80" a="1"/>
  <c r="D300" i="80" s="1"/>
  <c r="I299" i="80" a="1"/>
  <c r="I299" i="80" s="1"/>
  <c r="H299" i="80" a="1"/>
  <c r="H299" i="80" s="1"/>
  <c r="G299" i="80" a="1"/>
  <c r="G299" i="80" s="1"/>
  <c r="F299" i="80" a="1"/>
  <c r="F299" i="80" s="1"/>
  <c r="E299" i="80" a="1"/>
  <c r="E299" i="80" s="1"/>
  <c r="D299" i="80" a="1"/>
  <c r="D299" i="80" s="1"/>
  <c r="I298" i="80" a="1"/>
  <c r="I298" i="80" s="1"/>
  <c r="H298" i="80" a="1"/>
  <c r="H298" i="80" s="1"/>
  <c r="G298" i="80" a="1"/>
  <c r="G298" i="80" s="1"/>
  <c r="F298" i="80" a="1"/>
  <c r="F298" i="80" s="1"/>
  <c r="E298" i="80" a="1"/>
  <c r="E298" i="80" s="1"/>
  <c r="D298" i="80" a="1"/>
  <c r="D298" i="80" s="1"/>
  <c r="I297" i="80" a="1"/>
  <c r="I297" i="80" s="1"/>
  <c r="H297" i="80" a="1"/>
  <c r="H297" i="80" s="1"/>
  <c r="G297" i="80" a="1"/>
  <c r="G297" i="80" s="1"/>
  <c r="F297" i="80" a="1"/>
  <c r="F297" i="80" s="1"/>
  <c r="E297" i="80" a="1"/>
  <c r="E297" i="80" s="1"/>
  <c r="D297" i="80" a="1"/>
  <c r="D297" i="80" s="1"/>
  <c r="I296" i="80" a="1"/>
  <c r="I296" i="80" s="1"/>
  <c r="H296" i="80" a="1"/>
  <c r="H296" i="80" s="1"/>
  <c r="G296" i="80" a="1"/>
  <c r="G296" i="80" s="1"/>
  <c r="F296" i="80" a="1"/>
  <c r="F296" i="80" s="1"/>
  <c r="E296" i="80" a="1"/>
  <c r="E296" i="80" s="1"/>
  <c r="D296" i="80" a="1"/>
  <c r="D296" i="80" s="1"/>
  <c r="I295" i="80" a="1"/>
  <c r="I295" i="80" s="1"/>
  <c r="H295" i="80" a="1"/>
  <c r="H295" i="80" s="1"/>
  <c r="G295" i="80" a="1"/>
  <c r="G295" i="80" s="1"/>
  <c r="F295" i="80" a="1"/>
  <c r="F295" i="80" s="1"/>
  <c r="E295" i="80" a="1"/>
  <c r="E295" i="80" s="1"/>
  <c r="D295" i="80" a="1"/>
  <c r="D295" i="80" s="1"/>
  <c r="I294" i="80" a="1"/>
  <c r="I294" i="80" s="1"/>
  <c r="H294" i="80" a="1"/>
  <c r="H294" i="80" s="1"/>
  <c r="G294" i="80" a="1"/>
  <c r="G294" i="80" s="1"/>
  <c r="F294" i="80" a="1"/>
  <c r="F294" i="80" s="1"/>
  <c r="E294" i="80" a="1"/>
  <c r="E294" i="80" s="1"/>
  <c r="D294" i="80" a="1"/>
  <c r="D294" i="80" s="1"/>
  <c r="I293" i="80" a="1"/>
  <c r="I293" i="80" s="1"/>
  <c r="H293" i="80" a="1"/>
  <c r="H293" i="80" s="1"/>
  <c r="G293" i="80" a="1"/>
  <c r="G293" i="80" s="1"/>
  <c r="F293" i="80" a="1"/>
  <c r="F293" i="80" s="1"/>
  <c r="E293" i="80" a="1"/>
  <c r="E293" i="80" s="1"/>
  <c r="D293" i="80" a="1"/>
  <c r="D293" i="80" s="1"/>
  <c r="I292" i="80" a="1"/>
  <c r="I292" i="80" s="1"/>
  <c r="H292" i="80" a="1"/>
  <c r="H292" i="80" s="1"/>
  <c r="G292" i="80" a="1"/>
  <c r="G292" i="80" s="1"/>
  <c r="F292" i="80" a="1"/>
  <c r="F292" i="80" s="1"/>
  <c r="E292" i="80" a="1"/>
  <c r="E292" i="80" s="1"/>
  <c r="D292" i="80" a="1"/>
  <c r="D292" i="80" s="1"/>
  <c r="I291" i="80" a="1"/>
  <c r="I291" i="80" s="1"/>
  <c r="H291" i="80" a="1"/>
  <c r="H291" i="80" s="1"/>
  <c r="G291" i="80" a="1"/>
  <c r="G291" i="80" s="1"/>
  <c r="F291" i="80" a="1"/>
  <c r="F291" i="80" s="1"/>
  <c r="E291" i="80" a="1"/>
  <c r="E291" i="80" s="1"/>
  <c r="D291" i="80" a="1"/>
  <c r="D291" i="80" s="1"/>
  <c r="D289" i="80" a="1"/>
  <c r="D289" i="80" s="1"/>
  <c r="D288" i="80" a="1"/>
  <c r="D288" i="80" s="1"/>
  <c r="D287" i="80" a="1"/>
  <c r="D287" i="80" s="1"/>
  <c r="D286" i="80" a="1"/>
  <c r="D286" i="80" s="1"/>
  <c r="D285" i="80" a="1"/>
  <c r="D285" i="80" s="1"/>
  <c r="P217" i="80" a="1"/>
  <c r="P217" i="80" s="1"/>
  <c r="P282" i="80" s="1"/>
  <c r="O217" i="80" a="1"/>
  <c r="O217" i="80" s="1"/>
  <c r="O282" i="80" s="1"/>
  <c r="N217" i="80" a="1"/>
  <c r="N217" i="80" s="1"/>
  <c r="N282" i="80" s="1"/>
  <c r="M217" i="80" a="1"/>
  <c r="M217" i="80" s="1"/>
  <c r="M282" i="80" s="1"/>
  <c r="L217" i="80" a="1"/>
  <c r="L217" i="80" s="1"/>
  <c r="L282" i="80" s="1"/>
  <c r="K217" i="80" a="1"/>
  <c r="K217" i="80" s="1"/>
  <c r="K282" i="80" s="1"/>
  <c r="J217" i="80" a="1"/>
  <c r="J217" i="80" s="1"/>
  <c r="J282" i="80" s="1"/>
  <c r="I217" i="80" a="1"/>
  <c r="I217" i="80" s="1"/>
  <c r="I282" i="80" s="1"/>
  <c r="H217" i="80" a="1"/>
  <c r="H217" i="80" s="1"/>
  <c r="H282" i="80" s="1"/>
  <c r="G217" i="80" a="1"/>
  <c r="G217" i="80" s="1"/>
  <c r="G282" i="80" s="1"/>
  <c r="F217" i="80" a="1"/>
  <c r="F217" i="80" s="1"/>
  <c r="F282" i="80" s="1"/>
  <c r="E217" i="80" a="1"/>
  <c r="E217" i="80" s="1"/>
  <c r="E282" i="80" s="1"/>
  <c r="D217" i="80" a="1"/>
  <c r="D217" i="80" s="1"/>
  <c r="P216" i="80" a="1"/>
  <c r="P216" i="80" s="1"/>
  <c r="P281" i="80" s="1"/>
  <c r="O216" i="80" a="1"/>
  <c r="O216" i="80" s="1"/>
  <c r="O281" i="80" s="1"/>
  <c r="N216" i="80" a="1"/>
  <c r="N216" i="80" s="1"/>
  <c r="N281" i="80" s="1"/>
  <c r="M216" i="80" a="1"/>
  <c r="M216" i="80" s="1"/>
  <c r="M281" i="80" s="1"/>
  <c r="L216" i="80" a="1"/>
  <c r="L216" i="80" s="1"/>
  <c r="L281" i="80" s="1"/>
  <c r="K216" i="80" a="1"/>
  <c r="K216" i="80" s="1"/>
  <c r="K281" i="80" s="1"/>
  <c r="J216" i="80" a="1"/>
  <c r="J216" i="80" s="1"/>
  <c r="J281" i="80" s="1"/>
  <c r="I216" i="80" a="1"/>
  <c r="I216" i="80" s="1"/>
  <c r="I281" i="80" s="1"/>
  <c r="H216" i="80" a="1"/>
  <c r="H216" i="80" s="1"/>
  <c r="H281" i="80" s="1"/>
  <c r="G216" i="80" a="1"/>
  <c r="G216" i="80" s="1"/>
  <c r="G281" i="80" s="1"/>
  <c r="F216" i="80" a="1"/>
  <c r="F216" i="80" s="1"/>
  <c r="F281" i="80" s="1"/>
  <c r="E216" i="80" a="1"/>
  <c r="E216" i="80" s="1"/>
  <c r="E281" i="80" s="1"/>
  <c r="D216" i="80" a="1"/>
  <c r="D216" i="80" s="1"/>
  <c r="P215" i="80" a="1"/>
  <c r="P215" i="80" s="1"/>
  <c r="P280" i="80" s="1"/>
  <c r="O215" i="80" a="1"/>
  <c r="O215" i="80" s="1"/>
  <c r="O280" i="80" s="1"/>
  <c r="N215" i="80" a="1"/>
  <c r="N215" i="80" s="1"/>
  <c r="N280" i="80" s="1"/>
  <c r="M215" i="80" a="1"/>
  <c r="M215" i="80" s="1"/>
  <c r="M280" i="80" s="1"/>
  <c r="L215" i="80" a="1"/>
  <c r="L215" i="80" s="1"/>
  <c r="L280" i="80" s="1"/>
  <c r="K215" i="80" a="1"/>
  <c r="K215" i="80" s="1"/>
  <c r="K280" i="80" s="1"/>
  <c r="J215" i="80" a="1"/>
  <c r="J215" i="80" s="1"/>
  <c r="J280" i="80" s="1"/>
  <c r="I215" i="80" a="1"/>
  <c r="I215" i="80" s="1"/>
  <c r="I280" i="80" s="1"/>
  <c r="H215" i="80" a="1"/>
  <c r="H215" i="80" s="1"/>
  <c r="H280" i="80" s="1"/>
  <c r="G215" i="80" a="1"/>
  <c r="G215" i="80" s="1"/>
  <c r="G280" i="80" s="1"/>
  <c r="F215" i="80" a="1"/>
  <c r="F215" i="80" s="1"/>
  <c r="F280" i="80" s="1"/>
  <c r="E215" i="80" a="1"/>
  <c r="E215" i="80" s="1"/>
  <c r="E280" i="80" s="1"/>
  <c r="D215" i="80" a="1"/>
  <c r="D215" i="80" s="1"/>
  <c r="P214" i="80" a="1"/>
  <c r="P214" i="80" s="1"/>
  <c r="P279" i="80" s="1"/>
  <c r="O214" i="80" a="1"/>
  <c r="O214" i="80" s="1"/>
  <c r="O279" i="80" s="1"/>
  <c r="N214" i="80" a="1"/>
  <c r="N214" i="80" s="1"/>
  <c r="N279" i="80" s="1"/>
  <c r="M214" i="80" a="1"/>
  <c r="M214" i="80" s="1"/>
  <c r="M279" i="80" s="1"/>
  <c r="L214" i="80" a="1"/>
  <c r="L214" i="80" s="1"/>
  <c r="L279" i="80" s="1"/>
  <c r="K214" i="80" a="1"/>
  <c r="K214" i="80" s="1"/>
  <c r="K279" i="80" s="1"/>
  <c r="J214" i="80" a="1"/>
  <c r="J214" i="80" s="1"/>
  <c r="J279" i="80" s="1"/>
  <c r="I214" i="80" a="1"/>
  <c r="I214" i="80" s="1"/>
  <c r="I279" i="80" s="1"/>
  <c r="H214" i="80" a="1"/>
  <c r="H214" i="80" s="1"/>
  <c r="H279" i="80" s="1"/>
  <c r="G214" i="80" a="1"/>
  <c r="G214" i="80" s="1"/>
  <c r="G279" i="80" s="1"/>
  <c r="F214" i="80" a="1"/>
  <c r="F214" i="80" s="1"/>
  <c r="F279" i="80" s="1"/>
  <c r="E214" i="80" a="1"/>
  <c r="E214" i="80" s="1"/>
  <c r="E279" i="80" s="1"/>
  <c r="D214" i="80" a="1"/>
  <c r="D214" i="80" s="1"/>
  <c r="P213" i="80" a="1"/>
  <c r="P213" i="80" s="1"/>
  <c r="P278" i="80" s="1"/>
  <c r="O213" i="80" a="1"/>
  <c r="O213" i="80" s="1"/>
  <c r="O278" i="80" s="1"/>
  <c r="N213" i="80" a="1"/>
  <c r="N213" i="80" s="1"/>
  <c r="N278" i="80" s="1"/>
  <c r="M213" i="80" a="1"/>
  <c r="M213" i="80" s="1"/>
  <c r="M278" i="80" s="1"/>
  <c r="L213" i="80" a="1"/>
  <c r="L213" i="80" s="1"/>
  <c r="L278" i="80" s="1"/>
  <c r="K213" i="80" a="1"/>
  <c r="K213" i="80" s="1"/>
  <c r="K278" i="80" s="1"/>
  <c r="J213" i="80" a="1"/>
  <c r="J213" i="80" s="1"/>
  <c r="J278" i="80" s="1"/>
  <c r="I213" i="80" a="1"/>
  <c r="I213" i="80" s="1"/>
  <c r="I278" i="80" s="1"/>
  <c r="H213" i="80" a="1"/>
  <c r="H213" i="80" s="1"/>
  <c r="H278" i="80" s="1"/>
  <c r="G213" i="80" a="1"/>
  <c r="G213" i="80" s="1"/>
  <c r="G278" i="80" s="1"/>
  <c r="F213" i="80" a="1"/>
  <c r="F213" i="80" s="1"/>
  <c r="F278" i="80" s="1"/>
  <c r="E213" i="80" a="1"/>
  <c r="E213" i="80" s="1"/>
  <c r="E278" i="80" s="1"/>
  <c r="D213" i="80" a="1"/>
  <c r="D213" i="80" s="1"/>
  <c r="P212" i="80" a="1"/>
  <c r="P212" i="80" s="1"/>
  <c r="P277" i="80" s="1"/>
  <c r="O212" i="80" a="1"/>
  <c r="O212" i="80" s="1"/>
  <c r="O277" i="80" s="1"/>
  <c r="N212" i="80" a="1"/>
  <c r="N212" i="80" s="1"/>
  <c r="N277" i="80" s="1"/>
  <c r="M212" i="80" a="1"/>
  <c r="M212" i="80" s="1"/>
  <c r="M277" i="80" s="1"/>
  <c r="L212" i="80" a="1"/>
  <c r="L212" i="80" s="1"/>
  <c r="L277" i="80" s="1"/>
  <c r="K212" i="80" a="1"/>
  <c r="K212" i="80" s="1"/>
  <c r="K277" i="80" s="1"/>
  <c r="J212" i="80" a="1"/>
  <c r="J212" i="80" s="1"/>
  <c r="J277" i="80" s="1"/>
  <c r="I212" i="80" a="1"/>
  <c r="I212" i="80" s="1"/>
  <c r="I277" i="80" s="1"/>
  <c r="H212" i="80" a="1"/>
  <c r="H212" i="80" s="1"/>
  <c r="H277" i="80" s="1"/>
  <c r="G212" i="80" a="1"/>
  <c r="G212" i="80" s="1"/>
  <c r="G277" i="80" s="1"/>
  <c r="F212" i="80" a="1"/>
  <c r="F212" i="80" s="1"/>
  <c r="F277" i="80" s="1"/>
  <c r="E212" i="80" a="1"/>
  <c r="E212" i="80" s="1"/>
  <c r="E277" i="80" s="1"/>
  <c r="D212" i="80" a="1"/>
  <c r="D212" i="80" s="1"/>
  <c r="P211" i="80" a="1"/>
  <c r="P211" i="80" s="1"/>
  <c r="P276" i="80" s="1"/>
  <c r="O211" i="80" a="1"/>
  <c r="O211" i="80" s="1"/>
  <c r="O276" i="80" s="1"/>
  <c r="N211" i="80" a="1"/>
  <c r="N211" i="80" s="1"/>
  <c r="N276" i="80" s="1"/>
  <c r="M211" i="80" a="1"/>
  <c r="M211" i="80" s="1"/>
  <c r="M276" i="80" s="1"/>
  <c r="L211" i="80" a="1"/>
  <c r="L211" i="80" s="1"/>
  <c r="L276" i="80" s="1"/>
  <c r="K211" i="80" a="1"/>
  <c r="K211" i="80" s="1"/>
  <c r="K276" i="80" s="1"/>
  <c r="J211" i="80" a="1"/>
  <c r="J211" i="80" s="1"/>
  <c r="J276" i="80" s="1"/>
  <c r="I211" i="80" a="1"/>
  <c r="I211" i="80" s="1"/>
  <c r="I276" i="80" s="1"/>
  <c r="H211" i="80" a="1"/>
  <c r="H211" i="80" s="1"/>
  <c r="H276" i="80" s="1"/>
  <c r="G211" i="80" a="1"/>
  <c r="G211" i="80" s="1"/>
  <c r="G276" i="80" s="1"/>
  <c r="F211" i="80" a="1"/>
  <c r="F211" i="80" s="1"/>
  <c r="F276" i="80" s="1"/>
  <c r="E211" i="80" a="1"/>
  <c r="E211" i="80" s="1"/>
  <c r="E276" i="80" s="1"/>
  <c r="D211" i="80" a="1"/>
  <c r="D211" i="80" s="1"/>
  <c r="P210" i="80" a="1"/>
  <c r="P210" i="80" s="1"/>
  <c r="P275" i="80" s="1"/>
  <c r="O210" i="80" a="1"/>
  <c r="O210" i="80" s="1"/>
  <c r="O275" i="80" s="1"/>
  <c r="N210" i="80" a="1"/>
  <c r="N210" i="80" s="1"/>
  <c r="N275" i="80" s="1"/>
  <c r="M210" i="80" a="1"/>
  <c r="M210" i="80" s="1"/>
  <c r="M275" i="80" s="1"/>
  <c r="L210" i="80" a="1"/>
  <c r="L210" i="80" s="1"/>
  <c r="L275" i="80" s="1"/>
  <c r="K210" i="80" a="1"/>
  <c r="K210" i="80" s="1"/>
  <c r="K275" i="80" s="1"/>
  <c r="J210" i="80" a="1"/>
  <c r="J210" i="80" s="1"/>
  <c r="J275" i="80" s="1"/>
  <c r="I210" i="80" a="1"/>
  <c r="I210" i="80" s="1"/>
  <c r="I275" i="80" s="1"/>
  <c r="H210" i="80" a="1"/>
  <c r="H210" i="80" s="1"/>
  <c r="H275" i="80" s="1"/>
  <c r="G210" i="80" a="1"/>
  <c r="G210" i="80" s="1"/>
  <c r="G275" i="80" s="1"/>
  <c r="F210" i="80" a="1"/>
  <c r="F210" i="80" s="1"/>
  <c r="F275" i="80" s="1"/>
  <c r="E210" i="80" a="1"/>
  <c r="E210" i="80" s="1"/>
  <c r="E275" i="80" s="1"/>
  <c r="D210" i="80" a="1"/>
  <c r="D210" i="80" s="1"/>
  <c r="P209" i="80" a="1"/>
  <c r="P209" i="80" s="1"/>
  <c r="P274" i="80" s="1"/>
  <c r="O209" i="80" a="1"/>
  <c r="O209" i="80" s="1"/>
  <c r="O274" i="80" s="1"/>
  <c r="N209" i="80" a="1"/>
  <c r="N209" i="80" s="1"/>
  <c r="N274" i="80" s="1"/>
  <c r="M209" i="80" a="1"/>
  <c r="M209" i="80" s="1"/>
  <c r="M274" i="80" s="1"/>
  <c r="L209" i="80" a="1"/>
  <c r="L209" i="80" s="1"/>
  <c r="L274" i="80" s="1"/>
  <c r="K209" i="80" a="1"/>
  <c r="K209" i="80" s="1"/>
  <c r="K274" i="80" s="1"/>
  <c r="J209" i="80" a="1"/>
  <c r="J209" i="80" s="1"/>
  <c r="J274" i="80" s="1"/>
  <c r="I209" i="80" a="1"/>
  <c r="I209" i="80" s="1"/>
  <c r="I274" i="80" s="1"/>
  <c r="H209" i="80" a="1"/>
  <c r="H209" i="80" s="1"/>
  <c r="H274" i="80" s="1"/>
  <c r="G209" i="80" a="1"/>
  <c r="G209" i="80" s="1"/>
  <c r="G274" i="80" s="1"/>
  <c r="F209" i="80" a="1"/>
  <c r="F209" i="80" s="1"/>
  <c r="F274" i="80" s="1"/>
  <c r="E209" i="80" a="1"/>
  <c r="E209" i="80" s="1"/>
  <c r="E274" i="80" s="1"/>
  <c r="D209" i="80" a="1"/>
  <c r="D209" i="80" s="1"/>
  <c r="P208" i="80" a="1"/>
  <c r="P208" i="80" s="1"/>
  <c r="P273" i="80" s="1"/>
  <c r="O208" i="80" a="1"/>
  <c r="O208" i="80" s="1"/>
  <c r="O273" i="80" s="1"/>
  <c r="N208" i="80" a="1"/>
  <c r="N208" i="80" s="1"/>
  <c r="N273" i="80" s="1"/>
  <c r="M208" i="80" a="1"/>
  <c r="M208" i="80" s="1"/>
  <c r="M273" i="80" s="1"/>
  <c r="L208" i="80" a="1"/>
  <c r="L208" i="80" s="1"/>
  <c r="L273" i="80" s="1"/>
  <c r="K208" i="80" a="1"/>
  <c r="K208" i="80" s="1"/>
  <c r="K273" i="80" s="1"/>
  <c r="J208" i="80" a="1"/>
  <c r="J208" i="80" s="1"/>
  <c r="J273" i="80" s="1"/>
  <c r="I208" i="80" a="1"/>
  <c r="I208" i="80" s="1"/>
  <c r="I273" i="80" s="1"/>
  <c r="H208" i="80" a="1"/>
  <c r="H208" i="80" s="1"/>
  <c r="H273" i="80" s="1"/>
  <c r="G208" i="80" a="1"/>
  <c r="G208" i="80" s="1"/>
  <c r="G273" i="80" s="1"/>
  <c r="F208" i="80" a="1"/>
  <c r="F208" i="80" s="1"/>
  <c r="F273" i="80" s="1"/>
  <c r="E208" i="80" a="1"/>
  <c r="E208" i="80" s="1"/>
  <c r="E273" i="80" s="1"/>
  <c r="D208" i="80" a="1"/>
  <c r="D208" i="80" s="1"/>
  <c r="P207" i="80" a="1"/>
  <c r="P207" i="80" s="1"/>
  <c r="P272" i="80" s="1"/>
  <c r="O207" i="80" a="1"/>
  <c r="O207" i="80" s="1"/>
  <c r="O272" i="80" s="1"/>
  <c r="N207" i="80" a="1"/>
  <c r="N207" i="80" s="1"/>
  <c r="N272" i="80" s="1"/>
  <c r="M207" i="80" a="1"/>
  <c r="M207" i="80" s="1"/>
  <c r="M272" i="80" s="1"/>
  <c r="L207" i="80" a="1"/>
  <c r="L207" i="80" s="1"/>
  <c r="L272" i="80" s="1"/>
  <c r="K207" i="80" a="1"/>
  <c r="K207" i="80" s="1"/>
  <c r="K272" i="80" s="1"/>
  <c r="J207" i="80" a="1"/>
  <c r="J207" i="80" s="1"/>
  <c r="J272" i="80" s="1"/>
  <c r="I207" i="80" a="1"/>
  <c r="I207" i="80" s="1"/>
  <c r="I272" i="80" s="1"/>
  <c r="H207" i="80" a="1"/>
  <c r="H207" i="80" s="1"/>
  <c r="H272" i="80" s="1"/>
  <c r="G207" i="80" a="1"/>
  <c r="G207" i="80" s="1"/>
  <c r="G272" i="80" s="1"/>
  <c r="F207" i="80" a="1"/>
  <c r="F207" i="80" s="1"/>
  <c r="F272" i="80" s="1"/>
  <c r="E207" i="80" a="1"/>
  <c r="E207" i="80" s="1"/>
  <c r="E272" i="80" s="1"/>
  <c r="D207" i="80" a="1"/>
  <c r="D207" i="80" s="1"/>
  <c r="P206" i="80" a="1"/>
  <c r="P206" i="80" s="1"/>
  <c r="P271" i="80" s="1"/>
  <c r="O206" i="80" a="1"/>
  <c r="O206" i="80" s="1"/>
  <c r="O271" i="80" s="1"/>
  <c r="N206" i="80" a="1"/>
  <c r="N206" i="80" s="1"/>
  <c r="N271" i="80" s="1"/>
  <c r="M206" i="80" a="1"/>
  <c r="M206" i="80" s="1"/>
  <c r="M271" i="80" s="1"/>
  <c r="L206" i="80" a="1"/>
  <c r="L206" i="80" s="1"/>
  <c r="L271" i="80" s="1"/>
  <c r="K206" i="80" a="1"/>
  <c r="K206" i="80" s="1"/>
  <c r="K271" i="80" s="1"/>
  <c r="J206" i="80" a="1"/>
  <c r="J206" i="80" s="1"/>
  <c r="J271" i="80" s="1"/>
  <c r="I206" i="80" a="1"/>
  <c r="I206" i="80" s="1"/>
  <c r="I271" i="80" s="1"/>
  <c r="H206" i="80" a="1"/>
  <c r="H206" i="80" s="1"/>
  <c r="H271" i="80" s="1"/>
  <c r="G206" i="80" a="1"/>
  <c r="G206" i="80" s="1"/>
  <c r="G271" i="80" s="1"/>
  <c r="F206" i="80" a="1"/>
  <c r="F206" i="80" s="1"/>
  <c r="F271" i="80" s="1"/>
  <c r="E206" i="80" a="1"/>
  <c r="E206" i="80" s="1"/>
  <c r="E271" i="80" s="1"/>
  <c r="D206" i="80" a="1"/>
  <c r="D206" i="80" s="1"/>
  <c r="P205" i="80" a="1"/>
  <c r="P205" i="80" s="1"/>
  <c r="P270" i="80" s="1"/>
  <c r="O205" i="80" a="1"/>
  <c r="O205" i="80" s="1"/>
  <c r="O270" i="80" s="1"/>
  <c r="N205" i="80" a="1"/>
  <c r="N205" i="80" s="1"/>
  <c r="N270" i="80" s="1"/>
  <c r="M205" i="80" a="1"/>
  <c r="M205" i="80" s="1"/>
  <c r="M270" i="80" s="1"/>
  <c r="L205" i="80" a="1"/>
  <c r="L205" i="80" s="1"/>
  <c r="L270" i="80" s="1"/>
  <c r="K205" i="80" a="1"/>
  <c r="K205" i="80" s="1"/>
  <c r="K270" i="80" s="1"/>
  <c r="J205" i="80" a="1"/>
  <c r="J205" i="80" s="1"/>
  <c r="J270" i="80" s="1"/>
  <c r="I205" i="80" a="1"/>
  <c r="I205" i="80" s="1"/>
  <c r="I270" i="80" s="1"/>
  <c r="H205" i="80" a="1"/>
  <c r="H205" i="80" s="1"/>
  <c r="H270" i="80" s="1"/>
  <c r="G205" i="80" a="1"/>
  <c r="G205" i="80" s="1"/>
  <c r="G270" i="80" s="1"/>
  <c r="F205" i="80" a="1"/>
  <c r="F205" i="80" s="1"/>
  <c r="F270" i="80" s="1"/>
  <c r="E205" i="80" a="1"/>
  <c r="E205" i="80" s="1"/>
  <c r="E270" i="80" s="1"/>
  <c r="D205" i="80" a="1"/>
  <c r="D205" i="80" s="1"/>
  <c r="P204" i="80" a="1"/>
  <c r="P204" i="80" s="1"/>
  <c r="P269" i="80" s="1"/>
  <c r="O204" i="80" a="1"/>
  <c r="O204" i="80" s="1"/>
  <c r="O269" i="80" s="1"/>
  <c r="N204" i="80" a="1"/>
  <c r="N204" i="80" s="1"/>
  <c r="N269" i="80" s="1"/>
  <c r="M204" i="80" a="1"/>
  <c r="M204" i="80" s="1"/>
  <c r="M269" i="80" s="1"/>
  <c r="L204" i="80" a="1"/>
  <c r="L204" i="80" s="1"/>
  <c r="L269" i="80" s="1"/>
  <c r="K204" i="80" a="1"/>
  <c r="K204" i="80" s="1"/>
  <c r="K269" i="80" s="1"/>
  <c r="J204" i="80" a="1"/>
  <c r="J204" i="80" s="1"/>
  <c r="J269" i="80" s="1"/>
  <c r="I204" i="80" a="1"/>
  <c r="I204" i="80" s="1"/>
  <c r="I269" i="80" s="1"/>
  <c r="H204" i="80" a="1"/>
  <c r="H204" i="80" s="1"/>
  <c r="H269" i="80" s="1"/>
  <c r="G204" i="80" a="1"/>
  <c r="G204" i="80" s="1"/>
  <c r="G269" i="80" s="1"/>
  <c r="F204" i="80" a="1"/>
  <c r="F204" i="80" s="1"/>
  <c r="F269" i="80" s="1"/>
  <c r="E204" i="80" a="1"/>
  <c r="E204" i="80" s="1"/>
  <c r="E269" i="80" s="1"/>
  <c r="D204" i="80" a="1"/>
  <c r="D204" i="80" s="1"/>
  <c r="P203" i="80" a="1"/>
  <c r="P203" i="80" s="1"/>
  <c r="P268" i="80" s="1"/>
  <c r="O203" i="80" a="1"/>
  <c r="O203" i="80" s="1"/>
  <c r="O268" i="80" s="1"/>
  <c r="N203" i="80" a="1"/>
  <c r="N203" i="80" s="1"/>
  <c r="N268" i="80" s="1"/>
  <c r="M203" i="80" a="1"/>
  <c r="M203" i="80" s="1"/>
  <c r="M268" i="80" s="1"/>
  <c r="L203" i="80" a="1"/>
  <c r="L203" i="80" s="1"/>
  <c r="L268" i="80" s="1"/>
  <c r="K203" i="80" a="1"/>
  <c r="K203" i="80" s="1"/>
  <c r="K268" i="80" s="1"/>
  <c r="J203" i="80" a="1"/>
  <c r="J203" i="80" s="1"/>
  <c r="J268" i="80" s="1"/>
  <c r="I203" i="80" a="1"/>
  <c r="I203" i="80" s="1"/>
  <c r="I268" i="80" s="1"/>
  <c r="H203" i="80" a="1"/>
  <c r="H203" i="80" s="1"/>
  <c r="H268" i="80" s="1"/>
  <c r="G203" i="80" a="1"/>
  <c r="G203" i="80" s="1"/>
  <c r="G268" i="80" s="1"/>
  <c r="F203" i="80" a="1"/>
  <c r="F203" i="80" s="1"/>
  <c r="F268" i="80" s="1"/>
  <c r="E203" i="80" a="1"/>
  <c r="E203" i="80" s="1"/>
  <c r="E268" i="80" s="1"/>
  <c r="D203" i="80" a="1"/>
  <c r="D203" i="80" s="1"/>
  <c r="P202" i="80" a="1"/>
  <c r="P202" i="80" s="1"/>
  <c r="P267" i="80" s="1"/>
  <c r="O202" i="80" a="1"/>
  <c r="O202" i="80" s="1"/>
  <c r="O267" i="80" s="1"/>
  <c r="N202" i="80" a="1"/>
  <c r="N202" i="80" s="1"/>
  <c r="N267" i="80" s="1"/>
  <c r="M202" i="80" a="1"/>
  <c r="M202" i="80" s="1"/>
  <c r="M267" i="80" s="1"/>
  <c r="L202" i="80" a="1"/>
  <c r="L202" i="80" s="1"/>
  <c r="L267" i="80" s="1"/>
  <c r="K202" i="80" a="1"/>
  <c r="K202" i="80" s="1"/>
  <c r="K267" i="80" s="1"/>
  <c r="J202" i="80" a="1"/>
  <c r="J202" i="80" s="1"/>
  <c r="J267" i="80" s="1"/>
  <c r="I202" i="80" a="1"/>
  <c r="I202" i="80" s="1"/>
  <c r="I267" i="80" s="1"/>
  <c r="H202" i="80" a="1"/>
  <c r="H202" i="80" s="1"/>
  <c r="H267" i="80" s="1"/>
  <c r="G202" i="80" a="1"/>
  <c r="G202" i="80" s="1"/>
  <c r="G267" i="80" s="1"/>
  <c r="F202" i="80" a="1"/>
  <c r="F202" i="80" s="1"/>
  <c r="F267" i="80" s="1"/>
  <c r="E202" i="80" a="1"/>
  <c r="E202" i="80" s="1"/>
  <c r="E267" i="80" s="1"/>
  <c r="D202" i="80" a="1"/>
  <c r="D202" i="80" s="1"/>
  <c r="P201" i="80" a="1"/>
  <c r="P201" i="80" s="1"/>
  <c r="P266" i="80" s="1"/>
  <c r="O201" i="80" a="1"/>
  <c r="O201" i="80" s="1"/>
  <c r="O266" i="80" s="1"/>
  <c r="N201" i="80" a="1"/>
  <c r="N201" i="80" s="1"/>
  <c r="N266" i="80" s="1"/>
  <c r="M201" i="80" a="1"/>
  <c r="M201" i="80" s="1"/>
  <c r="M266" i="80" s="1"/>
  <c r="L201" i="80" a="1"/>
  <c r="L201" i="80" s="1"/>
  <c r="L266" i="80" s="1"/>
  <c r="K201" i="80" a="1"/>
  <c r="K201" i="80" s="1"/>
  <c r="K266" i="80" s="1"/>
  <c r="J201" i="80" a="1"/>
  <c r="J201" i="80" s="1"/>
  <c r="J266" i="80" s="1"/>
  <c r="I201" i="80" a="1"/>
  <c r="I201" i="80" s="1"/>
  <c r="I266" i="80" s="1"/>
  <c r="H201" i="80" a="1"/>
  <c r="H201" i="80" s="1"/>
  <c r="H266" i="80" s="1"/>
  <c r="G201" i="80" a="1"/>
  <c r="G201" i="80" s="1"/>
  <c r="G266" i="80" s="1"/>
  <c r="F201" i="80" a="1"/>
  <c r="F201" i="80" s="1"/>
  <c r="F266" i="80" s="1"/>
  <c r="E201" i="80" a="1"/>
  <c r="E201" i="80" s="1"/>
  <c r="E266" i="80" s="1"/>
  <c r="D201" i="80" a="1"/>
  <c r="D201" i="80" s="1"/>
  <c r="P200" i="80" a="1"/>
  <c r="P200" i="80" s="1"/>
  <c r="P265" i="80" s="1"/>
  <c r="O200" i="80" a="1"/>
  <c r="O200" i="80" s="1"/>
  <c r="O265" i="80" s="1"/>
  <c r="N200" i="80" a="1"/>
  <c r="N200" i="80" s="1"/>
  <c r="N265" i="80" s="1"/>
  <c r="M200" i="80" a="1"/>
  <c r="M200" i="80" s="1"/>
  <c r="M265" i="80" s="1"/>
  <c r="L200" i="80" a="1"/>
  <c r="L200" i="80" s="1"/>
  <c r="L265" i="80" s="1"/>
  <c r="K200" i="80" a="1"/>
  <c r="K200" i="80" s="1"/>
  <c r="K265" i="80" s="1"/>
  <c r="J200" i="80" a="1"/>
  <c r="J200" i="80" s="1"/>
  <c r="J265" i="80" s="1"/>
  <c r="I200" i="80" a="1"/>
  <c r="I200" i="80" s="1"/>
  <c r="I265" i="80" s="1"/>
  <c r="H200" i="80" a="1"/>
  <c r="H200" i="80" s="1"/>
  <c r="H265" i="80" s="1"/>
  <c r="G200" i="80" a="1"/>
  <c r="G200" i="80" s="1"/>
  <c r="G265" i="80" s="1"/>
  <c r="F200" i="80" a="1"/>
  <c r="F200" i="80" s="1"/>
  <c r="F265" i="80" s="1"/>
  <c r="E200" i="80" a="1"/>
  <c r="E200" i="80" s="1"/>
  <c r="E265" i="80" s="1"/>
  <c r="D200" i="80" a="1"/>
  <c r="D200" i="80" s="1"/>
  <c r="P199" i="80" a="1"/>
  <c r="P199" i="80" s="1"/>
  <c r="P264" i="80" s="1"/>
  <c r="O199" i="80" a="1"/>
  <c r="O199" i="80" s="1"/>
  <c r="O264" i="80" s="1"/>
  <c r="N199" i="80" a="1"/>
  <c r="N199" i="80" s="1"/>
  <c r="N264" i="80" s="1"/>
  <c r="M199" i="80" a="1"/>
  <c r="M199" i="80" s="1"/>
  <c r="M264" i="80" s="1"/>
  <c r="L199" i="80" a="1"/>
  <c r="L199" i="80" s="1"/>
  <c r="L264" i="80" s="1"/>
  <c r="K199" i="80" a="1"/>
  <c r="K199" i="80" s="1"/>
  <c r="K264" i="80" s="1"/>
  <c r="J199" i="80" a="1"/>
  <c r="J199" i="80" s="1"/>
  <c r="J264" i="80" s="1"/>
  <c r="I199" i="80" a="1"/>
  <c r="I199" i="80" s="1"/>
  <c r="I264" i="80" s="1"/>
  <c r="H199" i="80" a="1"/>
  <c r="H199" i="80" s="1"/>
  <c r="H264" i="80" s="1"/>
  <c r="G199" i="80" a="1"/>
  <c r="G199" i="80" s="1"/>
  <c r="G264" i="80" s="1"/>
  <c r="F199" i="80" a="1"/>
  <c r="F199" i="80" s="1"/>
  <c r="F264" i="80" s="1"/>
  <c r="E199" i="80" a="1"/>
  <c r="E199" i="80" s="1"/>
  <c r="E264" i="80" s="1"/>
  <c r="D199" i="80" a="1"/>
  <c r="D199" i="80" s="1"/>
  <c r="P198" i="80" a="1"/>
  <c r="P198" i="80" s="1"/>
  <c r="P263" i="80" s="1"/>
  <c r="O198" i="80" a="1"/>
  <c r="O198" i="80" s="1"/>
  <c r="O263" i="80" s="1"/>
  <c r="N198" i="80" a="1"/>
  <c r="N198" i="80" s="1"/>
  <c r="N263" i="80" s="1"/>
  <c r="M198" i="80" a="1"/>
  <c r="M198" i="80" s="1"/>
  <c r="M263" i="80" s="1"/>
  <c r="L198" i="80" a="1"/>
  <c r="L198" i="80" s="1"/>
  <c r="L263" i="80" s="1"/>
  <c r="K198" i="80" a="1"/>
  <c r="K198" i="80" s="1"/>
  <c r="K263" i="80" s="1"/>
  <c r="J198" i="80" a="1"/>
  <c r="J198" i="80" s="1"/>
  <c r="J263" i="80" s="1"/>
  <c r="I198" i="80" a="1"/>
  <c r="I198" i="80" s="1"/>
  <c r="I263" i="80" s="1"/>
  <c r="H198" i="80" a="1"/>
  <c r="H198" i="80" s="1"/>
  <c r="H263" i="80" s="1"/>
  <c r="G198" i="80" a="1"/>
  <c r="G198" i="80" s="1"/>
  <c r="G263" i="80" s="1"/>
  <c r="F198" i="80" a="1"/>
  <c r="F198" i="80" s="1"/>
  <c r="F263" i="80" s="1"/>
  <c r="E198" i="80" a="1"/>
  <c r="E198" i="80" s="1"/>
  <c r="E263" i="80" s="1"/>
  <c r="D198" i="80" a="1"/>
  <c r="D198" i="80" s="1"/>
  <c r="P197" i="80" a="1"/>
  <c r="P197" i="80" s="1"/>
  <c r="P262" i="80" s="1"/>
  <c r="O197" i="80" a="1"/>
  <c r="O197" i="80" s="1"/>
  <c r="O262" i="80" s="1"/>
  <c r="N197" i="80" a="1"/>
  <c r="N197" i="80" s="1"/>
  <c r="N262" i="80" s="1"/>
  <c r="M197" i="80" a="1"/>
  <c r="M197" i="80" s="1"/>
  <c r="M262" i="80" s="1"/>
  <c r="L197" i="80" a="1"/>
  <c r="L197" i="80" s="1"/>
  <c r="L262" i="80" s="1"/>
  <c r="K197" i="80" a="1"/>
  <c r="K197" i="80" s="1"/>
  <c r="K262" i="80" s="1"/>
  <c r="J197" i="80" a="1"/>
  <c r="J197" i="80" s="1"/>
  <c r="J262" i="80" s="1"/>
  <c r="I197" i="80" a="1"/>
  <c r="I197" i="80" s="1"/>
  <c r="I262" i="80" s="1"/>
  <c r="H197" i="80" a="1"/>
  <c r="H197" i="80" s="1"/>
  <c r="H262" i="80" s="1"/>
  <c r="G197" i="80" a="1"/>
  <c r="G197" i="80" s="1"/>
  <c r="G262" i="80" s="1"/>
  <c r="F197" i="80" a="1"/>
  <c r="F197" i="80" s="1"/>
  <c r="F262" i="80" s="1"/>
  <c r="E197" i="80" a="1"/>
  <c r="E197" i="80" s="1"/>
  <c r="E262" i="80" s="1"/>
  <c r="D197" i="80" a="1"/>
  <c r="D197" i="80" s="1"/>
  <c r="P196" i="80" a="1"/>
  <c r="P196" i="80" s="1"/>
  <c r="P261" i="80" s="1"/>
  <c r="O196" i="80" a="1"/>
  <c r="O196" i="80" s="1"/>
  <c r="O261" i="80" s="1"/>
  <c r="N196" i="80" a="1"/>
  <c r="N196" i="80" s="1"/>
  <c r="N261" i="80" s="1"/>
  <c r="M196" i="80" a="1"/>
  <c r="M196" i="80" s="1"/>
  <c r="M261" i="80" s="1"/>
  <c r="L196" i="80" a="1"/>
  <c r="L196" i="80" s="1"/>
  <c r="L261" i="80" s="1"/>
  <c r="K196" i="80" a="1"/>
  <c r="K196" i="80" s="1"/>
  <c r="K261" i="80" s="1"/>
  <c r="J196" i="80" a="1"/>
  <c r="J196" i="80" s="1"/>
  <c r="J261" i="80" s="1"/>
  <c r="I196" i="80" a="1"/>
  <c r="I196" i="80" s="1"/>
  <c r="I261" i="80" s="1"/>
  <c r="H196" i="80" a="1"/>
  <c r="H196" i="80" s="1"/>
  <c r="H261" i="80" s="1"/>
  <c r="G196" i="80" a="1"/>
  <c r="G196" i="80" s="1"/>
  <c r="G261" i="80" s="1"/>
  <c r="F196" i="80" a="1"/>
  <c r="F196" i="80" s="1"/>
  <c r="F261" i="80" s="1"/>
  <c r="E196" i="80" a="1"/>
  <c r="E196" i="80" s="1"/>
  <c r="E261" i="80" s="1"/>
  <c r="D196" i="80" a="1"/>
  <c r="D196" i="80" s="1"/>
  <c r="P195" i="80" a="1"/>
  <c r="P195" i="80" s="1"/>
  <c r="P260" i="80" s="1"/>
  <c r="O195" i="80" a="1"/>
  <c r="O195" i="80" s="1"/>
  <c r="O260" i="80" s="1"/>
  <c r="N195" i="80" a="1"/>
  <c r="N195" i="80" s="1"/>
  <c r="N260" i="80" s="1"/>
  <c r="M195" i="80" a="1"/>
  <c r="M195" i="80" s="1"/>
  <c r="M260" i="80" s="1"/>
  <c r="L195" i="80" a="1"/>
  <c r="L195" i="80" s="1"/>
  <c r="L260" i="80" s="1"/>
  <c r="K195" i="80" a="1"/>
  <c r="K195" i="80" s="1"/>
  <c r="K260" i="80" s="1"/>
  <c r="J195" i="80" a="1"/>
  <c r="J195" i="80" s="1"/>
  <c r="J260" i="80" s="1"/>
  <c r="I195" i="80" a="1"/>
  <c r="I195" i="80" s="1"/>
  <c r="I260" i="80" s="1"/>
  <c r="H195" i="80" a="1"/>
  <c r="H195" i="80" s="1"/>
  <c r="H260" i="80" s="1"/>
  <c r="G195" i="80" a="1"/>
  <c r="G195" i="80" s="1"/>
  <c r="G260" i="80" s="1"/>
  <c r="F195" i="80" a="1"/>
  <c r="F195" i="80" s="1"/>
  <c r="F260" i="80" s="1"/>
  <c r="E195" i="80" a="1"/>
  <c r="E195" i="80" s="1"/>
  <c r="E260" i="80" s="1"/>
  <c r="D195" i="80" a="1"/>
  <c r="D195" i="80" s="1"/>
  <c r="P194" i="80" a="1"/>
  <c r="P194" i="80" s="1"/>
  <c r="P259" i="80" s="1"/>
  <c r="O194" i="80" a="1"/>
  <c r="O194" i="80" s="1"/>
  <c r="O259" i="80" s="1"/>
  <c r="N194" i="80" a="1"/>
  <c r="N194" i="80" s="1"/>
  <c r="N259" i="80" s="1"/>
  <c r="M194" i="80" a="1"/>
  <c r="M194" i="80" s="1"/>
  <c r="M259" i="80" s="1"/>
  <c r="L194" i="80" a="1"/>
  <c r="L194" i="80" s="1"/>
  <c r="L259" i="80" s="1"/>
  <c r="K194" i="80" a="1"/>
  <c r="K194" i="80" s="1"/>
  <c r="K259" i="80" s="1"/>
  <c r="J194" i="80" a="1"/>
  <c r="J194" i="80" s="1"/>
  <c r="J259" i="80" s="1"/>
  <c r="I194" i="80" a="1"/>
  <c r="I194" i="80" s="1"/>
  <c r="I259" i="80" s="1"/>
  <c r="H194" i="80" a="1"/>
  <c r="H194" i="80" s="1"/>
  <c r="H259" i="80" s="1"/>
  <c r="G194" i="80" a="1"/>
  <c r="G194" i="80" s="1"/>
  <c r="G259" i="80" s="1"/>
  <c r="F194" i="80" a="1"/>
  <c r="F194" i="80" s="1"/>
  <c r="F259" i="80" s="1"/>
  <c r="E194" i="80" a="1"/>
  <c r="E194" i="80" s="1"/>
  <c r="E259" i="80" s="1"/>
  <c r="D194" i="80" a="1"/>
  <c r="D194" i="80" s="1"/>
  <c r="P193" i="80" a="1"/>
  <c r="P193" i="80" s="1"/>
  <c r="P258" i="80" s="1"/>
  <c r="O193" i="80" a="1"/>
  <c r="O193" i="80" s="1"/>
  <c r="O258" i="80" s="1"/>
  <c r="N193" i="80" a="1"/>
  <c r="N193" i="80" s="1"/>
  <c r="N258" i="80" s="1"/>
  <c r="M193" i="80" a="1"/>
  <c r="M193" i="80" s="1"/>
  <c r="M258" i="80" s="1"/>
  <c r="L193" i="80" a="1"/>
  <c r="L193" i="80" s="1"/>
  <c r="L258" i="80" s="1"/>
  <c r="K193" i="80" a="1"/>
  <c r="K193" i="80" s="1"/>
  <c r="K258" i="80" s="1"/>
  <c r="J193" i="80" a="1"/>
  <c r="J193" i="80" s="1"/>
  <c r="J258" i="80" s="1"/>
  <c r="I193" i="80" a="1"/>
  <c r="I193" i="80" s="1"/>
  <c r="I258" i="80" s="1"/>
  <c r="H193" i="80" a="1"/>
  <c r="H193" i="80" s="1"/>
  <c r="H258" i="80" s="1"/>
  <c r="G193" i="80" a="1"/>
  <c r="G193" i="80" s="1"/>
  <c r="G258" i="80" s="1"/>
  <c r="F193" i="80" a="1"/>
  <c r="F193" i="80" s="1"/>
  <c r="F258" i="80" s="1"/>
  <c r="E193" i="80" a="1"/>
  <c r="E193" i="80" s="1"/>
  <c r="E258" i="80" s="1"/>
  <c r="D193" i="80" a="1"/>
  <c r="D193" i="80" s="1"/>
  <c r="P192" i="80" a="1"/>
  <c r="P192" i="80" s="1"/>
  <c r="P257" i="80" s="1"/>
  <c r="O192" i="80" a="1"/>
  <c r="O192" i="80" s="1"/>
  <c r="O257" i="80" s="1"/>
  <c r="N192" i="80" a="1"/>
  <c r="N192" i="80" s="1"/>
  <c r="N257" i="80" s="1"/>
  <c r="M192" i="80" a="1"/>
  <c r="M192" i="80" s="1"/>
  <c r="M257" i="80" s="1"/>
  <c r="L192" i="80" a="1"/>
  <c r="L192" i="80" s="1"/>
  <c r="L257" i="80" s="1"/>
  <c r="K192" i="80" a="1"/>
  <c r="K192" i="80" s="1"/>
  <c r="K257" i="80" s="1"/>
  <c r="J192" i="80" a="1"/>
  <c r="J192" i="80" s="1"/>
  <c r="J257" i="80" s="1"/>
  <c r="I192" i="80" a="1"/>
  <c r="I192" i="80" s="1"/>
  <c r="I257" i="80" s="1"/>
  <c r="H192" i="80" a="1"/>
  <c r="H192" i="80" s="1"/>
  <c r="H257" i="80" s="1"/>
  <c r="G192" i="80" a="1"/>
  <c r="G192" i="80" s="1"/>
  <c r="G257" i="80" s="1"/>
  <c r="F192" i="80" a="1"/>
  <c r="F192" i="80" s="1"/>
  <c r="F257" i="80" s="1"/>
  <c r="E192" i="80" a="1"/>
  <c r="E192" i="80" s="1"/>
  <c r="E257" i="80" s="1"/>
  <c r="D192" i="80" a="1"/>
  <c r="D192" i="80" s="1"/>
  <c r="P191" i="80" a="1"/>
  <c r="P191" i="80" s="1"/>
  <c r="P256" i="80" s="1"/>
  <c r="O191" i="80" a="1"/>
  <c r="O191" i="80" s="1"/>
  <c r="O256" i="80" s="1"/>
  <c r="N191" i="80" a="1"/>
  <c r="N191" i="80" s="1"/>
  <c r="N256" i="80" s="1"/>
  <c r="M191" i="80" a="1"/>
  <c r="M191" i="80" s="1"/>
  <c r="M256" i="80" s="1"/>
  <c r="L191" i="80" a="1"/>
  <c r="L191" i="80" s="1"/>
  <c r="L256" i="80" s="1"/>
  <c r="K191" i="80" a="1"/>
  <c r="K191" i="80" s="1"/>
  <c r="K256" i="80" s="1"/>
  <c r="J191" i="80" a="1"/>
  <c r="J191" i="80" s="1"/>
  <c r="J256" i="80" s="1"/>
  <c r="I191" i="80" a="1"/>
  <c r="I191" i="80" s="1"/>
  <c r="I256" i="80" s="1"/>
  <c r="H191" i="80" a="1"/>
  <c r="H191" i="80" s="1"/>
  <c r="H256" i="80" s="1"/>
  <c r="G191" i="80" a="1"/>
  <c r="G191" i="80" s="1"/>
  <c r="G256" i="80" s="1"/>
  <c r="F191" i="80" a="1"/>
  <c r="F191" i="80" s="1"/>
  <c r="F256" i="80" s="1"/>
  <c r="E191" i="80" a="1"/>
  <c r="E191" i="80" s="1"/>
  <c r="E256" i="80" s="1"/>
  <c r="D191" i="80" a="1"/>
  <c r="D191" i="80" s="1"/>
  <c r="P190" i="80" a="1"/>
  <c r="P190" i="80" s="1"/>
  <c r="P255" i="80" s="1"/>
  <c r="O190" i="80" a="1"/>
  <c r="O190" i="80" s="1"/>
  <c r="O255" i="80" s="1"/>
  <c r="N190" i="80" a="1"/>
  <c r="N190" i="80" s="1"/>
  <c r="N255" i="80" s="1"/>
  <c r="M190" i="80" a="1"/>
  <c r="M190" i="80" s="1"/>
  <c r="M255" i="80" s="1"/>
  <c r="L190" i="80" a="1"/>
  <c r="L190" i="80" s="1"/>
  <c r="L255" i="80" s="1"/>
  <c r="K190" i="80" a="1"/>
  <c r="K190" i="80" s="1"/>
  <c r="K255" i="80" s="1"/>
  <c r="J190" i="80" a="1"/>
  <c r="J190" i="80" s="1"/>
  <c r="J255" i="80" s="1"/>
  <c r="I190" i="80" a="1"/>
  <c r="I190" i="80" s="1"/>
  <c r="I255" i="80" s="1"/>
  <c r="H190" i="80" a="1"/>
  <c r="H190" i="80" s="1"/>
  <c r="H255" i="80" s="1"/>
  <c r="G190" i="80" a="1"/>
  <c r="G190" i="80" s="1"/>
  <c r="G255" i="80" s="1"/>
  <c r="F190" i="80" a="1"/>
  <c r="F190" i="80" s="1"/>
  <c r="F255" i="80" s="1"/>
  <c r="E190" i="80" a="1"/>
  <c r="E190" i="80" s="1"/>
  <c r="E255" i="80" s="1"/>
  <c r="D190" i="80" a="1"/>
  <c r="D190" i="80" s="1"/>
  <c r="D188" i="80" a="1"/>
  <c r="D188" i="80" s="1"/>
  <c r="D187" i="80" a="1"/>
  <c r="D187" i="80" s="1"/>
  <c r="D186" i="80" a="1"/>
  <c r="D186" i="80" s="1"/>
  <c r="D185" i="80" a="1"/>
  <c r="D185" i="80" s="1"/>
  <c r="M182" i="80" a="1"/>
  <c r="M182" i="80" s="1"/>
  <c r="L182" i="80" a="1"/>
  <c r="L182" i="80" s="1"/>
  <c r="M254" i="80" s="1"/>
  <c r="K182" i="80" a="1"/>
  <c r="K182" i="80" s="1"/>
  <c r="J182" i="80" a="1"/>
  <c r="J182" i="80" s="1"/>
  <c r="J254" i="80" s="1"/>
  <c r="I182" i="80" a="1"/>
  <c r="I182" i="80" s="1"/>
  <c r="I254" i="80" s="1"/>
  <c r="H182" i="80" a="1"/>
  <c r="H182" i="80" s="1"/>
  <c r="H254" i="80" s="1"/>
  <c r="G182" i="80" a="1"/>
  <c r="G182" i="80" s="1"/>
  <c r="G254" i="80" s="1"/>
  <c r="F182" i="80" a="1"/>
  <c r="F182" i="80" s="1"/>
  <c r="F254" i="80" s="1"/>
  <c r="E182" i="80" a="1"/>
  <c r="E182" i="80" s="1"/>
  <c r="E254" i="80" s="1"/>
  <c r="D182" i="80" a="1"/>
  <c r="D182" i="80" s="1"/>
  <c r="M181" i="80" a="1"/>
  <c r="M181" i="80" s="1"/>
  <c r="L181" i="80" a="1"/>
  <c r="L181" i="80" s="1"/>
  <c r="M253" i="80" s="1"/>
  <c r="K181" i="80" a="1"/>
  <c r="K181" i="80" s="1"/>
  <c r="J181" i="80" a="1"/>
  <c r="J181" i="80" s="1"/>
  <c r="J253" i="80" s="1"/>
  <c r="I181" i="80" a="1"/>
  <c r="I181" i="80" s="1"/>
  <c r="I253" i="80" s="1"/>
  <c r="H181" i="80" a="1"/>
  <c r="H181" i="80" s="1"/>
  <c r="H253" i="80" s="1"/>
  <c r="G181" i="80" a="1"/>
  <c r="G181" i="80" s="1"/>
  <c r="G253" i="80" s="1"/>
  <c r="F181" i="80" a="1"/>
  <c r="F181" i="80" s="1"/>
  <c r="F253" i="80" s="1"/>
  <c r="E181" i="80" a="1"/>
  <c r="E181" i="80" s="1"/>
  <c r="E253" i="80" s="1"/>
  <c r="D181" i="80" a="1"/>
  <c r="D181" i="80" s="1"/>
  <c r="M180" i="80" a="1"/>
  <c r="M180" i="80" s="1"/>
  <c r="L180" i="80" a="1"/>
  <c r="L180" i="80" s="1"/>
  <c r="M252" i="80" s="1"/>
  <c r="K180" i="80" a="1"/>
  <c r="K180" i="80" s="1"/>
  <c r="J180" i="80" a="1"/>
  <c r="J180" i="80" s="1"/>
  <c r="J252" i="80" s="1"/>
  <c r="I180" i="80" a="1"/>
  <c r="I180" i="80" s="1"/>
  <c r="I252" i="80" s="1"/>
  <c r="H180" i="80" a="1"/>
  <c r="H180" i="80" s="1"/>
  <c r="H252" i="80" s="1"/>
  <c r="G180" i="80" a="1"/>
  <c r="G180" i="80" s="1"/>
  <c r="G252" i="80" s="1"/>
  <c r="F180" i="80" a="1"/>
  <c r="F180" i="80" s="1"/>
  <c r="F252" i="80" s="1"/>
  <c r="E180" i="80" a="1"/>
  <c r="E180" i="80" s="1"/>
  <c r="E252" i="80" s="1"/>
  <c r="D180" i="80" a="1"/>
  <c r="D180" i="80" s="1"/>
  <c r="M179" i="80" a="1"/>
  <c r="M179" i="80" s="1"/>
  <c r="L179" i="80" a="1"/>
  <c r="L179" i="80" s="1"/>
  <c r="M251" i="80" s="1"/>
  <c r="K179" i="80" a="1"/>
  <c r="K179" i="80" s="1"/>
  <c r="J179" i="80" a="1"/>
  <c r="J179" i="80" s="1"/>
  <c r="J251" i="80" s="1"/>
  <c r="I179" i="80" a="1"/>
  <c r="I179" i="80" s="1"/>
  <c r="I251" i="80" s="1"/>
  <c r="H179" i="80" a="1"/>
  <c r="H179" i="80" s="1"/>
  <c r="H251" i="80" s="1"/>
  <c r="G179" i="80" a="1"/>
  <c r="G179" i="80" s="1"/>
  <c r="G251" i="80" s="1"/>
  <c r="F179" i="80" a="1"/>
  <c r="F179" i="80" s="1"/>
  <c r="F251" i="80" s="1"/>
  <c r="E179" i="80" a="1"/>
  <c r="E179" i="80" s="1"/>
  <c r="E251" i="80" s="1"/>
  <c r="D179" i="80" a="1"/>
  <c r="D179" i="80" s="1"/>
  <c r="M178" i="80" a="1"/>
  <c r="M178" i="80" s="1"/>
  <c r="L178" i="80" a="1"/>
  <c r="L178" i="80" s="1"/>
  <c r="M250" i="80" s="1"/>
  <c r="K178" i="80" a="1"/>
  <c r="K178" i="80" s="1"/>
  <c r="J178" i="80" a="1"/>
  <c r="J178" i="80" s="1"/>
  <c r="J250" i="80" s="1"/>
  <c r="I178" i="80" a="1"/>
  <c r="I178" i="80" s="1"/>
  <c r="I250" i="80" s="1"/>
  <c r="H178" i="80" a="1"/>
  <c r="H178" i="80" s="1"/>
  <c r="H250" i="80" s="1"/>
  <c r="G178" i="80" a="1"/>
  <c r="G178" i="80" s="1"/>
  <c r="G250" i="80" s="1"/>
  <c r="F178" i="80" a="1"/>
  <c r="F178" i="80" s="1"/>
  <c r="F250" i="80" s="1"/>
  <c r="E178" i="80" a="1"/>
  <c r="E178" i="80" s="1"/>
  <c r="E250" i="80" s="1"/>
  <c r="D178" i="80" a="1"/>
  <c r="D178" i="80" s="1"/>
  <c r="M177" i="80" a="1"/>
  <c r="M177" i="80" s="1"/>
  <c r="L177" i="80" a="1"/>
  <c r="L177" i="80" s="1"/>
  <c r="M249" i="80" s="1"/>
  <c r="K177" i="80" a="1"/>
  <c r="K177" i="80" s="1"/>
  <c r="J177" i="80" a="1"/>
  <c r="J177" i="80" s="1"/>
  <c r="J249" i="80" s="1"/>
  <c r="I177" i="80" a="1"/>
  <c r="I177" i="80" s="1"/>
  <c r="I249" i="80" s="1"/>
  <c r="H177" i="80" a="1"/>
  <c r="H177" i="80" s="1"/>
  <c r="H249" i="80" s="1"/>
  <c r="G177" i="80" a="1"/>
  <c r="G177" i="80" s="1"/>
  <c r="G249" i="80" s="1"/>
  <c r="F177" i="80" a="1"/>
  <c r="F177" i="80" s="1"/>
  <c r="F249" i="80" s="1"/>
  <c r="E177" i="80" a="1"/>
  <c r="E177" i="80" s="1"/>
  <c r="E249" i="80" s="1"/>
  <c r="D177" i="80" a="1"/>
  <c r="D177" i="80" s="1"/>
  <c r="M176" i="80" a="1"/>
  <c r="M176" i="80" s="1"/>
  <c r="L176" i="80" a="1"/>
  <c r="L176" i="80" s="1"/>
  <c r="M248" i="80" s="1"/>
  <c r="K176" i="80" a="1"/>
  <c r="K176" i="80" s="1"/>
  <c r="J176" i="80" a="1"/>
  <c r="J176" i="80" s="1"/>
  <c r="J248" i="80" s="1"/>
  <c r="I176" i="80" a="1"/>
  <c r="I176" i="80" s="1"/>
  <c r="I248" i="80" s="1"/>
  <c r="H176" i="80" a="1"/>
  <c r="H176" i="80" s="1"/>
  <c r="H248" i="80" s="1"/>
  <c r="G176" i="80" a="1"/>
  <c r="G176" i="80" s="1"/>
  <c r="G248" i="80" s="1"/>
  <c r="F176" i="80" a="1"/>
  <c r="F176" i="80" s="1"/>
  <c r="F248" i="80" s="1"/>
  <c r="E176" i="80" a="1"/>
  <c r="E176" i="80" s="1"/>
  <c r="E248" i="80" s="1"/>
  <c r="D176" i="80" a="1"/>
  <c r="D176" i="80" s="1"/>
  <c r="M175" i="80" a="1"/>
  <c r="M175" i="80" s="1"/>
  <c r="L175" i="80" a="1"/>
  <c r="L175" i="80" s="1"/>
  <c r="M247" i="80" s="1"/>
  <c r="K175" i="80" a="1"/>
  <c r="K175" i="80" s="1"/>
  <c r="J175" i="80" a="1"/>
  <c r="J175" i="80" s="1"/>
  <c r="J247" i="80" s="1"/>
  <c r="I175" i="80" a="1"/>
  <c r="I175" i="80" s="1"/>
  <c r="I247" i="80" s="1"/>
  <c r="H175" i="80" a="1"/>
  <c r="H175" i="80" s="1"/>
  <c r="H247" i="80" s="1"/>
  <c r="G175" i="80" a="1"/>
  <c r="G175" i="80" s="1"/>
  <c r="G247" i="80" s="1"/>
  <c r="F175" i="80" a="1"/>
  <c r="F175" i="80" s="1"/>
  <c r="F247" i="80" s="1"/>
  <c r="E175" i="80" a="1"/>
  <c r="E175" i="80" s="1"/>
  <c r="E247" i="80" s="1"/>
  <c r="D175" i="80" a="1"/>
  <c r="D175" i="80" s="1"/>
  <c r="M174" i="80" a="1"/>
  <c r="M174" i="80" s="1"/>
  <c r="L174" i="80" a="1"/>
  <c r="L174" i="80" s="1"/>
  <c r="M246" i="80" s="1"/>
  <c r="K174" i="80" a="1"/>
  <c r="K174" i="80" s="1"/>
  <c r="J174" i="80" a="1"/>
  <c r="J174" i="80" s="1"/>
  <c r="J246" i="80" s="1"/>
  <c r="I174" i="80" a="1"/>
  <c r="I174" i="80" s="1"/>
  <c r="I246" i="80" s="1"/>
  <c r="H174" i="80" a="1"/>
  <c r="H174" i="80" s="1"/>
  <c r="H246" i="80" s="1"/>
  <c r="G174" i="80" a="1"/>
  <c r="G174" i="80" s="1"/>
  <c r="G246" i="80" s="1"/>
  <c r="F174" i="80" a="1"/>
  <c r="F174" i="80" s="1"/>
  <c r="F246" i="80" s="1"/>
  <c r="E174" i="80" a="1"/>
  <c r="E174" i="80" s="1"/>
  <c r="E246" i="80" s="1"/>
  <c r="D174" i="80" a="1"/>
  <c r="D174" i="80" s="1"/>
  <c r="M173" i="80" a="1"/>
  <c r="M173" i="80" s="1"/>
  <c r="L173" i="80" a="1"/>
  <c r="L173" i="80" s="1"/>
  <c r="M245" i="80" s="1"/>
  <c r="K173" i="80" a="1"/>
  <c r="K173" i="80" s="1"/>
  <c r="J173" i="80" a="1"/>
  <c r="J173" i="80" s="1"/>
  <c r="J245" i="80" s="1"/>
  <c r="I173" i="80" a="1"/>
  <c r="I173" i="80" s="1"/>
  <c r="I245" i="80" s="1"/>
  <c r="H173" i="80" a="1"/>
  <c r="H173" i="80" s="1"/>
  <c r="H245" i="80" s="1"/>
  <c r="G173" i="80" a="1"/>
  <c r="G173" i="80" s="1"/>
  <c r="G245" i="80" s="1"/>
  <c r="F173" i="80" a="1"/>
  <c r="F173" i="80" s="1"/>
  <c r="F245" i="80" s="1"/>
  <c r="E173" i="80" a="1"/>
  <c r="E173" i="80" s="1"/>
  <c r="E245" i="80" s="1"/>
  <c r="D173" i="80" a="1"/>
  <c r="D173" i="80" s="1"/>
  <c r="M172" i="80" a="1"/>
  <c r="M172" i="80" s="1"/>
  <c r="L172" i="80" a="1"/>
  <c r="L172" i="80" s="1"/>
  <c r="M244" i="80" s="1"/>
  <c r="K172" i="80" a="1"/>
  <c r="K172" i="80" s="1"/>
  <c r="J172" i="80" a="1"/>
  <c r="J172" i="80" s="1"/>
  <c r="J244" i="80" s="1"/>
  <c r="I172" i="80" a="1"/>
  <c r="I172" i="80" s="1"/>
  <c r="I244" i="80" s="1"/>
  <c r="H172" i="80" a="1"/>
  <c r="H172" i="80" s="1"/>
  <c r="H244" i="80" s="1"/>
  <c r="G172" i="80" a="1"/>
  <c r="G172" i="80" s="1"/>
  <c r="G244" i="80" s="1"/>
  <c r="F172" i="80" a="1"/>
  <c r="F172" i="80" s="1"/>
  <c r="F244" i="80" s="1"/>
  <c r="E172" i="80" a="1"/>
  <c r="E172" i="80" s="1"/>
  <c r="E244" i="80" s="1"/>
  <c r="D172" i="80" a="1"/>
  <c r="D172" i="80" s="1"/>
  <c r="M171" i="80" a="1"/>
  <c r="M171" i="80" s="1"/>
  <c r="L171" i="80" a="1"/>
  <c r="L171" i="80" s="1"/>
  <c r="M243" i="80" s="1"/>
  <c r="K171" i="80" a="1"/>
  <c r="K171" i="80" s="1"/>
  <c r="J171" i="80" a="1"/>
  <c r="J171" i="80" s="1"/>
  <c r="J243" i="80" s="1"/>
  <c r="I171" i="80" a="1"/>
  <c r="I171" i="80" s="1"/>
  <c r="I243" i="80" s="1"/>
  <c r="H171" i="80" a="1"/>
  <c r="H171" i="80" s="1"/>
  <c r="H243" i="80" s="1"/>
  <c r="G171" i="80" a="1"/>
  <c r="G171" i="80" s="1"/>
  <c r="G243" i="80" s="1"/>
  <c r="F171" i="80" a="1"/>
  <c r="F171" i="80" s="1"/>
  <c r="F243" i="80" s="1"/>
  <c r="E171" i="80" a="1"/>
  <c r="E171" i="80" s="1"/>
  <c r="E243" i="80" s="1"/>
  <c r="D171" i="80" a="1"/>
  <c r="D171" i="80" s="1"/>
  <c r="M170" i="80" a="1"/>
  <c r="M170" i="80" s="1"/>
  <c r="L170" i="80" a="1"/>
  <c r="L170" i="80" s="1"/>
  <c r="M242" i="80" s="1"/>
  <c r="K170" i="80" a="1"/>
  <c r="K170" i="80" s="1"/>
  <c r="J170" i="80" a="1"/>
  <c r="J170" i="80" s="1"/>
  <c r="J242" i="80" s="1"/>
  <c r="I170" i="80" a="1"/>
  <c r="I170" i="80" s="1"/>
  <c r="I242" i="80" s="1"/>
  <c r="H170" i="80" a="1"/>
  <c r="H170" i="80" s="1"/>
  <c r="H242" i="80" s="1"/>
  <c r="G170" i="80" a="1"/>
  <c r="G170" i="80" s="1"/>
  <c r="G242" i="80" s="1"/>
  <c r="F170" i="80" a="1"/>
  <c r="F170" i="80" s="1"/>
  <c r="F242" i="80" s="1"/>
  <c r="E170" i="80" a="1"/>
  <c r="E170" i="80" s="1"/>
  <c r="D170" i="80" a="1"/>
  <c r="D170" i="80" s="1"/>
  <c r="M169" i="80" a="1"/>
  <c r="M169" i="80" s="1"/>
  <c r="L169" i="80" a="1"/>
  <c r="L169" i="80" s="1"/>
  <c r="M241" i="80" s="1"/>
  <c r="K169" i="80" a="1"/>
  <c r="K169" i="80" s="1"/>
  <c r="J169" i="80" a="1"/>
  <c r="J169" i="80" s="1"/>
  <c r="J241" i="80" s="1"/>
  <c r="I169" i="80" a="1"/>
  <c r="I169" i="80" s="1"/>
  <c r="I241" i="80" s="1"/>
  <c r="H169" i="80" a="1"/>
  <c r="H169" i="80" s="1"/>
  <c r="H241" i="80" s="1"/>
  <c r="G169" i="80" a="1"/>
  <c r="G169" i="80" s="1"/>
  <c r="G241" i="80" s="1"/>
  <c r="F169" i="80" a="1"/>
  <c r="F169" i="80" s="1"/>
  <c r="F241" i="80" s="1"/>
  <c r="E169" i="80" a="1"/>
  <c r="E169" i="80" s="1"/>
  <c r="D169" i="80" a="1"/>
  <c r="D169" i="80" s="1"/>
  <c r="M168" i="80" a="1"/>
  <c r="M168" i="80" s="1"/>
  <c r="L168" i="80" a="1"/>
  <c r="L168" i="80" s="1"/>
  <c r="M240" i="80" s="1"/>
  <c r="K168" i="80" a="1"/>
  <c r="K168" i="80" s="1"/>
  <c r="J168" i="80" a="1"/>
  <c r="J168" i="80" s="1"/>
  <c r="J240" i="80" s="1"/>
  <c r="I168" i="80" a="1"/>
  <c r="I168" i="80" s="1"/>
  <c r="I240" i="80" s="1"/>
  <c r="H168" i="80" a="1"/>
  <c r="H168" i="80" s="1"/>
  <c r="H240" i="80" s="1"/>
  <c r="G168" i="80" a="1"/>
  <c r="G168" i="80" s="1"/>
  <c r="G240" i="80" s="1"/>
  <c r="F168" i="80" a="1"/>
  <c r="F168" i="80" s="1"/>
  <c r="F240" i="80" s="1"/>
  <c r="E168" i="80" a="1"/>
  <c r="E168" i="80" s="1"/>
  <c r="D168" i="80" a="1"/>
  <c r="D168" i="80" s="1"/>
  <c r="M167" i="80" a="1"/>
  <c r="M167" i="80" s="1"/>
  <c r="L167" i="80" a="1"/>
  <c r="L167" i="80" s="1"/>
  <c r="M239" i="80" s="1"/>
  <c r="K167" i="80" a="1"/>
  <c r="K167" i="80" s="1"/>
  <c r="J167" i="80" a="1"/>
  <c r="J167" i="80" s="1"/>
  <c r="J239" i="80" s="1"/>
  <c r="I167" i="80" a="1"/>
  <c r="I167" i="80" s="1"/>
  <c r="I239" i="80" s="1"/>
  <c r="H167" i="80" a="1"/>
  <c r="H167" i="80" s="1"/>
  <c r="H239" i="80" s="1"/>
  <c r="G167" i="80" a="1"/>
  <c r="G167" i="80" s="1"/>
  <c r="G239" i="80" s="1"/>
  <c r="F167" i="80" a="1"/>
  <c r="F167" i="80" s="1"/>
  <c r="F239" i="80" s="1"/>
  <c r="E167" i="80" a="1"/>
  <c r="E167" i="80" s="1"/>
  <c r="D167" i="80" a="1"/>
  <c r="D167" i="80" s="1"/>
  <c r="M166" i="80" a="1"/>
  <c r="M166" i="80" s="1"/>
  <c r="L166" i="80" a="1"/>
  <c r="L166" i="80" s="1"/>
  <c r="M238" i="80" s="1"/>
  <c r="K166" i="80" a="1"/>
  <c r="K166" i="80" s="1"/>
  <c r="J166" i="80" a="1"/>
  <c r="J166" i="80" s="1"/>
  <c r="J238" i="80" s="1"/>
  <c r="I166" i="80" a="1"/>
  <c r="I166" i="80" s="1"/>
  <c r="I238" i="80" s="1"/>
  <c r="H166" i="80" a="1"/>
  <c r="H166" i="80" s="1"/>
  <c r="H238" i="80" s="1"/>
  <c r="G166" i="80" a="1"/>
  <c r="G166" i="80" s="1"/>
  <c r="G238" i="80" s="1"/>
  <c r="F166" i="80" a="1"/>
  <c r="F166" i="80" s="1"/>
  <c r="F238" i="80" s="1"/>
  <c r="E166" i="80" a="1"/>
  <c r="E166" i="80" s="1"/>
  <c r="D166" i="80" a="1"/>
  <c r="D166" i="80" s="1"/>
  <c r="M165" i="80" a="1"/>
  <c r="M165" i="80" s="1"/>
  <c r="L165" i="80" a="1"/>
  <c r="L165" i="80" s="1"/>
  <c r="M237" i="80" s="1"/>
  <c r="K165" i="80" a="1"/>
  <c r="K165" i="80" s="1"/>
  <c r="J165" i="80" a="1"/>
  <c r="J165" i="80" s="1"/>
  <c r="J237" i="80" s="1"/>
  <c r="I165" i="80" a="1"/>
  <c r="I165" i="80" s="1"/>
  <c r="I237" i="80" s="1"/>
  <c r="H165" i="80" a="1"/>
  <c r="H165" i="80" s="1"/>
  <c r="H237" i="80" s="1"/>
  <c r="G165" i="80" a="1"/>
  <c r="G165" i="80" s="1"/>
  <c r="G237" i="80" s="1"/>
  <c r="F165" i="80" a="1"/>
  <c r="F165" i="80" s="1"/>
  <c r="F237" i="80" s="1"/>
  <c r="E165" i="80" a="1"/>
  <c r="E165" i="80" s="1"/>
  <c r="D165" i="80" a="1"/>
  <c r="D165" i="80" s="1"/>
  <c r="M164" i="80" a="1"/>
  <c r="M164" i="80" s="1"/>
  <c r="L164" i="80" a="1"/>
  <c r="L164" i="80" s="1"/>
  <c r="M236" i="80" s="1"/>
  <c r="K164" i="80" a="1"/>
  <c r="K164" i="80" s="1"/>
  <c r="J164" i="80" a="1"/>
  <c r="J164" i="80" s="1"/>
  <c r="J236" i="80" s="1"/>
  <c r="I164" i="80" a="1"/>
  <c r="I164" i="80" s="1"/>
  <c r="I236" i="80" s="1"/>
  <c r="H164" i="80" a="1"/>
  <c r="H164" i="80" s="1"/>
  <c r="H236" i="80" s="1"/>
  <c r="G164" i="80" a="1"/>
  <c r="G164" i="80" s="1"/>
  <c r="G236" i="80" s="1"/>
  <c r="F164" i="80" a="1"/>
  <c r="F164" i="80" s="1"/>
  <c r="F236" i="80" s="1"/>
  <c r="E164" i="80" a="1"/>
  <c r="E164" i="80" s="1"/>
  <c r="D164" i="80" a="1"/>
  <c r="D164" i="80" s="1"/>
  <c r="M163" i="80" a="1"/>
  <c r="M163" i="80" s="1"/>
  <c r="L163" i="80" a="1"/>
  <c r="L163" i="80" s="1"/>
  <c r="M235" i="80" s="1"/>
  <c r="K163" i="80" a="1"/>
  <c r="K163" i="80" s="1"/>
  <c r="J163" i="80" a="1"/>
  <c r="J163" i="80" s="1"/>
  <c r="J235" i="80" s="1"/>
  <c r="I163" i="80" a="1"/>
  <c r="I163" i="80" s="1"/>
  <c r="I235" i="80" s="1"/>
  <c r="H163" i="80" a="1"/>
  <c r="H163" i="80" s="1"/>
  <c r="H235" i="80" s="1"/>
  <c r="G163" i="80" a="1"/>
  <c r="G163" i="80" s="1"/>
  <c r="G235" i="80" s="1"/>
  <c r="F163" i="80" a="1"/>
  <c r="F163" i="80" s="1"/>
  <c r="F235" i="80" s="1"/>
  <c r="E163" i="80" a="1"/>
  <c r="E163" i="80" s="1"/>
  <c r="D163" i="80" a="1"/>
  <c r="D163" i="80" s="1"/>
  <c r="M162" i="80" a="1"/>
  <c r="M162" i="80" s="1"/>
  <c r="L162" i="80" a="1"/>
  <c r="L162" i="80" s="1"/>
  <c r="M234" i="80" s="1"/>
  <c r="K162" i="80" a="1"/>
  <c r="K162" i="80" s="1"/>
  <c r="J162" i="80" a="1"/>
  <c r="J162" i="80" s="1"/>
  <c r="J234" i="80" s="1"/>
  <c r="I162" i="80" a="1"/>
  <c r="I162" i="80" s="1"/>
  <c r="I234" i="80" s="1"/>
  <c r="H162" i="80" a="1"/>
  <c r="H162" i="80" s="1"/>
  <c r="H234" i="80" s="1"/>
  <c r="G162" i="80" a="1"/>
  <c r="G162" i="80" s="1"/>
  <c r="G234" i="80" s="1"/>
  <c r="F162" i="80" a="1"/>
  <c r="F162" i="80" s="1"/>
  <c r="F234" i="80" s="1"/>
  <c r="E162" i="80" a="1"/>
  <c r="E162" i="80" s="1"/>
  <c r="D162" i="80" a="1"/>
  <c r="D162" i="80" s="1"/>
  <c r="M161" i="80" a="1"/>
  <c r="M161" i="80" s="1"/>
  <c r="L161" i="80" a="1"/>
  <c r="L161" i="80" s="1"/>
  <c r="M233" i="80" s="1"/>
  <c r="K161" i="80" a="1"/>
  <c r="K161" i="80" s="1"/>
  <c r="J161" i="80" a="1"/>
  <c r="J161" i="80" s="1"/>
  <c r="J233" i="80" s="1"/>
  <c r="I161" i="80" a="1"/>
  <c r="I161" i="80" s="1"/>
  <c r="I233" i="80" s="1"/>
  <c r="H161" i="80" a="1"/>
  <c r="H161" i="80" s="1"/>
  <c r="H233" i="80" s="1"/>
  <c r="G161" i="80" a="1"/>
  <c r="G161" i="80" s="1"/>
  <c r="G233" i="80" s="1"/>
  <c r="F161" i="80" a="1"/>
  <c r="F161" i="80" s="1"/>
  <c r="F233" i="80" s="1"/>
  <c r="E161" i="80" a="1"/>
  <c r="E161" i="80" s="1"/>
  <c r="D161" i="80" a="1"/>
  <c r="D161" i="80" s="1"/>
  <c r="M160" i="80" a="1"/>
  <c r="M160" i="80" s="1"/>
  <c r="L160" i="80" a="1"/>
  <c r="L160" i="80" s="1"/>
  <c r="M232" i="80" s="1"/>
  <c r="K160" i="80" a="1"/>
  <c r="K160" i="80" s="1"/>
  <c r="J160" i="80" a="1"/>
  <c r="J160" i="80" s="1"/>
  <c r="J232" i="80" s="1"/>
  <c r="I160" i="80" a="1"/>
  <c r="I160" i="80" s="1"/>
  <c r="I232" i="80" s="1"/>
  <c r="H160" i="80" a="1"/>
  <c r="H160" i="80" s="1"/>
  <c r="H232" i="80" s="1"/>
  <c r="G160" i="80" a="1"/>
  <c r="G160" i="80" s="1"/>
  <c r="G232" i="80" s="1"/>
  <c r="F160" i="80" a="1"/>
  <c r="F160" i="80" s="1"/>
  <c r="F232" i="80" s="1"/>
  <c r="E160" i="80" a="1"/>
  <c r="E160" i="80" s="1"/>
  <c r="D160" i="80" a="1"/>
  <c r="D160" i="80" s="1"/>
  <c r="M159" i="80" a="1"/>
  <c r="M159" i="80" s="1"/>
  <c r="L159" i="80" a="1"/>
  <c r="L159" i="80" s="1"/>
  <c r="M231" i="80" s="1"/>
  <c r="K159" i="80" a="1"/>
  <c r="K159" i="80" s="1"/>
  <c r="J159" i="80" a="1"/>
  <c r="J159" i="80" s="1"/>
  <c r="J231" i="80" s="1"/>
  <c r="I159" i="80" a="1"/>
  <c r="I159" i="80" s="1"/>
  <c r="I231" i="80" s="1"/>
  <c r="H159" i="80" a="1"/>
  <c r="H159" i="80" s="1"/>
  <c r="H231" i="80" s="1"/>
  <c r="G159" i="80" a="1"/>
  <c r="G159" i="80" s="1"/>
  <c r="G231" i="80" s="1"/>
  <c r="F159" i="80" a="1"/>
  <c r="F159" i="80" s="1"/>
  <c r="F231" i="80" s="1"/>
  <c r="E159" i="80" a="1"/>
  <c r="E159" i="80" s="1"/>
  <c r="D159" i="80" a="1"/>
  <c r="D159" i="80" s="1"/>
  <c r="M158" i="80" a="1"/>
  <c r="M158" i="80" s="1"/>
  <c r="L158" i="80" a="1"/>
  <c r="L158" i="80" s="1"/>
  <c r="K158" i="80" a="1"/>
  <c r="K158" i="80" s="1"/>
  <c r="J158" i="80" a="1"/>
  <c r="J158" i="80" s="1"/>
  <c r="I158" i="80" a="1"/>
  <c r="I158" i="80" s="1"/>
  <c r="H158" i="80" a="1"/>
  <c r="H158" i="80" s="1"/>
  <c r="G158" i="80" a="1"/>
  <c r="G158" i="80" s="1"/>
  <c r="F158" i="80" a="1"/>
  <c r="F158" i="80" s="1"/>
  <c r="E158" i="80" a="1"/>
  <c r="E158" i="80" s="1"/>
  <c r="D158" i="80" a="1"/>
  <c r="D158" i="80" s="1"/>
  <c r="M157" i="80" a="1"/>
  <c r="M157" i="80" s="1"/>
  <c r="L157" i="80" a="1"/>
  <c r="L157" i="80" s="1"/>
  <c r="K157" i="80" a="1"/>
  <c r="K157" i="80" s="1"/>
  <c r="J157" i="80" a="1"/>
  <c r="J157" i="80" s="1"/>
  <c r="I157" i="80" a="1"/>
  <c r="I157" i="80" s="1"/>
  <c r="H157" i="80" a="1"/>
  <c r="H157" i="80" s="1"/>
  <c r="G157" i="80" a="1"/>
  <c r="G157" i="80" s="1"/>
  <c r="F157" i="80" a="1"/>
  <c r="F157" i="80" s="1"/>
  <c r="E157" i="80" a="1"/>
  <c r="E157" i="80" s="1"/>
  <c r="D157" i="80" a="1"/>
  <c r="D157" i="80" s="1"/>
  <c r="M156" i="80" a="1"/>
  <c r="M156" i="80" s="1"/>
  <c r="L156" i="80" a="1"/>
  <c r="L156" i="80" s="1"/>
  <c r="K156" i="80" a="1"/>
  <c r="K156" i="80" s="1"/>
  <c r="J156" i="80" a="1"/>
  <c r="J156" i="80" s="1"/>
  <c r="I156" i="80" a="1"/>
  <c r="I156" i="80" s="1"/>
  <c r="H156" i="80" a="1"/>
  <c r="H156" i="80" s="1"/>
  <c r="G156" i="80" a="1"/>
  <c r="G156" i="80" s="1"/>
  <c r="F156" i="80" a="1"/>
  <c r="F156" i="80" s="1"/>
  <c r="E156" i="80" a="1"/>
  <c r="E156" i="80" s="1"/>
  <c r="D156" i="80" a="1"/>
  <c r="D156" i="80" s="1"/>
  <c r="M155" i="80" a="1"/>
  <c r="M155" i="80" s="1"/>
  <c r="L155" i="80" a="1"/>
  <c r="L155" i="80" s="1"/>
  <c r="K155" i="80" a="1"/>
  <c r="K155" i="80" s="1"/>
  <c r="J155" i="80" a="1"/>
  <c r="J155" i="80" s="1"/>
  <c r="I155" i="80" a="1"/>
  <c r="I155" i="80" s="1"/>
  <c r="H155" i="80" a="1"/>
  <c r="H155" i="80" s="1"/>
  <c r="G155" i="80" a="1"/>
  <c r="G155" i="80" s="1"/>
  <c r="F155" i="80" a="1"/>
  <c r="F155" i="80" s="1"/>
  <c r="E155" i="80" a="1"/>
  <c r="E155" i="80" s="1"/>
  <c r="D155" i="80" a="1"/>
  <c r="D155" i="80" s="1"/>
  <c r="D153" i="80" a="1"/>
  <c r="D153" i="80" s="1"/>
  <c r="D152" i="80" a="1"/>
  <c r="D152" i="80" s="1"/>
  <c r="D151" i="80" a="1"/>
  <c r="D151" i="80" s="1"/>
  <c r="D150" i="80" a="1"/>
  <c r="D150" i="80" s="1"/>
  <c r="P81" i="80" a="1"/>
  <c r="P81" i="80" s="1"/>
  <c r="P145" i="80" s="1"/>
  <c r="O81" i="80" a="1"/>
  <c r="O81" i="80" s="1"/>
  <c r="O145" i="80" s="1"/>
  <c r="N81" i="80" a="1"/>
  <c r="N81" i="80" s="1"/>
  <c r="N145" i="80" s="1"/>
  <c r="M81" i="80" a="1"/>
  <c r="M81" i="80" s="1"/>
  <c r="M145" i="80" s="1"/>
  <c r="L81" i="80" a="1"/>
  <c r="L81" i="80" s="1"/>
  <c r="L145" i="80" s="1"/>
  <c r="K81" i="80" a="1"/>
  <c r="K81" i="80" s="1"/>
  <c r="K145" i="80" s="1"/>
  <c r="J81" i="80" a="1"/>
  <c r="J81" i="80" s="1"/>
  <c r="J145" i="80" s="1"/>
  <c r="I81" i="80" a="1"/>
  <c r="I81" i="80" s="1"/>
  <c r="I145" i="80" s="1"/>
  <c r="H81" i="80" a="1"/>
  <c r="H81" i="80" s="1"/>
  <c r="H145" i="80" s="1"/>
  <c r="G81" i="80" a="1"/>
  <c r="G81" i="80" s="1"/>
  <c r="G145" i="80" s="1"/>
  <c r="F81" i="80" a="1"/>
  <c r="F81" i="80" s="1"/>
  <c r="F145" i="80" s="1"/>
  <c r="F149" i="80" s="1"/>
  <c r="E81" i="80" a="1"/>
  <c r="E81" i="80" s="1"/>
  <c r="E145" i="80" s="1"/>
  <c r="D81" i="80" a="1"/>
  <c r="D81" i="80" s="1"/>
  <c r="P80" i="80" a="1"/>
  <c r="P80" i="80" s="1"/>
  <c r="P144" i="80" s="1"/>
  <c r="O80" i="80" a="1"/>
  <c r="O80" i="80" s="1"/>
  <c r="O144" i="80" s="1"/>
  <c r="N80" i="80" a="1"/>
  <c r="N80" i="80" s="1"/>
  <c r="N144" i="80" s="1"/>
  <c r="M80" i="80" a="1"/>
  <c r="M80" i="80" s="1"/>
  <c r="M144" i="80" s="1"/>
  <c r="L80" i="80" a="1"/>
  <c r="L80" i="80" s="1"/>
  <c r="L144" i="80" s="1"/>
  <c r="K80" i="80" a="1"/>
  <c r="K80" i="80" s="1"/>
  <c r="K144" i="80" s="1"/>
  <c r="J80" i="80" a="1"/>
  <c r="J80" i="80" s="1"/>
  <c r="J144" i="80" s="1"/>
  <c r="I80" i="80" a="1"/>
  <c r="I80" i="80" s="1"/>
  <c r="I144" i="80" s="1"/>
  <c r="H80" i="80" a="1"/>
  <c r="H80" i="80" s="1"/>
  <c r="H144" i="80" s="1"/>
  <c r="G80" i="80" a="1"/>
  <c r="G80" i="80" s="1"/>
  <c r="G144" i="80" s="1"/>
  <c r="F80" i="80" a="1"/>
  <c r="F80" i="80" s="1"/>
  <c r="F144" i="80" s="1"/>
  <c r="F148" i="80" s="1"/>
  <c r="E80" i="80" a="1"/>
  <c r="E80" i="80" s="1"/>
  <c r="E144" i="80" s="1"/>
  <c r="D80" i="80" a="1"/>
  <c r="D80" i="80" s="1"/>
  <c r="P79" i="80" a="1"/>
  <c r="P79" i="80" s="1"/>
  <c r="P143" i="80" s="1"/>
  <c r="O79" i="80" a="1"/>
  <c r="O79" i="80" s="1"/>
  <c r="O143" i="80" s="1"/>
  <c r="N79" i="80" a="1"/>
  <c r="N79" i="80" s="1"/>
  <c r="N143" i="80" s="1"/>
  <c r="M79" i="80" a="1"/>
  <c r="M79" i="80" s="1"/>
  <c r="M143" i="80" s="1"/>
  <c r="L79" i="80" a="1"/>
  <c r="L79" i="80" s="1"/>
  <c r="L143" i="80" s="1"/>
  <c r="K79" i="80" a="1"/>
  <c r="K79" i="80" s="1"/>
  <c r="K143" i="80" s="1"/>
  <c r="J79" i="80" a="1"/>
  <c r="J79" i="80" s="1"/>
  <c r="J143" i="80" s="1"/>
  <c r="I79" i="80" a="1"/>
  <c r="I79" i="80" s="1"/>
  <c r="I143" i="80" s="1"/>
  <c r="H79" i="80" a="1"/>
  <c r="H79" i="80" s="1"/>
  <c r="H143" i="80" s="1"/>
  <c r="G79" i="80" a="1"/>
  <c r="G79" i="80" s="1"/>
  <c r="G143" i="80" s="1"/>
  <c r="F79" i="80" a="1"/>
  <c r="F79" i="80" s="1"/>
  <c r="F143" i="80" s="1"/>
  <c r="F147" i="80" s="1"/>
  <c r="E79" i="80" a="1"/>
  <c r="E79" i="80" s="1"/>
  <c r="E143" i="80" s="1"/>
  <c r="D79" i="80" a="1"/>
  <c r="D79" i="80" s="1"/>
  <c r="P78" i="80" a="1"/>
  <c r="P78" i="80" s="1"/>
  <c r="P142" i="80" s="1"/>
  <c r="O78" i="80" a="1"/>
  <c r="O78" i="80" s="1"/>
  <c r="O142" i="80" s="1"/>
  <c r="N78" i="80" a="1"/>
  <c r="N78" i="80" s="1"/>
  <c r="N142" i="80" s="1"/>
  <c r="M78" i="80" a="1"/>
  <c r="M78" i="80" s="1"/>
  <c r="M142" i="80" s="1"/>
  <c r="L78" i="80" a="1"/>
  <c r="L78" i="80" s="1"/>
  <c r="L142" i="80" s="1"/>
  <c r="K78" i="80" a="1"/>
  <c r="K78" i="80" s="1"/>
  <c r="K142" i="80" s="1"/>
  <c r="J78" i="80" a="1"/>
  <c r="J78" i="80" s="1"/>
  <c r="J142" i="80" s="1"/>
  <c r="I78" i="80" a="1"/>
  <c r="I78" i="80" s="1"/>
  <c r="I142" i="80" s="1"/>
  <c r="H78" i="80" a="1"/>
  <c r="H78" i="80" s="1"/>
  <c r="H142" i="80" s="1"/>
  <c r="G78" i="80" a="1"/>
  <c r="G78" i="80" s="1"/>
  <c r="G142" i="80" s="1"/>
  <c r="F78" i="80" a="1"/>
  <c r="F78" i="80" s="1"/>
  <c r="F142" i="80" s="1"/>
  <c r="F146" i="80" s="1"/>
  <c r="E78" i="80" a="1"/>
  <c r="E78" i="80" s="1"/>
  <c r="E142" i="80" s="1"/>
  <c r="D78" i="80" a="1"/>
  <c r="D78" i="80" s="1"/>
  <c r="P77" i="80" a="1"/>
  <c r="P77" i="80" s="1"/>
  <c r="P141" i="80" s="1"/>
  <c r="O77" i="80" a="1"/>
  <c r="O77" i="80" s="1"/>
  <c r="O141" i="80" s="1"/>
  <c r="N77" i="80" a="1"/>
  <c r="N77" i="80" s="1"/>
  <c r="N141" i="80" s="1"/>
  <c r="M77" i="80" a="1"/>
  <c r="M77" i="80" s="1"/>
  <c r="M141" i="80" s="1"/>
  <c r="L77" i="80" a="1"/>
  <c r="L77" i="80" s="1"/>
  <c r="L141" i="80" s="1"/>
  <c r="K77" i="80" a="1"/>
  <c r="K77" i="80" s="1"/>
  <c r="K141" i="80" s="1"/>
  <c r="J77" i="80" a="1"/>
  <c r="J77" i="80" s="1"/>
  <c r="J141" i="80" s="1"/>
  <c r="I77" i="80" a="1"/>
  <c r="I77" i="80" s="1"/>
  <c r="I141" i="80" s="1"/>
  <c r="H77" i="80" a="1"/>
  <c r="H77" i="80" s="1"/>
  <c r="H141" i="80" s="1"/>
  <c r="G77" i="80" a="1"/>
  <c r="G77" i="80" s="1"/>
  <c r="G141" i="80" s="1"/>
  <c r="F77" i="80" a="1"/>
  <c r="F77" i="80" s="1"/>
  <c r="F141" i="80" s="1"/>
  <c r="E77" i="80" a="1"/>
  <c r="E77" i="80" s="1"/>
  <c r="E141" i="80" s="1"/>
  <c r="D77" i="80" a="1"/>
  <c r="D77" i="80" s="1"/>
  <c r="P76" i="80" a="1"/>
  <c r="P76" i="80" s="1"/>
  <c r="P140" i="80" s="1"/>
  <c r="O76" i="80" a="1"/>
  <c r="O76" i="80" s="1"/>
  <c r="O140" i="80" s="1"/>
  <c r="N76" i="80" a="1"/>
  <c r="N76" i="80" s="1"/>
  <c r="N140" i="80" s="1"/>
  <c r="M76" i="80" a="1"/>
  <c r="M76" i="80" s="1"/>
  <c r="M140" i="80" s="1"/>
  <c r="L76" i="80" a="1"/>
  <c r="L76" i="80" s="1"/>
  <c r="L140" i="80" s="1"/>
  <c r="K76" i="80" a="1"/>
  <c r="K76" i="80" s="1"/>
  <c r="K140" i="80" s="1"/>
  <c r="J76" i="80" a="1"/>
  <c r="J76" i="80" s="1"/>
  <c r="J140" i="80" s="1"/>
  <c r="I76" i="80" a="1"/>
  <c r="I76" i="80" s="1"/>
  <c r="I140" i="80" s="1"/>
  <c r="H76" i="80" a="1"/>
  <c r="H76" i="80" s="1"/>
  <c r="H140" i="80" s="1"/>
  <c r="G76" i="80" a="1"/>
  <c r="G76" i="80" s="1"/>
  <c r="G140" i="80" s="1"/>
  <c r="F76" i="80" a="1"/>
  <c r="F76" i="80" s="1"/>
  <c r="F140" i="80" s="1"/>
  <c r="E76" i="80" a="1"/>
  <c r="E76" i="80" s="1"/>
  <c r="E140" i="80" s="1"/>
  <c r="D76" i="80" a="1"/>
  <c r="D76" i="80" s="1"/>
  <c r="P75" i="80" a="1"/>
  <c r="P75" i="80" s="1"/>
  <c r="P139" i="80" s="1"/>
  <c r="O75" i="80" a="1"/>
  <c r="O75" i="80" s="1"/>
  <c r="O139" i="80" s="1"/>
  <c r="N75" i="80" a="1"/>
  <c r="N75" i="80" s="1"/>
  <c r="N139" i="80" s="1"/>
  <c r="M75" i="80" a="1"/>
  <c r="M75" i="80" s="1"/>
  <c r="M139" i="80" s="1"/>
  <c r="L75" i="80" a="1"/>
  <c r="L75" i="80" s="1"/>
  <c r="L139" i="80" s="1"/>
  <c r="K75" i="80" a="1"/>
  <c r="K75" i="80" s="1"/>
  <c r="K139" i="80" s="1"/>
  <c r="J75" i="80" a="1"/>
  <c r="J75" i="80" s="1"/>
  <c r="J139" i="80" s="1"/>
  <c r="I75" i="80" a="1"/>
  <c r="I75" i="80" s="1"/>
  <c r="I139" i="80" s="1"/>
  <c r="H75" i="80" a="1"/>
  <c r="H75" i="80" s="1"/>
  <c r="H139" i="80" s="1"/>
  <c r="G75" i="80" a="1"/>
  <c r="G75" i="80" s="1"/>
  <c r="G139" i="80" s="1"/>
  <c r="F75" i="80" a="1"/>
  <c r="F75" i="80" s="1"/>
  <c r="F139" i="80" s="1"/>
  <c r="E75" i="80" a="1"/>
  <c r="E75" i="80" s="1"/>
  <c r="E139" i="80" s="1"/>
  <c r="D75" i="80" a="1"/>
  <c r="D75" i="80" s="1"/>
  <c r="P74" i="80" a="1"/>
  <c r="P74" i="80" s="1"/>
  <c r="P138" i="80" s="1"/>
  <c r="O74" i="80" a="1"/>
  <c r="O74" i="80" s="1"/>
  <c r="O138" i="80" s="1"/>
  <c r="N74" i="80" a="1"/>
  <c r="N74" i="80" s="1"/>
  <c r="N138" i="80" s="1"/>
  <c r="M74" i="80" a="1"/>
  <c r="M74" i="80" s="1"/>
  <c r="M138" i="80" s="1"/>
  <c r="L74" i="80" a="1"/>
  <c r="L74" i="80" s="1"/>
  <c r="L138" i="80" s="1"/>
  <c r="K74" i="80" a="1"/>
  <c r="K74" i="80" s="1"/>
  <c r="K138" i="80" s="1"/>
  <c r="J74" i="80" a="1"/>
  <c r="J74" i="80" s="1"/>
  <c r="J138" i="80" s="1"/>
  <c r="I74" i="80" a="1"/>
  <c r="I74" i="80" s="1"/>
  <c r="I138" i="80" s="1"/>
  <c r="H74" i="80" a="1"/>
  <c r="H74" i="80" s="1"/>
  <c r="H138" i="80" s="1"/>
  <c r="G74" i="80" a="1"/>
  <c r="G74" i="80" s="1"/>
  <c r="G138" i="80" s="1"/>
  <c r="F74" i="80" a="1"/>
  <c r="F74" i="80" s="1"/>
  <c r="F138" i="80" s="1"/>
  <c r="E74" i="80" a="1"/>
  <c r="E74" i="80" s="1"/>
  <c r="E138" i="80" s="1"/>
  <c r="D74" i="80" a="1"/>
  <c r="D74" i="80" s="1"/>
  <c r="P73" i="80" a="1"/>
  <c r="P73" i="80" s="1"/>
  <c r="P137" i="80" s="1"/>
  <c r="O73" i="80" a="1"/>
  <c r="O73" i="80" s="1"/>
  <c r="O137" i="80" s="1"/>
  <c r="N73" i="80" a="1"/>
  <c r="N73" i="80" s="1"/>
  <c r="N137" i="80" s="1"/>
  <c r="M73" i="80" a="1"/>
  <c r="M73" i="80" s="1"/>
  <c r="M137" i="80" s="1"/>
  <c r="L73" i="80" a="1"/>
  <c r="L73" i="80" s="1"/>
  <c r="L137" i="80" s="1"/>
  <c r="K73" i="80" a="1"/>
  <c r="K73" i="80" s="1"/>
  <c r="K137" i="80" s="1"/>
  <c r="J73" i="80" a="1"/>
  <c r="J73" i="80" s="1"/>
  <c r="J137" i="80" s="1"/>
  <c r="I73" i="80" a="1"/>
  <c r="I73" i="80" s="1"/>
  <c r="I137" i="80" s="1"/>
  <c r="H73" i="80" a="1"/>
  <c r="H73" i="80" s="1"/>
  <c r="H137" i="80" s="1"/>
  <c r="G73" i="80" a="1"/>
  <c r="G73" i="80" s="1"/>
  <c r="G137" i="80" s="1"/>
  <c r="F73" i="80" a="1"/>
  <c r="F73" i="80" s="1"/>
  <c r="F137" i="80" s="1"/>
  <c r="E73" i="80" a="1"/>
  <c r="E73" i="80" s="1"/>
  <c r="E137" i="80" s="1"/>
  <c r="D73" i="80" a="1"/>
  <c r="D73" i="80" s="1"/>
  <c r="P72" i="80" a="1"/>
  <c r="P72" i="80" s="1"/>
  <c r="P136" i="80" s="1"/>
  <c r="O72" i="80" a="1"/>
  <c r="O72" i="80" s="1"/>
  <c r="O136" i="80" s="1"/>
  <c r="N72" i="80" a="1"/>
  <c r="N72" i="80" s="1"/>
  <c r="N136" i="80" s="1"/>
  <c r="M72" i="80" a="1"/>
  <c r="M72" i="80" s="1"/>
  <c r="M136" i="80" s="1"/>
  <c r="L72" i="80" a="1"/>
  <c r="L72" i="80" s="1"/>
  <c r="L136" i="80" s="1"/>
  <c r="K72" i="80" a="1"/>
  <c r="K72" i="80" s="1"/>
  <c r="K136" i="80" s="1"/>
  <c r="J72" i="80" a="1"/>
  <c r="J72" i="80" s="1"/>
  <c r="J136" i="80" s="1"/>
  <c r="I72" i="80" a="1"/>
  <c r="I72" i="80" s="1"/>
  <c r="I136" i="80" s="1"/>
  <c r="H72" i="80" a="1"/>
  <c r="H72" i="80" s="1"/>
  <c r="H136" i="80" s="1"/>
  <c r="G72" i="80" a="1"/>
  <c r="G72" i="80" s="1"/>
  <c r="G136" i="80" s="1"/>
  <c r="F72" i="80" a="1"/>
  <c r="F72" i="80" s="1"/>
  <c r="F136" i="80" s="1"/>
  <c r="E72" i="80" a="1"/>
  <c r="E72" i="80" s="1"/>
  <c r="E136" i="80" s="1"/>
  <c r="D72" i="80" a="1"/>
  <c r="D72" i="80" s="1"/>
  <c r="P71" i="80" a="1"/>
  <c r="P71" i="80" s="1"/>
  <c r="P135" i="80" s="1"/>
  <c r="O71" i="80" a="1"/>
  <c r="O71" i="80" s="1"/>
  <c r="O135" i="80" s="1"/>
  <c r="N71" i="80" a="1"/>
  <c r="N71" i="80" s="1"/>
  <c r="N135" i="80" s="1"/>
  <c r="M71" i="80" a="1"/>
  <c r="M71" i="80" s="1"/>
  <c r="M135" i="80" s="1"/>
  <c r="L71" i="80" a="1"/>
  <c r="L71" i="80" s="1"/>
  <c r="L135" i="80" s="1"/>
  <c r="K71" i="80" a="1"/>
  <c r="K71" i="80" s="1"/>
  <c r="K135" i="80" s="1"/>
  <c r="J71" i="80" a="1"/>
  <c r="J71" i="80" s="1"/>
  <c r="J135" i="80" s="1"/>
  <c r="I71" i="80" a="1"/>
  <c r="I71" i="80" s="1"/>
  <c r="I135" i="80" s="1"/>
  <c r="H71" i="80" a="1"/>
  <c r="H71" i="80" s="1"/>
  <c r="H135" i="80" s="1"/>
  <c r="G71" i="80" a="1"/>
  <c r="G71" i="80" s="1"/>
  <c r="G135" i="80" s="1"/>
  <c r="F71" i="80" a="1"/>
  <c r="F71" i="80" s="1"/>
  <c r="F135" i="80" s="1"/>
  <c r="E71" i="80" a="1"/>
  <c r="E71" i="80" s="1"/>
  <c r="E135" i="80" s="1"/>
  <c r="D71" i="80" a="1"/>
  <c r="D71" i="80" s="1"/>
  <c r="P70" i="80" a="1"/>
  <c r="P70" i="80" s="1"/>
  <c r="P134" i="80" s="1"/>
  <c r="O70" i="80" a="1"/>
  <c r="O70" i="80" s="1"/>
  <c r="O134" i="80" s="1"/>
  <c r="N70" i="80" a="1"/>
  <c r="N70" i="80" s="1"/>
  <c r="N134" i="80" s="1"/>
  <c r="M70" i="80" a="1"/>
  <c r="M70" i="80" s="1"/>
  <c r="M134" i="80" s="1"/>
  <c r="L70" i="80" a="1"/>
  <c r="L70" i="80" s="1"/>
  <c r="L134" i="80" s="1"/>
  <c r="K70" i="80" a="1"/>
  <c r="K70" i="80" s="1"/>
  <c r="K134" i="80" s="1"/>
  <c r="J70" i="80" a="1"/>
  <c r="J70" i="80" s="1"/>
  <c r="J134" i="80" s="1"/>
  <c r="I70" i="80" a="1"/>
  <c r="I70" i="80" s="1"/>
  <c r="I134" i="80" s="1"/>
  <c r="H70" i="80" a="1"/>
  <c r="H70" i="80" s="1"/>
  <c r="H134" i="80" s="1"/>
  <c r="G70" i="80" a="1"/>
  <c r="G70" i="80" s="1"/>
  <c r="G134" i="80" s="1"/>
  <c r="F70" i="80" a="1"/>
  <c r="F70" i="80" s="1"/>
  <c r="F134" i="80" s="1"/>
  <c r="E70" i="80" a="1"/>
  <c r="E70" i="80" s="1"/>
  <c r="E134" i="80" s="1"/>
  <c r="D70" i="80" a="1"/>
  <c r="D70" i="80" s="1"/>
  <c r="P69" i="80" a="1"/>
  <c r="P69" i="80" s="1"/>
  <c r="P133" i="80" s="1"/>
  <c r="O69" i="80" a="1"/>
  <c r="O69" i="80" s="1"/>
  <c r="O133" i="80" s="1"/>
  <c r="N69" i="80" a="1"/>
  <c r="N69" i="80" s="1"/>
  <c r="N133" i="80" s="1"/>
  <c r="M69" i="80" a="1"/>
  <c r="M69" i="80" s="1"/>
  <c r="M133" i="80" s="1"/>
  <c r="L69" i="80" a="1"/>
  <c r="L69" i="80" s="1"/>
  <c r="L133" i="80" s="1"/>
  <c r="K69" i="80" a="1"/>
  <c r="K69" i="80" s="1"/>
  <c r="K133" i="80" s="1"/>
  <c r="J69" i="80" a="1"/>
  <c r="J69" i="80" s="1"/>
  <c r="J133" i="80" s="1"/>
  <c r="I69" i="80" a="1"/>
  <c r="I69" i="80" s="1"/>
  <c r="I133" i="80" s="1"/>
  <c r="H69" i="80" a="1"/>
  <c r="H69" i="80" s="1"/>
  <c r="H133" i="80" s="1"/>
  <c r="G69" i="80" a="1"/>
  <c r="G69" i="80" s="1"/>
  <c r="G133" i="80" s="1"/>
  <c r="F69" i="80" a="1"/>
  <c r="F69" i="80" s="1"/>
  <c r="F133" i="80" s="1"/>
  <c r="E69" i="80" a="1"/>
  <c r="E69" i="80" s="1"/>
  <c r="E133" i="80" s="1"/>
  <c r="D69" i="80" a="1"/>
  <c r="D69" i="80" s="1"/>
  <c r="P68" i="80" a="1"/>
  <c r="P68" i="80" s="1"/>
  <c r="P132" i="80" s="1"/>
  <c r="O68" i="80" a="1"/>
  <c r="O68" i="80" s="1"/>
  <c r="O132" i="80" s="1"/>
  <c r="N68" i="80" a="1"/>
  <c r="N68" i="80" s="1"/>
  <c r="N132" i="80" s="1"/>
  <c r="M68" i="80" a="1"/>
  <c r="M68" i="80" s="1"/>
  <c r="M132" i="80" s="1"/>
  <c r="L68" i="80" a="1"/>
  <c r="L68" i="80" s="1"/>
  <c r="L132" i="80" s="1"/>
  <c r="K68" i="80" a="1"/>
  <c r="K68" i="80" s="1"/>
  <c r="K132" i="80" s="1"/>
  <c r="J68" i="80" a="1"/>
  <c r="J68" i="80" s="1"/>
  <c r="J132" i="80" s="1"/>
  <c r="I68" i="80" a="1"/>
  <c r="I68" i="80" s="1"/>
  <c r="I132" i="80" s="1"/>
  <c r="H68" i="80" a="1"/>
  <c r="H68" i="80" s="1"/>
  <c r="H132" i="80" s="1"/>
  <c r="G68" i="80" a="1"/>
  <c r="G68" i="80" s="1"/>
  <c r="G132" i="80" s="1"/>
  <c r="F68" i="80" a="1"/>
  <c r="F68" i="80" s="1"/>
  <c r="F132" i="80" s="1"/>
  <c r="E68" i="80" a="1"/>
  <c r="E68" i="80" s="1"/>
  <c r="E132" i="80" s="1"/>
  <c r="D68" i="80" a="1"/>
  <c r="D68" i="80" s="1"/>
  <c r="P67" i="80" a="1"/>
  <c r="P67" i="80" s="1"/>
  <c r="P131" i="80" s="1"/>
  <c r="O67" i="80" a="1"/>
  <c r="O67" i="80" s="1"/>
  <c r="O131" i="80" s="1"/>
  <c r="N67" i="80" a="1"/>
  <c r="N67" i="80" s="1"/>
  <c r="N131" i="80" s="1"/>
  <c r="M67" i="80" a="1"/>
  <c r="M67" i="80" s="1"/>
  <c r="M131" i="80" s="1"/>
  <c r="L67" i="80" a="1"/>
  <c r="L67" i="80" s="1"/>
  <c r="L131" i="80" s="1"/>
  <c r="K67" i="80" a="1"/>
  <c r="K67" i="80" s="1"/>
  <c r="K131" i="80" s="1"/>
  <c r="J67" i="80" a="1"/>
  <c r="J67" i="80" s="1"/>
  <c r="J131" i="80" s="1"/>
  <c r="I67" i="80" a="1"/>
  <c r="I67" i="80" s="1"/>
  <c r="I131" i="80" s="1"/>
  <c r="H67" i="80" a="1"/>
  <c r="H67" i="80" s="1"/>
  <c r="H131" i="80" s="1"/>
  <c r="G67" i="80" a="1"/>
  <c r="G67" i="80" s="1"/>
  <c r="G131" i="80" s="1"/>
  <c r="F67" i="80" a="1"/>
  <c r="F67" i="80" s="1"/>
  <c r="F131" i="80" s="1"/>
  <c r="E67" i="80" a="1"/>
  <c r="E67" i="80" s="1"/>
  <c r="E131" i="80" s="1"/>
  <c r="D67" i="80" a="1"/>
  <c r="D67" i="80" s="1"/>
  <c r="P66" i="80" a="1"/>
  <c r="P66" i="80" s="1"/>
  <c r="P130" i="80" s="1"/>
  <c r="O66" i="80" a="1"/>
  <c r="O66" i="80" s="1"/>
  <c r="O130" i="80" s="1"/>
  <c r="N66" i="80" a="1"/>
  <c r="N66" i="80" s="1"/>
  <c r="N130" i="80" s="1"/>
  <c r="M66" i="80" a="1"/>
  <c r="M66" i="80" s="1"/>
  <c r="M130" i="80" s="1"/>
  <c r="L66" i="80" a="1"/>
  <c r="L66" i="80" s="1"/>
  <c r="L130" i="80" s="1"/>
  <c r="K66" i="80" a="1"/>
  <c r="K66" i="80" s="1"/>
  <c r="K130" i="80" s="1"/>
  <c r="J66" i="80" a="1"/>
  <c r="J66" i="80" s="1"/>
  <c r="J130" i="80" s="1"/>
  <c r="I66" i="80" a="1"/>
  <c r="I66" i="80" s="1"/>
  <c r="I130" i="80" s="1"/>
  <c r="H66" i="80" a="1"/>
  <c r="H66" i="80" s="1"/>
  <c r="H130" i="80" s="1"/>
  <c r="G66" i="80" a="1"/>
  <c r="G66" i="80" s="1"/>
  <c r="G130" i="80" s="1"/>
  <c r="F66" i="80" a="1"/>
  <c r="F66" i="80" s="1"/>
  <c r="F130" i="80" s="1"/>
  <c r="E66" i="80" a="1"/>
  <c r="E66" i="80" s="1"/>
  <c r="E130" i="80" s="1"/>
  <c r="D66" i="80" a="1"/>
  <c r="D66" i="80" s="1"/>
  <c r="P65" i="80" a="1"/>
  <c r="P65" i="80" s="1"/>
  <c r="P129" i="80" s="1"/>
  <c r="O65" i="80" a="1"/>
  <c r="O65" i="80" s="1"/>
  <c r="O129" i="80" s="1"/>
  <c r="N65" i="80" a="1"/>
  <c r="N65" i="80" s="1"/>
  <c r="N129" i="80" s="1"/>
  <c r="M65" i="80" a="1"/>
  <c r="M65" i="80" s="1"/>
  <c r="M129" i="80" s="1"/>
  <c r="L65" i="80" a="1"/>
  <c r="L65" i="80" s="1"/>
  <c r="L129" i="80" s="1"/>
  <c r="K65" i="80" a="1"/>
  <c r="K65" i="80" s="1"/>
  <c r="K129" i="80" s="1"/>
  <c r="J65" i="80" a="1"/>
  <c r="J65" i="80" s="1"/>
  <c r="J129" i="80" s="1"/>
  <c r="I65" i="80" a="1"/>
  <c r="I65" i="80" s="1"/>
  <c r="I129" i="80" s="1"/>
  <c r="H65" i="80" a="1"/>
  <c r="H65" i="80" s="1"/>
  <c r="H129" i="80" s="1"/>
  <c r="G65" i="80" a="1"/>
  <c r="G65" i="80" s="1"/>
  <c r="G129" i="80" s="1"/>
  <c r="F65" i="80" a="1"/>
  <c r="F65" i="80" s="1"/>
  <c r="F129" i="80" s="1"/>
  <c r="E65" i="80" a="1"/>
  <c r="E65" i="80" s="1"/>
  <c r="E129" i="80" s="1"/>
  <c r="D65" i="80" a="1"/>
  <c r="D65" i="80" s="1"/>
  <c r="P64" i="80" a="1"/>
  <c r="P64" i="80" s="1"/>
  <c r="P128" i="80" s="1"/>
  <c r="O64" i="80" a="1"/>
  <c r="O64" i="80" s="1"/>
  <c r="O128" i="80" s="1"/>
  <c r="N64" i="80" a="1"/>
  <c r="N64" i="80" s="1"/>
  <c r="N128" i="80" s="1"/>
  <c r="M64" i="80" a="1"/>
  <c r="M64" i="80" s="1"/>
  <c r="M128" i="80" s="1"/>
  <c r="L64" i="80" a="1"/>
  <c r="L64" i="80" s="1"/>
  <c r="L128" i="80" s="1"/>
  <c r="K64" i="80" a="1"/>
  <c r="K64" i="80" s="1"/>
  <c r="K128" i="80" s="1"/>
  <c r="J64" i="80" a="1"/>
  <c r="J64" i="80" s="1"/>
  <c r="J128" i="80" s="1"/>
  <c r="I64" i="80" a="1"/>
  <c r="I64" i="80" s="1"/>
  <c r="I128" i="80" s="1"/>
  <c r="H64" i="80" a="1"/>
  <c r="H64" i="80" s="1"/>
  <c r="H128" i="80" s="1"/>
  <c r="G64" i="80" a="1"/>
  <c r="G64" i="80" s="1"/>
  <c r="G128" i="80" s="1"/>
  <c r="F64" i="80" a="1"/>
  <c r="F64" i="80" s="1"/>
  <c r="F128" i="80" s="1"/>
  <c r="E64" i="80" a="1"/>
  <c r="E64" i="80" s="1"/>
  <c r="E128" i="80" s="1"/>
  <c r="D64" i="80" a="1"/>
  <c r="D64" i="80" s="1"/>
  <c r="P63" i="80" a="1"/>
  <c r="P63" i="80" s="1"/>
  <c r="P127" i="80" s="1"/>
  <c r="O63" i="80" a="1"/>
  <c r="O63" i="80" s="1"/>
  <c r="O127" i="80" s="1"/>
  <c r="N63" i="80" a="1"/>
  <c r="N63" i="80" s="1"/>
  <c r="N127" i="80" s="1"/>
  <c r="M63" i="80" a="1"/>
  <c r="M63" i="80" s="1"/>
  <c r="M127" i="80" s="1"/>
  <c r="L63" i="80" a="1"/>
  <c r="L63" i="80" s="1"/>
  <c r="L127" i="80" s="1"/>
  <c r="K63" i="80" a="1"/>
  <c r="K63" i="80" s="1"/>
  <c r="K127" i="80" s="1"/>
  <c r="J63" i="80" a="1"/>
  <c r="J63" i="80" s="1"/>
  <c r="J127" i="80" s="1"/>
  <c r="I63" i="80" a="1"/>
  <c r="I63" i="80" s="1"/>
  <c r="I127" i="80" s="1"/>
  <c r="H63" i="80" a="1"/>
  <c r="H63" i="80" s="1"/>
  <c r="H127" i="80" s="1"/>
  <c r="G63" i="80" a="1"/>
  <c r="G63" i="80" s="1"/>
  <c r="G127" i="80" s="1"/>
  <c r="F63" i="80" a="1"/>
  <c r="F63" i="80" s="1"/>
  <c r="F127" i="80" s="1"/>
  <c r="E63" i="80" a="1"/>
  <c r="E63" i="80" s="1"/>
  <c r="E127" i="80" s="1"/>
  <c r="D63" i="80" a="1"/>
  <c r="D63" i="80" s="1"/>
  <c r="P62" i="80" a="1"/>
  <c r="P62" i="80" s="1"/>
  <c r="P126" i="80" s="1"/>
  <c r="O62" i="80" a="1"/>
  <c r="O62" i="80" s="1"/>
  <c r="O126" i="80" s="1"/>
  <c r="N62" i="80" a="1"/>
  <c r="N62" i="80" s="1"/>
  <c r="N126" i="80" s="1"/>
  <c r="M62" i="80" a="1"/>
  <c r="M62" i="80" s="1"/>
  <c r="M126" i="80" s="1"/>
  <c r="L62" i="80" a="1"/>
  <c r="L62" i="80" s="1"/>
  <c r="L126" i="80" s="1"/>
  <c r="K62" i="80" a="1"/>
  <c r="K62" i="80" s="1"/>
  <c r="K126" i="80" s="1"/>
  <c r="J62" i="80" a="1"/>
  <c r="J62" i="80" s="1"/>
  <c r="J126" i="80" s="1"/>
  <c r="I62" i="80" a="1"/>
  <c r="I62" i="80" s="1"/>
  <c r="I126" i="80" s="1"/>
  <c r="H62" i="80" a="1"/>
  <c r="H62" i="80" s="1"/>
  <c r="H126" i="80" s="1"/>
  <c r="G62" i="80" a="1"/>
  <c r="G62" i="80" s="1"/>
  <c r="G126" i="80" s="1"/>
  <c r="F62" i="80" a="1"/>
  <c r="F62" i="80" s="1"/>
  <c r="F126" i="80" s="1"/>
  <c r="E62" i="80" a="1"/>
  <c r="E62" i="80" s="1"/>
  <c r="E126" i="80" s="1"/>
  <c r="D62" i="80" a="1"/>
  <c r="D62" i="80" s="1"/>
  <c r="P61" i="80" a="1"/>
  <c r="P61" i="80" s="1"/>
  <c r="P125" i="80" s="1"/>
  <c r="O61" i="80" a="1"/>
  <c r="O61" i="80" s="1"/>
  <c r="O125" i="80" s="1"/>
  <c r="N61" i="80" a="1"/>
  <c r="N61" i="80" s="1"/>
  <c r="N125" i="80" s="1"/>
  <c r="M61" i="80" a="1"/>
  <c r="M61" i="80" s="1"/>
  <c r="M125" i="80" s="1"/>
  <c r="L61" i="80" a="1"/>
  <c r="L61" i="80" s="1"/>
  <c r="L125" i="80" s="1"/>
  <c r="K61" i="80" a="1"/>
  <c r="K61" i="80" s="1"/>
  <c r="K125" i="80" s="1"/>
  <c r="J61" i="80" a="1"/>
  <c r="J61" i="80" s="1"/>
  <c r="J125" i="80" s="1"/>
  <c r="I61" i="80" a="1"/>
  <c r="I61" i="80" s="1"/>
  <c r="I125" i="80" s="1"/>
  <c r="H61" i="80" a="1"/>
  <c r="H61" i="80" s="1"/>
  <c r="H125" i="80" s="1"/>
  <c r="G61" i="80" a="1"/>
  <c r="G61" i="80" s="1"/>
  <c r="G125" i="80" s="1"/>
  <c r="F61" i="80" a="1"/>
  <c r="F61" i="80" s="1"/>
  <c r="F125" i="80" s="1"/>
  <c r="E61" i="80" a="1"/>
  <c r="E61" i="80" s="1"/>
  <c r="E125" i="80" s="1"/>
  <c r="D61" i="80" a="1"/>
  <c r="D61" i="80" s="1"/>
  <c r="P60" i="80" a="1"/>
  <c r="P60" i="80" s="1"/>
  <c r="P124" i="80" s="1"/>
  <c r="O60" i="80" a="1"/>
  <c r="O60" i="80" s="1"/>
  <c r="O124" i="80" s="1"/>
  <c r="N60" i="80" a="1"/>
  <c r="N60" i="80" s="1"/>
  <c r="N124" i="80" s="1"/>
  <c r="M60" i="80" a="1"/>
  <c r="M60" i="80" s="1"/>
  <c r="M124" i="80" s="1"/>
  <c r="L60" i="80" a="1"/>
  <c r="L60" i="80" s="1"/>
  <c r="L124" i="80" s="1"/>
  <c r="K60" i="80" a="1"/>
  <c r="K60" i="80" s="1"/>
  <c r="K124" i="80" s="1"/>
  <c r="J60" i="80" a="1"/>
  <c r="J60" i="80" s="1"/>
  <c r="J124" i="80" s="1"/>
  <c r="I60" i="80" a="1"/>
  <c r="I60" i="80" s="1"/>
  <c r="I124" i="80" s="1"/>
  <c r="H60" i="80" a="1"/>
  <c r="H60" i="80" s="1"/>
  <c r="H124" i="80" s="1"/>
  <c r="G60" i="80" a="1"/>
  <c r="G60" i="80" s="1"/>
  <c r="G124" i="80" s="1"/>
  <c r="F60" i="80" a="1"/>
  <c r="F60" i="80" s="1"/>
  <c r="F124" i="80" s="1"/>
  <c r="E60" i="80" a="1"/>
  <c r="E60" i="80" s="1"/>
  <c r="E124" i="80" s="1"/>
  <c r="D60" i="80" a="1"/>
  <c r="D60" i="80" s="1"/>
  <c r="P59" i="80" a="1"/>
  <c r="P59" i="80" s="1"/>
  <c r="P123" i="80" s="1"/>
  <c r="O59" i="80" a="1"/>
  <c r="O59" i="80" s="1"/>
  <c r="O123" i="80" s="1"/>
  <c r="N59" i="80" a="1"/>
  <c r="N59" i="80" s="1"/>
  <c r="N123" i="80" s="1"/>
  <c r="M59" i="80" a="1"/>
  <c r="M59" i="80" s="1"/>
  <c r="M123" i="80" s="1"/>
  <c r="L59" i="80" a="1"/>
  <c r="L59" i="80" s="1"/>
  <c r="L123" i="80" s="1"/>
  <c r="K59" i="80" a="1"/>
  <c r="K59" i="80" s="1"/>
  <c r="K123" i="80" s="1"/>
  <c r="J59" i="80" a="1"/>
  <c r="J59" i="80" s="1"/>
  <c r="J123" i="80" s="1"/>
  <c r="I59" i="80" a="1"/>
  <c r="I59" i="80" s="1"/>
  <c r="I123" i="80" s="1"/>
  <c r="H59" i="80" a="1"/>
  <c r="H59" i="80" s="1"/>
  <c r="H123" i="80" s="1"/>
  <c r="G59" i="80" a="1"/>
  <c r="G59" i="80" s="1"/>
  <c r="G123" i="80" s="1"/>
  <c r="F59" i="80" a="1"/>
  <c r="F59" i="80" s="1"/>
  <c r="F123" i="80" s="1"/>
  <c r="E59" i="80" a="1"/>
  <c r="E59" i="80" s="1"/>
  <c r="E123" i="80" s="1"/>
  <c r="D59" i="80" a="1"/>
  <c r="D59" i="80" s="1"/>
  <c r="P58" i="80" a="1"/>
  <c r="P58" i="80" s="1"/>
  <c r="P122" i="80" s="1"/>
  <c r="O58" i="80" a="1"/>
  <c r="O58" i="80" s="1"/>
  <c r="O122" i="80" s="1"/>
  <c r="N58" i="80" a="1"/>
  <c r="N58" i="80" s="1"/>
  <c r="N122" i="80" s="1"/>
  <c r="M58" i="80" a="1"/>
  <c r="M58" i="80" s="1"/>
  <c r="M122" i="80" s="1"/>
  <c r="L58" i="80" a="1"/>
  <c r="L58" i="80" s="1"/>
  <c r="L122" i="80" s="1"/>
  <c r="K58" i="80" a="1"/>
  <c r="K58" i="80" s="1"/>
  <c r="K122" i="80" s="1"/>
  <c r="J58" i="80" a="1"/>
  <c r="J58" i="80" s="1"/>
  <c r="J122" i="80" s="1"/>
  <c r="I58" i="80" a="1"/>
  <c r="I58" i="80" s="1"/>
  <c r="I122" i="80" s="1"/>
  <c r="H58" i="80" a="1"/>
  <c r="H58" i="80" s="1"/>
  <c r="H122" i="80" s="1"/>
  <c r="G58" i="80" a="1"/>
  <c r="G58" i="80" s="1"/>
  <c r="G122" i="80" s="1"/>
  <c r="F58" i="80" a="1"/>
  <c r="F58" i="80" s="1"/>
  <c r="F122" i="80" s="1"/>
  <c r="E58" i="80" a="1"/>
  <c r="E58" i="80" s="1"/>
  <c r="E122" i="80" s="1"/>
  <c r="D58" i="80" a="1"/>
  <c r="D58" i="80" s="1"/>
  <c r="P57" i="80" a="1"/>
  <c r="P57" i="80" s="1"/>
  <c r="P121" i="80" s="1"/>
  <c r="O57" i="80" a="1"/>
  <c r="O57" i="80" s="1"/>
  <c r="O121" i="80" s="1"/>
  <c r="N57" i="80" a="1"/>
  <c r="N57" i="80" s="1"/>
  <c r="N121" i="80" s="1"/>
  <c r="M57" i="80" a="1"/>
  <c r="M57" i="80" s="1"/>
  <c r="M121" i="80" s="1"/>
  <c r="L57" i="80" a="1"/>
  <c r="L57" i="80" s="1"/>
  <c r="L121" i="80" s="1"/>
  <c r="K57" i="80" a="1"/>
  <c r="K57" i="80" s="1"/>
  <c r="K121" i="80" s="1"/>
  <c r="J57" i="80" a="1"/>
  <c r="J57" i="80" s="1"/>
  <c r="J121" i="80" s="1"/>
  <c r="I57" i="80" a="1"/>
  <c r="I57" i="80" s="1"/>
  <c r="I121" i="80" s="1"/>
  <c r="H57" i="80" a="1"/>
  <c r="H57" i="80" s="1"/>
  <c r="H121" i="80" s="1"/>
  <c r="G57" i="80" a="1"/>
  <c r="G57" i="80" s="1"/>
  <c r="G121" i="80" s="1"/>
  <c r="F57" i="80" a="1"/>
  <c r="F57" i="80" s="1"/>
  <c r="F121" i="80" s="1"/>
  <c r="E57" i="80" a="1"/>
  <c r="E57" i="80" s="1"/>
  <c r="E121" i="80" s="1"/>
  <c r="D57" i="80" a="1"/>
  <c r="D57" i="80" s="1"/>
  <c r="P56" i="80" a="1"/>
  <c r="P56" i="80" s="1"/>
  <c r="P120" i="80" s="1"/>
  <c r="O56" i="80" a="1"/>
  <c r="O56" i="80" s="1"/>
  <c r="O120" i="80" s="1"/>
  <c r="N56" i="80" a="1"/>
  <c r="N56" i="80" s="1"/>
  <c r="N120" i="80" s="1"/>
  <c r="M56" i="80" a="1"/>
  <c r="M56" i="80" s="1"/>
  <c r="M120" i="80" s="1"/>
  <c r="L56" i="80" a="1"/>
  <c r="L56" i="80" s="1"/>
  <c r="L120" i="80" s="1"/>
  <c r="K56" i="80" a="1"/>
  <c r="K56" i="80" s="1"/>
  <c r="K120" i="80" s="1"/>
  <c r="J56" i="80" a="1"/>
  <c r="J56" i="80" s="1"/>
  <c r="J120" i="80" s="1"/>
  <c r="I56" i="80" a="1"/>
  <c r="I56" i="80" s="1"/>
  <c r="I120" i="80" s="1"/>
  <c r="H56" i="80" a="1"/>
  <c r="H56" i="80" s="1"/>
  <c r="H120" i="80" s="1"/>
  <c r="G56" i="80" a="1"/>
  <c r="G56" i="80" s="1"/>
  <c r="G120" i="80" s="1"/>
  <c r="F56" i="80" a="1"/>
  <c r="F56" i="80" s="1"/>
  <c r="F120" i="80" s="1"/>
  <c r="E56" i="80" a="1"/>
  <c r="E56" i="80" s="1"/>
  <c r="E120" i="80" s="1"/>
  <c r="D56" i="80" a="1"/>
  <c r="D56" i="80" s="1"/>
  <c r="P55" i="80" a="1"/>
  <c r="P55" i="80" s="1"/>
  <c r="P119" i="80" s="1"/>
  <c r="O55" i="80" a="1"/>
  <c r="O55" i="80" s="1"/>
  <c r="O119" i="80" s="1"/>
  <c r="N55" i="80" a="1"/>
  <c r="N55" i="80" s="1"/>
  <c r="N119" i="80" s="1"/>
  <c r="M55" i="80" a="1"/>
  <c r="M55" i="80" s="1"/>
  <c r="M119" i="80" s="1"/>
  <c r="L55" i="80" a="1"/>
  <c r="L55" i="80" s="1"/>
  <c r="L119" i="80" s="1"/>
  <c r="K55" i="80" a="1"/>
  <c r="K55" i="80" s="1"/>
  <c r="K119" i="80" s="1"/>
  <c r="J55" i="80" a="1"/>
  <c r="J55" i="80" s="1"/>
  <c r="J119" i="80" s="1"/>
  <c r="I55" i="80" a="1"/>
  <c r="I55" i="80" s="1"/>
  <c r="I119" i="80" s="1"/>
  <c r="H55" i="80" a="1"/>
  <c r="H55" i="80" s="1"/>
  <c r="H119" i="80" s="1"/>
  <c r="G55" i="80" a="1"/>
  <c r="G55" i="80" s="1"/>
  <c r="G119" i="80" s="1"/>
  <c r="F55" i="80" a="1"/>
  <c r="F55" i="80" s="1"/>
  <c r="F119" i="80" s="1"/>
  <c r="E55" i="80" a="1"/>
  <c r="E55" i="80" s="1"/>
  <c r="E119" i="80" s="1"/>
  <c r="D55" i="80" a="1"/>
  <c r="D55" i="80" s="1"/>
  <c r="P54" i="80" a="1"/>
  <c r="P54" i="80" s="1"/>
  <c r="P118" i="80" s="1"/>
  <c r="O54" i="80" a="1"/>
  <c r="O54" i="80" s="1"/>
  <c r="O118" i="80" s="1"/>
  <c r="N54" i="80" a="1"/>
  <c r="N54" i="80" s="1"/>
  <c r="N118" i="80" s="1"/>
  <c r="M54" i="80" a="1"/>
  <c r="M54" i="80" s="1"/>
  <c r="M118" i="80" s="1"/>
  <c r="L54" i="80" a="1"/>
  <c r="L54" i="80" s="1"/>
  <c r="L118" i="80" s="1"/>
  <c r="K54" i="80" a="1"/>
  <c r="K54" i="80" s="1"/>
  <c r="K118" i="80" s="1"/>
  <c r="J54" i="80" a="1"/>
  <c r="J54" i="80" s="1"/>
  <c r="J118" i="80" s="1"/>
  <c r="I54" i="80" a="1"/>
  <c r="I54" i="80" s="1"/>
  <c r="I118" i="80" s="1"/>
  <c r="H54" i="80" a="1"/>
  <c r="H54" i="80" s="1"/>
  <c r="H118" i="80" s="1"/>
  <c r="G54" i="80" a="1"/>
  <c r="G54" i="80" s="1"/>
  <c r="G118" i="80" s="1"/>
  <c r="F54" i="80" a="1"/>
  <c r="F54" i="80" s="1"/>
  <c r="F118" i="80" s="1"/>
  <c r="E54" i="80" a="1"/>
  <c r="E54" i="80" s="1"/>
  <c r="E118" i="80" s="1"/>
  <c r="D54" i="80" a="1"/>
  <c r="D54" i="80" s="1"/>
  <c r="D52" i="80" a="1"/>
  <c r="D52" i="80" s="1"/>
  <c r="D51" i="80" a="1"/>
  <c r="D51" i="80" s="1"/>
  <c r="D50" i="80" a="1"/>
  <c r="D50" i="80" s="1"/>
  <c r="D49" i="80" a="1"/>
  <c r="D49" i="80" s="1"/>
  <c r="M46" i="80" a="1"/>
  <c r="M46" i="80" s="1"/>
  <c r="L46" i="80" a="1"/>
  <c r="L46" i="80" s="1"/>
  <c r="M117" i="80" s="1"/>
  <c r="K46" i="80" a="1"/>
  <c r="K46" i="80" s="1"/>
  <c r="J46" i="80" a="1"/>
  <c r="J46" i="80" s="1"/>
  <c r="J117" i="80" s="1"/>
  <c r="I46" i="80" a="1"/>
  <c r="I46" i="80" s="1"/>
  <c r="I117" i="80" s="1"/>
  <c r="H46" i="80" a="1"/>
  <c r="H46" i="80" s="1"/>
  <c r="H117" i="80" s="1"/>
  <c r="G46" i="80" a="1"/>
  <c r="G46" i="80" s="1"/>
  <c r="G117" i="80" s="1"/>
  <c r="F46" i="80" a="1"/>
  <c r="F46" i="80" s="1"/>
  <c r="F117" i="80" s="1"/>
  <c r="E46" i="80" a="1"/>
  <c r="E46" i="80" s="1"/>
  <c r="E117" i="80" s="1"/>
  <c r="D46" i="80" a="1"/>
  <c r="D46" i="80" s="1"/>
  <c r="M45" i="80" a="1"/>
  <c r="M45" i="80" s="1"/>
  <c r="L45" i="80" a="1"/>
  <c r="L45" i="80" s="1"/>
  <c r="M116" i="80" s="1"/>
  <c r="K45" i="80" a="1"/>
  <c r="K45" i="80" s="1"/>
  <c r="J45" i="80" a="1"/>
  <c r="J45" i="80" s="1"/>
  <c r="J116" i="80" s="1"/>
  <c r="I45" i="80" a="1"/>
  <c r="I45" i="80" s="1"/>
  <c r="I116" i="80" s="1"/>
  <c r="H45" i="80" a="1"/>
  <c r="H45" i="80" s="1"/>
  <c r="H116" i="80" s="1"/>
  <c r="G45" i="80" a="1"/>
  <c r="G45" i="80" s="1"/>
  <c r="G116" i="80" s="1"/>
  <c r="F45" i="80" a="1"/>
  <c r="F45" i="80" s="1"/>
  <c r="F116" i="80" s="1"/>
  <c r="E45" i="80" a="1"/>
  <c r="E45" i="80" s="1"/>
  <c r="E116" i="80" s="1"/>
  <c r="D45" i="80" a="1"/>
  <c r="D45" i="80" s="1"/>
  <c r="M44" i="80" a="1"/>
  <c r="M44" i="80" s="1"/>
  <c r="O115" i="80" s="1"/>
  <c r="L44" i="80" a="1"/>
  <c r="L44" i="80" s="1"/>
  <c r="M115" i="80" s="1"/>
  <c r="K44" i="80" a="1"/>
  <c r="K44" i="80" s="1"/>
  <c r="J44" i="80" a="1"/>
  <c r="J44" i="80" s="1"/>
  <c r="J115" i="80" s="1"/>
  <c r="I44" i="80" a="1"/>
  <c r="I44" i="80" s="1"/>
  <c r="I115" i="80" s="1"/>
  <c r="H44" i="80" a="1"/>
  <c r="H44" i="80" s="1"/>
  <c r="H115" i="80" s="1"/>
  <c r="G44" i="80" a="1"/>
  <c r="G44" i="80" s="1"/>
  <c r="G115" i="80" s="1"/>
  <c r="F44" i="80" a="1"/>
  <c r="F44" i="80" s="1"/>
  <c r="F115" i="80" s="1"/>
  <c r="E44" i="80" a="1"/>
  <c r="E44" i="80" s="1"/>
  <c r="E115" i="80" s="1"/>
  <c r="D44" i="80" a="1"/>
  <c r="D44" i="80" s="1"/>
  <c r="M43" i="80" a="1"/>
  <c r="M43" i="80" s="1"/>
  <c r="N114" i="80" s="1"/>
  <c r="L43" i="80" a="1"/>
  <c r="L43" i="80" s="1"/>
  <c r="M114" i="80" s="1"/>
  <c r="K43" i="80" a="1"/>
  <c r="K43" i="80" s="1"/>
  <c r="J43" i="80" a="1"/>
  <c r="J43" i="80" s="1"/>
  <c r="J114" i="80" s="1"/>
  <c r="I43" i="80" a="1"/>
  <c r="I43" i="80" s="1"/>
  <c r="I114" i="80" s="1"/>
  <c r="H43" i="80" a="1"/>
  <c r="H43" i="80" s="1"/>
  <c r="H114" i="80" s="1"/>
  <c r="G43" i="80" a="1"/>
  <c r="G43" i="80" s="1"/>
  <c r="G114" i="80" s="1"/>
  <c r="F43" i="80" a="1"/>
  <c r="F43" i="80" s="1"/>
  <c r="F114" i="80" s="1"/>
  <c r="E43" i="80" a="1"/>
  <c r="E43" i="80" s="1"/>
  <c r="E114" i="80" s="1"/>
  <c r="D43" i="80" a="1"/>
  <c r="D43" i="80" s="1"/>
  <c r="M42" i="80" a="1"/>
  <c r="M42" i="80" s="1"/>
  <c r="L42" i="80" a="1"/>
  <c r="L42" i="80" s="1"/>
  <c r="M113" i="80" s="1"/>
  <c r="K42" i="80" a="1"/>
  <c r="K42" i="80" s="1"/>
  <c r="L113" i="80" s="1"/>
  <c r="J42" i="80" a="1"/>
  <c r="J42" i="80" s="1"/>
  <c r="J113" i="80" s="1"/>
  <c r="I42" i="80" a="1"/>
  <c r="I42" i="80" s="1"/>
  <c r="I113" i="80" s="1"/>
  <c r="H42" i="80" a="1"/>
  <c r="H42" i="80" s="1"/>
  <c r="H113" i="80" s="1"/>
  <c r="G42" i="80" a="1"/>
  <c r="G42" i="80" s="1"/>
  <c r="G113" i="80" s="1"/>
  <c r="F42" i="80" a="1"/>
  <c r="F42" i="80" s="1"/>
  <c r="F113" i="80" s="1"/>
  <c r="E42" i="80" a="1"/>
  <c r="E42" i="80" s="1"/>
  <c r="E113" i="80" s="1"/>
  <c r="D42" i="80" a="1"/>
  <c r="D42" i="80" s="1"/>
  <c r="M41" i="80" a="1"/>
  <c r="M41" i="80" s="1"/>
  <c r="L41" i="80" a="1"/>
  <c r="L41" i="80" s="1"/>
  <c r="M112" i="80" s="1"/>
  <c r="K41" i="80" a="1"/>
  <c r="K41" i="80" s="1"/>
  <c r="J41" i="80" a="1"/>
  <c r="J41" i="80" s="1"/>
  <c r="J112" i="80" s="1"/>
  <c r="I41" i="80" a="1"/>
  <c r="I41" i="80" s="1"/>
  <c r="I112" i="80" s="1"/>
  <c r="H41" i="80" a="1"/>
  <c r="H41" i="80" s="1"/>
  <c r="H112" i="80" s="1"/>
  <c r="G41" i="80" a="1"/>
  <c r="G41" i="80" s="1"/>
  <c r="G112" i="80" s="1"/>
  <c r="F41" i="80" a="1"/>
  <c r="F41" i="80" s="1"/>
  <c r="F112" i="80" s="1"/>
  <c r="E41" i="80" a="1"/>
  <c r="E41" i="80" s="1"/>
  <c r="E112" i="80" s="1"/>
  <c r="D41" i="80" a="1"/>
  <c r="D41" i="80" s="1"/>
  <c r="M40" i="80" a="1"/>
  <c r="M40" i="80" s="1"/>
  <c r="L40" i="80" a="1"/>
  <c r="L40" i="80" s="1"/>
  <c r="M111" i="80" s="1"/>
  <c r="K40" i="80" a="1"/>
  <c r="K40" i="80" s="1"/>
  <c r="J40" i="80" a="1"/>
  <c r="J40" i="80" s="1"/>
  <c r="J111" i="80" s="1"/>
  <c r="I40" i="80" a="1"/>
  <c r="I40" i="80" s="1"/>
  <c r="I111" i="80" s="1"/>
  <c r="H40" i="80" a="1"/>
  <c r="H40" i="80" s="1"/>
  <c r="H111" i="80" s="1"/>
  <c r="G40" i="80" a="1"/>
  <c r="G40" i="80" s="1"/>
  <c r="G111" i="80" s="1"/>
  <c r="F40" i="80" a="1"/>
  <c r="F40" i="80" s="1"/>
  <c r="F111" i="80" s="1"/>
  <c r="E40" i="80" a="1"/>
  <c r="E40" i="80" s="1"/>
  <c r="E111" i="80" s="1"/>
  <c r="D40" i="80" a="1"/>
  <c r="D40" i="80" s="1"/>
  <c r="M39" i="80" a="1"/>
  <c r="M39" i="80" s="1"/>
  <c r="N110" i="80" s="1"/>
  <c r="L39" i="80" a="1"/>
  <c r="L39" i="80" s="1"/>
  <c r="M110" i="80" s="1"/>
  <c r="K39" i="80" a="1"/>
  <c r="K39" i="80" s="1"/>
  <c r="J39" i="80" a="1"/>
  <c r="J39" i="80" s="1"/>
  <c r="J110" i="80" s="1"/>
  <c r="I39" i="80" a="1"/>
  <c r="I39" i="80" s="1"/>
  <c r="I110" i="80" s="1"/>
  <c r="H39" i="80" a="1"/>
  <c r="H39" i="80" s="1"/>
  <c r="H110" i="80" s="1"/>
  <c r="G39" i="80" a="1"/>
  <c r="G39" i="80" s="1"/>
  <c r="G110" i="80" s="1"/>
  <c r="F39" i="80" a="1"/>
  <c r="F39" i="80" s="1"/>
  <c r="F110" i="80" s="1"/>
  <c r="E39" i="80" a="1"/>
  <c r="E39" i="80" s="1"/>
  <c r="E110" i="80" s="1"/>
  <c r="D39" i="80" a="1"/>
  <c r="D39" i="80" s="1"/>
  <c r="M38" i="80" a="1"/>
  <c r="M38" i="80" s="1"/>
  <c r="L38" i="80" a="1"/>
  <c r="L38" i="80" s="1"/>
  <c r="M109" i="80" s="1"/>
  <c r="K38" i="80" a="1"/>
  <c r="K38" i="80" s="1"/>
  <c r="J38" i="80" a="1"/>
  <c r="J38" i="80" s="1"/>
  <c r="J109" i="80" s="1"/>
  <c r="I38" i="80" a="1"/>
  <c r="I38" i="80" s="1"/>
  <c r="I109" i="80" s="1"/>
  <c r="H38" i="80" a="1"/>
  <c r="H38" i="80" s="1"/>
  <c r="H109" i="80" s="1"/>
  <c r="G38" i="80" a="1"/>
  <c r="G38" i="80" s="1"/>
  <c r="G109" i="80" s="1"/>
  <c r="F38" i="80" a="1"/>
  <c r="F38" i="80" s="1"/>
  <c r="F109" i="80" s="1"/>
  <c r="E38" i="80" a="1"/>
  <c r="E38" i="80" s="1"/>
  <c r="E109" i="80" s="1"/>
  <c r="D38" i="80" a="1"/>
  <c r="D38" i="80" s="1"/>
  <c r="M37" i="80" a="1"/>
  <c r="M37" i="80" s="1"/>
  <c r="L37" i="80" a="1"/>
  <c r="L37" i="80" s="1"/>
  <c r="M108" i="80" s="1"/>
  <c r="K37" i="80" a="1"/>
  <c r="K37" i="80" s="1"/>
  <c r="L108" i="80" s="1"/>
  <c r="J37" i="80" a="1"/>
  <c r="J37" i="80" s="1"/>
  <c r="J108" i="80" s="1"/>
  <c r="I37" i="80" a="1"/>
  <c r="I37" i="80" s="1"/>
  <c r="I108" i="80" s="1"/>
  <c r="H37" i="80" a="1"/>
  <c r="H37" i="80" s="1"/>
  <c r="H108" i="80" s="1"/>
  <c r="G37" i="80" a="1"/>
  <c r="G37" i="80" s="1"/>
  <c r="G108" i="80" s="1"/>
  <c r="F37" i="80" a="1"/>
  <c r="F37" i="80" s="1"/>
  <c r="F108" i="80" s="1"/>
  <c r="E37" i="80" a="1"/>
  <c r="E37" i="80" s="1"/>
  <c r="E108" i="80" s="1"/>
  <c r="D37" i="80" a="1"/>
  <c r="D37" i="80" s="1"/>
  <c r="M36" i="80" a="1"/>
  <c r="M36" i="80" s="1"/>
  <c r="L36" i="80" a="1"/>
  <c r="L36" i="80" s="1"/>
  <c r="M107" i="80" s="1"/>
  <c r="K36" i="80" a="1"/>
  <c r="K36" i="80" s="1"/>
  <c r="K107" i="80" s="1"/>
  <c r="J36" i="80" a="1"/>
  <c r="J36" i="80" s="1"/>
  <c r="J107" i="80" s="1"/>
  <c r="I36" i="80" a="1"/>
  <c r="I36" i="80" s="1"/>
  <c r="I107" i="80" s="1"/>
  <c r="H36" i="80" a="1"/>
  <c r="H36" i="80" s="1"/>
  <c r="H107" i="80" s="1"/>
  <c r="G36" i="80" a="1"/>
  <c r="G36" i="80" s="1"/>
  <c r="G107" i="80" s="1"/>
  <c r="F36" i="80" a="1"/>
  <c r="F36" i="80" s="1"/>
  <c r="F107" i="80" s="1"/>
  <c r="E36" i="80" a="1"/>
  <c r="E36" i="80" s="1"/>
  <c r="E107" i="80" s="1"/>
  <c r="D36" i="80" a="1"/>
  <c r="D36" i="80" s="1"/>
  <c r="M35" i="80" a="1"/>
  <c r="M35" i="80" s="1"/>
  <c r="P106" i="80" s="1"/>
  <c r="L35" i="80" a="1"/>
  <c r="L35" i="80" s="1"/>
  <c r="M106" i="80" s="1"/>
  <c r="K35" i="80" a="1"/>
  <c r="K35" i="80" s="1"/>
  <c r="L106" i="80" s="1"/>
  <c r="J35" i="80" a="1"/>
  <c r="J35" i="80" s="1"/>
  <c r="J106" i="80" s="1"/>
  <c r="I35" i="80" a="1"/>
  <c r="I35" i="80" s="1"/>
  <c r="I106" i="80" s="1"/>
  <c r="H35" i="80" a="1"/>
  <c r="H35" i="80" s="1"/>
  <c r="H106" i="80" s="1"/>
  <c r="G35" i="80" a="1"/>
  <c r="G35" i="80" s="1"/>
  <c r="G106" i="80" s="1"/>
  <c r="F35" i="80" a="1"/>
  <c r="F35" i="80" s="1"/>
  <c r="E35" i="80" a="1"/>
  <c r="E35" i="80" s="1"/>
  <c r="E106" i="80" s="1"/>
  <c r="D35" i="80" a="1"/>
  <c r="D35" i="80" s="1"/>
  <c r="M34" i="80" a="1"/>
  <c r="M34" i="80" s="1"/>
  <c r="P105" i="80" s="1"/>
  <c r="L34" i="80" a="1"/>
  <c r="L34" i="80" s="1"/>
  <c r="M105" i="80" s="1"/>
  <c r="K34" i="80" a="1"/>
  <c r="K34" i="80" s="1"/>
  <c r="J34" i="80" a="1"/>
  <c r="J34" i="80" s="1"/>
  <c r="J105" i="80" s="1"/>
  <c r="I34" i="80" a="1"/>
  <c r="I34" i="80" s="1"/>
  <c r="I105" i="80" s="1"/>
  <c r="H34" i="80" a="1"/>
  <c r="H34" i="80" s="1"/>
  <c r="H105" i="80" s="1"/>
  <c r="G34" i="80" a="1"/>
  <c r="G34" i="80" s="1"/>
  <c r="G105" i="80" s="1"/>
  <c r="F34" i="80" a="1"/>
  <c r="F34" i="80" s="1"/>
  <c r="E34" i="80" a="1"/>
  <c r="E34" i="80" s="1"/>
  <c r="D34" i="80" a="1"/>
  <c r="D34" i="80" s="1"/>
  <c r="M33" i="80" a="1"/>
  <c r="M33" i="80" s="1"/>
  <c r="L33" i="80" a="1"/>
  <c r="L33" i="80" s="1"/>
  <c r="M104" i="80" s="1"/>
  <c r="K33" i="80" a="1"/>
  <c r="K33" i="80" s="1"/>
  <c r="J33" i="80" a="1"/>
  <c r="J33" i="80" s="1"/>
  <c r="J104" i="80" s="1"/>
  <c r="I33" i="80" a="1"/>
  <c r="I33" i="80" s="1"/>
  <c r="I104" i="80" s="1"/>
  <c r="H33" i="80" a="1"/>
  <c r="H33" i="80" s="1"/>
  <c r="H104" i="80" s="1"/>
  <c r="G33" i="80" a="1"/>
  <c r="G33" i="80" s="1"/>
  <c r="G104" i="80" s="1"/>
  <c r="F33" i="80" a="1"/>
  <c r="F33" i="80" s="1"/>
  <c r="E33" i="80" a="1"/>
  <c r="E33" i="80" s="1"/>
  <c r="D33" i="80" a="1"/>
  <c r="D33" i="80" s="1"/>
  <c r="M32" i="80" a="1"/>
  <c r="M32" i="80" s="1"/>
  <c r="O103" i="80" s="1"/>
  <c r="L32" i="80" a="1"/>
  <c r="L32" i="80" s="1"/>
  <c r="M103" i="80" s="1"/>
  <c r="K32" i="80" a="1"/>
  <c r="K32" i="80" s="1"/>
  <c r="J32" i="80" a="1"/>
  <c r="J32" i="80" s="1"/>
  <c r="J103" i="80" s="1"/>
  <c r="I32" i="80" a="1"/>
  <c r="I32" i="80" s="1"/>
  <c r="I103" i="80" s="1"/>
  <c r="H32" i="80" a="1"/>
  <c r="H32" i="80" s="1"/>
  <c r="H103" i="80" s="1"/>
  <c r="G32" i="80" a="1"/>
  <c r="G32" i="80" s="1"/>
  <c r="G103" i="80" s="1"/>
  <c r="F32" i="80" a="1"/>
  <c r="F32" i="80" s="1"/>
  <c r="E32" i="80" a="1"/>
  <c r="E32" i="80" s="1"/>
  <c r="D32" i="80" a="1"/>
  <c r="D32" i="80" s="1"/>
  <c r="M31" i="80" a="1"/>
  <c r="M31" i="80" s="1"/>
  <c r="L31" i="80" a="1"/>
  <c r="L31" i="80" s="1"/>
  <c r="M102" i="80" s="1"/>
  <c r="K31" i="80" a="1"/>
  <c r="K31" i="80" s="1"/>
  <c r="L102" i="80" s="1"/>
  <c r="J31" i="80" a="1"/>
  <c r="J31" i="80" s="1"/>
  <c r="J102" i="80" s="1"/>
  <c r="I31" i="80" a="1"/>
  <c r="I31" i="80" s="1"/>
  <c r="I102" i="80" s="1"/>
  <c r="H31" i="80" a="1"/>
  <c r="H31" i="80" s="1"/>
  <c r="H102" i="80" s="1"/>
  <c r="G31" i="80" a="1"/>
  <c r="G31" i="80" s="1"/>
  <c r="G102" i="80" s="1"/>
  <c r="F31" i="80" a="1"/>
  <c r="F31" i="80" s="1"/>
  <c r="F98" i="80" s="1"/>
  <c r="E31" i="80" a="1"/>
  <c r="E31" i="80" s="1"/>
  <c r="D31" i="80" a="1"/>
  <c r="D31" i="80" s="1"/>
  <c r="M30" i="80" a="1"/>
  <c r="M30" i="80" s="1"/>
  <c r="O101" i="80" s="1"/>
  <c r="L30" i="80" a="1"/>
  <c r="L30" i="80" s="1"/>
  <c r="M101" i="80" s="1"/>
  <c r="K30" i="80" a="1"/>
  <c r="K30" i="80" s="1"/>
  <c r="J30" i="80" a="1"/>
  <c r="J30" i="80" s="1"/>
  <c r="J101" i="80" s="1"/>
  <c r="I30" i="80" a="1"/>
  <c r="I30" i="80" s="1"/>
  <c r="I101" i="80" s="1"/>
  <c r="H30" i="80" a="1"/>
  <c r="H30" i="80" s="1"/>
  <c r="H101" i="80" s="1"/>
  <c r="G30" i="80" a="1"/>
  <c r="G30" i="80" s="1"/>
  <c r="G101" i="80" s="1"/>
  <c r="F30" i="80" a="1"/>
  <c r="F30" i="80" s="1"/>
  <c r="E30" i="80" a="1"/>
  <c r="E30" i="80" s="1"/>
  <c r="D30" i="80" a="1"/>
  <c r="D30" i="80" s="1"/>
  <c r="M29" i="80" a="1"/>
  <c r="M29" i="80" s="1"/>
  <c r="L29" i="80" a="1"/>
  <c r="L29" i="80" s="1"/>
  <c r="M100" i="80" s="1"/>
  <c r="K29" i="80" a="1"/>
  <c r="K29" i="80" s="1"/>
  <c r="J29" i="80" a="1"/>
  <c r="J29" i="80" s="1"/>
  <c r="J100" i="80" s="1"/>
  <c r="I29" i="80" a="1"/>
  <c r="I29" i="80" s="1"/>
  <c r="I100" i="80" s="1"/>
  <c r="H29" i="80" a="1"/>
  <c r="H29" i="80" s="1"/>
  <c r="H100" i="80" s="1"/>
  <c r="G29" i="80" a="1"/>
  <c r="G29" i="80" s="1"/>
  <c r="G100" i="80" s="1"/>
  <c r="F29" i="80" a="1"/>
  <c r="F29" i="80" s="1"/>
  <c r="E29" i="80" a="1"/>
  <c r="E29" i="80" s="1"/>
  <c r="D29" i="80" a="1"/>
  <c r="D29" i="80" s="1"/>
  <c r="O28" i="80"/>
  <c r="M28" i="80" a="1"/>
  <c r="M28" i="80" s="1"/>
  <c r="L28" i="80" a="1"/>
  <c r="L28" i="80" s="1"/>
  <c r="M99" i="80" s="1"/>
  <c r="K28" i="80" a="1"/>
  <c r="K28" i="80" s="1"/>
  <c r="L99" i="80" s="1"/>
  <c r="J28" i="80" a="1"/>
  <c r="J28" i="80" s="1"/>
  <c r="J99" i="80" s="1"/>
  <c r="I28" i="80" a="1"/>
  <c r="I28" i="80" s="1"/>
  <c r="I99" i="80" s="1"/>
  <c r="H28" i="80" a="1"/>
  <c r="H28" i="80" s="1"/>
  <c r="H99" i="80" s="1"/>
  <c r="G28" i="80" a="1"/>
  <c r="G28" i="80" s="1"/>
  <c r="G99" i="80" s="1"/>
  <c r="F28" i="80" a="1"/>
  <c r="F28" i="80" s="1"/>
  <c r="E28" i="80" a="1"/>
  <c r="E28" i="80" s="1"/>
  <c r="D28" i="80" a="1"/>
  <c r="D28" i="80" s="1"/>
  <c r="O27" i="80"/>
  <c r="M27" i="80" a="1"/>
  <c r="M27" i="80" s="1"/>
  <c r="O98" i="80" s="1"/>
  <c r="L27" i="80" a="1"/>
  <c r="L27" i="80" s="1"/>
  <c r="M98" i="80" s="1"/>
  <c r="K27" i="80" a="1"/>
  <c r="K27" i="80" s="1"/>
  <c r="J27" i="80" a="1"/>
  <c r="J27" i="80" s="1"/>
  <c r="J98" i="80" s="1"/>
  <c r="I27" i="80" a="1"/>
  <c r="I27" i="80" s="1"/>
  <c r="I98" i="80" s="1"/>
  <c r="H27" i="80" a="1"/>
  <c r="H27" i="80" s="1"/>
  <c r="H98" i="80" s="1"/>
  <c r="G27" i="80" a="1"/>
  <c r="G27" i="80" s="1"/>
  <c r="G98" i="80" s="1"/>
  <c r="F27" i="80" a="1"/>
  <c r="F27" i="80" s="1"/>
  <c r="F94" i="80" s="1"/>
  <c r="E27" i="80" a="1"/>
  <c r="E27" i="80" s="1"/>
  <c r="D27" i="80" a="1"/>
  <c r="D27" i="80" s="1"/>
  <c r="O26" i="80"/>
  <c r="M26" i="80" a="1"/>
  <c r="M26" i="80" s="1"/>
  <c r="L26" i="80" a="1"/>
  <c r="L26" i="80" s="1"/>
  <c r="M97" i="80" s="1"/>
  <c r="K26" i="80" a="1"/>
  <c r="K26" i="80" s="1"/>
  <c r="J26" i="80" a="1"/>
  <c r="J26" i="80" s="1"/>
  <c r="J97" i="80" s="1"/>
  <c r="I26" i="80" a="1"/>
  <c r="I26" i="80" s="1"/>
  <c r="I97" i="80" s="1"/>
  <c r="H26" i="80" a="1"/>
  <c r="H26" i="80" s="1"/>
  <c r="H97" i="80" s="1"/>
  <c r="G26" i="80" a="1"/>
  <c r="G26" i="80" s="1"/>
  <c r="G97" i="80" s="1"/>
  <c r="F26" i="80" a="1"/>
  <c r="F26" i="80" s="1"/>
  <c r="E26" i="80" a="1"/>
  <c r="E26" i="80" s="1"/>
  <c r="D26" i="80" a="1"/>
  <c r="D26" i="80" s="1"/>
  <c r="O25" i="80"/>
  <c r="M25" i="80" a="1"/>
  <c r="M25" i="80" s="1"/>
  <c r="L25" i="80" a="1"/>
  <c r="L25" i="80" s="1"/>
  <c r="M96" i="80" s="1"/>
  <c r="K25" i="80" a="1"/>
  <c r="K25" i="80" s="1"/>
  <c r="J25" i="80" a="1"/>
  <c r="J25" i="80" s="1"/>
  <c r="J96" i="80" s="1"/>
  <c r="I25" i="80" a="1"/>
  <c r="I25" i="80" s="1"/>
  <c r="I96" i="80" s="1"/>
  <c r="H25" i="80" a="1"/>
  <c r="H25" i="80" s="1"/>
  <c r="H96" i="80" s="1"/>
  <c r="G25" i="80" a="1"/>
  <c r="G25" i="80" s="1"/>
  <c r="G96" i="80" s="1"/>
  <c r="F25" i="80" a="1"/>
  <c r="F25" i="80" s="1"/>
  <c r="E25" i="80" a="1"/>
  <c r="E25" i="80" s="1"/>
  <c r="D25" i="80" a="1"/>
  <c r="D25" i="80" s="1"/>
  <c r="O24" i="80"/>
  <c r="M24" i="80" a="1"/>
  <c r="M24" i="80" s="1"/>
  <c r="L24" i="80" a="1"/>
  <c r="L24" i="80" s="1"/>
  <c r="M95" i="80" s="1"/>
  <c r="K24" i="80" a="1"/>
  <c r="K24" i="80" s="1"/>
  <c r="J24" i="80" a="1"/>
  <c r="J24" i="80" s="1"/>
  <c r="J95" i="80" s="1"/>
  <c r="I24" i="80" a="1"/>
  <c r="I24" i="80" s="1"/>
  <c r="I95" i="80" s="1"/>
  <c r="H24" i="80" a="1"/>
  <c r="H24" i="80" s="1"/>
  <c r="H95" i="80" s="1"/>
  <c r="G24" i="80" a="1"/>
  <c r="G24" i="80" s="1"/>
  <c r="G95" i="80" s="1"/>
  <c r="F24" i="80" a="1"/>
  <c r="F24" i="80" s="1"/>
  <c r="E24" i="80" a="1"/>
  <c r="E24" i="80" s="1"/>
  <c r="D24" i="80" a="1"/>
  <c r="D24" i="80" s="1"/>
  <c r="O23" i="80"/>
  <c r="M23" i="80" a="1"/>
  <c r="M23" i="80" s="1"/>
  <c r="L23" i="80" a="1"/>
  <c r="L23" i="80" s="1"/>
  <c r="M94" i="80" s="1"/>
  <c r="K23" i="80" a="1"/>
  <c r="K23" i="80" s="1"/>
  <c r="J23" i="80" a="1"/>
  <c r="J23" i="80" s="1"/>
  <c r="J94" i="80" s="1"/>
  <c r="I23" i="80" a="1"/>
  <c r="I23" i="80" s="1"/>
  <c r="I94" i="80" s="1"/>
  <c r="H23" i="80" a="1"/>
  <c r="H23" i="80" s="1"/>
  <c r="H94" i="80" s="1"/>
  <c r="G23" i="80" a="1"/>
  <c r="G23" i="80" s="1"/>
  <c r="G94" i="80" s="1"/>
  <c r="F23" i="80" a="1"/>
  <c r="F23" i="80" s="1"/>
  <c r="F90" i="80" s="1"/>
  <c r="E23" i="80" a="1"/>
  <c r="E23" i="80" s="1"/>
  <c r="D23" i="80" a="1"/>
  <c r="D23" i="80" s="1"/>
  <c r="O22" i="80"/>
  <c r="M22" i="80" a="1"/>
  <c r="M22" i="80" s="1"/>
  <c r="N93" i="80" s="1"/>
  <c r="L22" i="80" a="1"/>
  <c r="L22" i="80" s="1"/>
  <c r="K22" i="80" a="1"/>
  <c r="K22" i="80" s="1"/>
  <c r="J22" i="80" a="1"/>
  <c r="J22" i="80" s="1"/>
  <c r="I22" i="80" a="1"/>
  <c r="I22" i="80" s="1"/>
  <c r="H22" i="80" a="1"/>
  <c r="H22" i="80" s="1"/>
  <c r="G22" i="80" a="1"/>
  <c r="G22" i="80" s="1"/>
  <c r="F22" i="80" a="1"/>
  <c r="F22" i="80" s="1"/>
  <c r="E22" i="80" a="1"/>
  <c r="E22" i="80" s="1"/>
  <c r="D22" i="80" a="1"/>
  <c r="D22" i="80" s="1"/>
  <c r="O21" i="80"/>
  <c r="M21" i="80" a="1"/>
  <c r="M21" i="80" s="1"/>
  <c r="L21" i="80" a="1"/>
  <c r="L21" i="80" s="1"/>
  <c r="K21" i="80" a="1"/>
  <c r="K21" i="80" s="1"/>
  <c r="J21" i="80" a="1"/>
  <c r="J21" i="80" s="1"/>
  <c r="J88" i="80" s="1"/>
  <c r="I21" i="80" a="1"/>
  <c r="I21" i="80" s="1"/>
  <c r="H21" i="80" a="1"/>
  <c r="H21" i="80" s="1"/>
  <c r="H92" i="80" s="1"/>
  <c r="G21" i="80" a="1"/>
  <c r="G21" i="80" s="1"/>
  <c r="G92" i="80" s="1"/>
  <c r="F21" i="80" a="1"/>
  <c r="F21" i="80" s="1"/>
  <c r="E21" i="80" a="1"/>
  <c r="E21" i="80" s="1"/>
  <c r="D21" i="80" a="1"/>
  <c r="D21" i="80" s="1"/>
  <c r="O20" i="80"/>
  <c r="M20" i="80" a="1"/>
  <c r="M20" i="80" s="1"/>
  <c r="L20" i="80" a="1"/>
  <c r="L20" i="80" s="1"/>
  <c r="K20" i="80" a="1"/>
  <c r="K20" i="80" s="1"/>
  <c r="J20" i="80" a="1"/>
  <c r="J20" i="80" s="1"/>
  <c r="I20" i="80" a="1"/>
  <c r="I20" i="80" s="1"/>
  <c r="H20" i="80" a="1"/>
  <c r="H20" i="80" s="1"/>
  <c r="G20" i="80" a="1"/>
  <c r="G20" i="80" s="1"/>
  <c r="F20" i="80" a="1"/>
  <c r="F20" i="80" s="1"/>
  <c r="E20" i="80" a="1"/>
  <c r="E20" i="80" s="1"/>
  <c r="D20" i="80" a="1"/>
  <c r="D20" i="80" s="1"/>
  <c r="O19" i="80"/>
  <c r="M19" i="80" a="1"/>
  <c r="M19" i="80" s="1"/>
  <c r="L19" i="80" a="1"/>
  <c r="L19" i="80" s="1"/>
  <c r="K19" i="80" a="1"/>
  <c r="K19" i="80" s="1"/>
  <c r="J19" i="80" a="1"/>
  <c r="J19" i="80" s="1"/>
  <c r="I19" i="80" a="1"/>
  <c r="I19" i="80" s="1"/>
  <c r="H19" i="80" a="1"/>
  <c r="H19" i="80" s="1"/>
  <c r="G19" i="80" a="1"/>
  <c r="G19" i="80" s="1"/>
  <c r="F19" i="80" a="1"/>
  <c r="F19" i="80" s="1"/>
  <c r="F86" i="80" s="1"/>
  <c r="E19" i="80" a="1"/>
  <c r="E19" i="80" s="1"/>
  <c r="D19" i="80" a="1"/>
  <c r="D19" i="80" s="1"/>
  <c r="D17" i="80" a="1"/>
  <c r="D17" i="80" s="1"/>
  <c r="D16" i="80" a="1"/>
  <c r="D16" i="80" s="1"/>
  <c r="D15" i="80" a="1"/>
  <c r="D15" i="80" s="1"/>
  <c r="D14" i="80" a="1"/>
  <c r="D14" i="80" s="1"/>
  <c r="W166" i="79" a="1"/>
  <c r="W166" i="79" s="1"/>
  <c r="U163" i="79" a="1"/>
  <c r="U163" i="79" s="1"/>
  <c r="U144" i="79"/>
  <c r="U160" i="79" s="1"/>
  <c r="U143" i="79"/>
  <c r="U159" i="79" s="1"/>
  <c r="U142" i="79"/>
  <c r="U158" i="79" s="1"/>
  <c r="U141" i="79"/>
  <c r="U157" i="79" s="1"/>
  <c r="U140" i="79"/>
  <c r="U156" i="79" s="1"/>
  <c r="U139" i="79"/>
  <c r="U155" i="79" s="1"/>
  <c r="U138" i="79"/>
  <c r="U154" i="79" s="1"/>
  <c r="U137" i="79"/>
  <c r="U153" i="79" s="1"/>
  <c r="U136" i="79"/>
  <c r="U152" i="79" s="1"/>
  <c r="U135" i="79"/>
  <c r="U151" i="79" s="1"/>
  <c r="U134" i="79"/>
  <c r="U150" i="79" s="1"/>
  <c r="U133" i="79"/>
  <c r="U149" i="79" s="1"/>
  <c r="F133" i="79" a="1"/>
  <c r="F133" i="79" s="1"/>
  <c r="D130" i="79" a="1"/>
  <c r="D130" i="79" s="1"/>
  <c r="U128" i="79"/>
  <c r="U127" i="79"/>
  <c r="U126" i="79"/>
  <c r="U125" i="79"/>
  <c r="U124" i="79"/>
  <c r="U123" i="79"/>
  <c r="U122" i="79"/>
  <c r="U121" i="79"/>
  <c r="U120" i="79"/>
  <c r="U119" i="79"/>
  <c r="U118" i="79"/>
  <c r="V117" i="79" a="1"/>
  <c r="V117" i="79" s="1"/>
  <c r="U117" i="79"/>
  <c r="E115" i="79" a="1"/>
  <c r="E115" i="79" s="1"/>
  <c r="U112" i="79" a="1"/>
  <c r="U112" i="79" s="1"/>
  <c r="U108" i="79"/>
  <c r="U107" i="79"/>
  <c r="E107" i="79" a="1"/>
  <c r="E107" i="79" s="1"/>
  <c r="U106" i="79"/>
  <c r="U105" i="79"/>
  <c r="U104" i="79"/>
  <c r="U103" i="79"/>
  <c r="U102" i="79"/>
  <c r="I102" i="79" a="1"/>
  <c r="I102" i="79" s="1"/>
  <c r="U101" i="79"/>
  <c r="I101" i="79" a="1"/>
  <c r="I101" i="79" s="1"/>
  <c r="U100" i="79"/>
  <c r="I100" i="79" a="1"/>
  <c r="I100" i="79" s="1"/>
  <c r="G100" i="79" a="1"/>
  <c r="AF117" i="79" s="1"/>
  <c r="D100" i="79" a="1"/>
  <c r="D100" i="79" s="1"/>
  <c r="U99" i="79"/>
  <c r="U98" i="79"/>
  <c r="E98" i="79" a="1"/>
  <c r="E98" i="79" s="1"/>
  <c r="O123" i="79" s="1"/>
  <c r="U97" i="79"/>
  <c r="E97" i="79" a="1"/>
  <c r="E97" i="79" s="1"/>
  <c r="D93" i="79" a="1"/>
  <c r="D93" i="79" s="1"/>
  <c r="U92" i="79" a="1"/>
  <c r="U92" i="79" s="1"/>
  <c r="D92" i="79" a="1"/>
  <c r="D92" i="79" s="1"/>
  <c r="U87" i="79"/>
  <c r="U86" i="79"/>
  <c r="U85" i="79"/>
  <c r="U84" i="79"/>
  <c r="U83" i="79"/>
  <c r="U82" i="79"/>
  <c r="U81" i="79"/>
  <c r="U80" i="79"/>
  <c r="I80" i="79" a="1"/>
  <c r="I80" i="79" s="1"/>
  <c r="G80" i="79" a="1"/>
  <c r="G80" i="79" s="1"/>
  <c r="D80" i="79" a="1"/>
  <c r="D80" i="79" s="1"/>
  <c r="U79" i="79"/>
  <c r="U78" i="79"/>
  <c r="E78" i="79" a="1"/>
  <c r="E78" i="79" s="1"/>
  <c r="U77" i="79"/>
  <c r="E77" i="79" a="1"/>
  <c r="E77" i="79" s="1"/>
  <c r="U76" i="79"/>
  <c r="D72" i="79" a="1"/>
  <c r="D72" i="79" s="1"/>
  <c r="U71" i="79"/>
  <c r="D71" i="79" a="1"/>
  <c r="D71" i="79" s="1"/>
  <c r="U70" i="79"/>
  <c r="U69" i="79"/>
  <c r="U68" i="79"/>
  <c r="U67" i="79"/>
  <c r="U66" i="79"/>
  <c r="U65" i="79"/>
  <c r="U64" i="79"/>
  <c r="U63" i="79"/>
  <c r="U62" i="79"/>
  <c r="U61" i="79"/>
  <c r="U60" i="79"/>
  <c r="D59" i="79"/>
  <c r="D58" i="79"/>
  <c r="D57" i="79"/>
  <c r="D56" i="79"/>
  <c r="U55" i="79"/>
  <c r="U54" i="79"/>
  <c r="U53" i="79"/>
  <c r="U52" i="79"/>
  <c r="U51" i="79"/>
  <c r="D51" i="79"/>
  <c r="U50" i="79"/>
  <c r="D50" i="79"/>
  <c r="U49" i="79"/>
  <c r="D49" i="79"/>
  <c r="U48" i="79"/>
  <c r="D48" i="79"/>
  <c r="U47" i="79"/>
  <c r="U46" i="79"/>
  <c r="U45" i="79"/>
  <c r="U44" i="79"/>
  <c r="I43" i="79" a="1"/>
  <c r="I43" i="79" s="1"/>
  <c r="I42" i="79" a="1"/>
  <c r="I42" i="79" s="1"/>
  <c r="I41" i="79" a="1"/>
  <c r="I41" i="79" s="1"/>
  <c r="G41" i="79" a="1"/>
  <c r="G41" i="79" s="1"/>
  <c r="D41" i="79" a="1"/>
  <c r="D41" i="79" s="1"/>
  <c r="U39" i="79"/>
  <c r="E39" i="79" a="1"/>
  <c r="E39" i="79" s="1"/>
  <c r="AF81" i="79" s="1"/>
  <c r="U38" i="79"/>
  <c r="E38" i="79" a="1"/>
  <c r="E38" i="79" s="1"/>
  <c r="U37" i="79"/>
  <c r="G37" i="79" a="1"/>
  <c r="G37" i="79" s="1"/>
  <c r="U36" i="79"/>
  <c r="U35" i="79"/>
  <c r="U34" i="79"/>
  <c r="D34" i="79" a="1"/>
  <c r="D34" i="79" s="1"/>
  <c r="U33" i="79"/>
  <c r="D33" i="79" a="1"/>
  <c r="D33" i="79" s="1"/>
  <c r="U32" i="79"/>
  <c r="U31" i="79"/>
  <c r="U30" i="79"/>
  <c r="U29" i="79"/>
  <c r="E29" i="79" a="1"/>
  <c r="E29" i="79" s="1"/>
  <c r="F29" i="79" s="1" a="1"/>
  <c r="F29" i="79" s="1"/>
  <c r="L29" i="79" s="1" a="1"/>
  <c r="L29" i="79" s="1"/>
  <c r="U28" i="79"/>
  <c r="V28" i="79" s="1" a="1"/>
  <c r="V28" i="79" s="1"/>
  <c r="W28" i="79" s="1" a="1"/>
  <c r="W28" i="79" s="1"/>
  <c r="AC28" i="79" s="1" a="1"/>
  <c r="AC28" i="79" s="1"/>
  <c r="E27" i="79" a="1"/>
  <c r="E27" i="79" s="1"/>
  <c r="F27" i="79" s="1" a="1"/>
  <c r="F27" i="79" s="1"/>
  <c r="E26" i="79" a="1"/>
  <c r="E26" i="79" s="1"/>
  <c r="F26" i="79" s="1" a="1"/>
  <c r="F26" i="79" s="1"/>
  <c r="K26" i="79" s="1" a="1"/>
  <c r="K26" i="79" s="1"/>
  <c r="E28" i="79" a="1"/>
  <c r="E28" i="79" s="1"/>
  <c r="F28" i="79" s="1" a="1"/>
  <c r="F28" i="79" s="1"/>
  <c r="K28" i="79" s="1" a="1"/>
  <c r="K28" i="79" s="1"/>
  <c r="J16" i="79"/>
  <c r="J13" i="79" a="1"/>
  <c r="J13" i="79" s="1"/>
  <c r="H13" i="79" a="1"/>
  <c r="H13" i="79" s="1"/>
  <c r="D13" i="79" a="1"/>
  <c r="D13" i="79" s="1"/>
  <c r="E11" i="79" a="1"/>
  <c r="E11" i="79" s="1"/>
  <c r="Q29" i="79" s="1"/>
  <c r="E10" i="79" a="1"/>
  <c r="E10" i="79" s="1"/>
  <c r="D6" i="79" a="1"/>
  <c r="D6" i="79" s="1"/>
  <c r="D5" i="79" a="1"/>
  <c r="D5" i="79" s="1"/>
  <c r="D172" i="78"/>
  <c r="D171" i="78"/>
  <c r="D170" i="78"/>
  <c r="D169" i="78"/>
  <c r="D168" i="78"/>
  <c r="D167" i="78"/>
  <c r="D166" i="78"/>
  <c r="D165" i="78"/>
  <c r="D164" i="78"/>
  <c r="D163" i="78"/>
  <c r="D162" i="78"/>
  <c r="D161" i="78"/>
  <c r="D150" i="78"/>
  <c r="D149" i="78"/>
  <c r="D148" i="78"/>
  <c r="D147" i="78"/>
  <c r="D146" i="78"/>
  <c r="D145" i="78"/>
  <c r="D144" i="78"/>
  <c r="D143" i="78"/>
  <c r="D142" i="78"/>
  <c r="D141" i="78"/>
  <c r="D140" i="78"/>
  <c r="D139" i="78"/>
  <c r="G128" i="78"/>
  <c r="F128" i="78"/>
  <c r="E128" i="78"/>
  <c r="D125" i="78"/>
  <c r="K124" i="78"/>
  <c r="J124" i="78"/>
  <c r="L124" i="78" s="1"/>
  <c r="K123" i="78"/>
  <c r="M124" i="78" s="1"/>
  <c r="J123" i="78"/>
  <c r="K122" i="78"/>
  <c r="M123" i="78" s="1"/>
  <c r="J122" i="78"/>
  <c r="K121" i="78"/>
  <c r="M122" i="78" s="1"/>
  <c r="J121" i="78"/>
  <c r="M121" i="78" s="1"/>
  <c r="E121" i="78"/>
  <c r="D127" i="78" s="1"/>
  <c r="D128" i="78" s="1"/>
  <c r="E120" i="78"/>
  <c r="M114" i="78"/>
  <c r="L114" i="78"/>
  <c r="M113" i="78"/>
  <c r="L113" i="78"/>
  <c r="M112" i="78"/>
  <c r="L112" i="78"/>
  <c r="M111" i="78"/>
  <c r="L111" i="78"/>
  <c r="D111" i="78"/>
  <c r="D100" i="78"/>
  <c r="D99" i="78"/>
  <c r="D98" i="78"/>
  <c r="D97" i="78"/>
  <c r="D96" i="78"/>
  <c r="D95" i="78"/>
  <c r="D94" i="78"/>
  <c r="D93" i="78"/>
  <c r="D92" i="78"/>
  <c r="D91" i="78"/>
  <c r="D90" i="78"/>
  <c r="D89" i="78"/>
  <c r="D78" i="78"/>
  <c r="D77" i="78"/>
  <c r="D76" i="78"/>
  <c r="D75" i="78"/>
  <c r="D74" i="78"/>
  <c r="D73" i="78"/>
  <c r="D72" i="78"/>
  <c r="D71" i="78"/>
  <c r="D70" i="78"/>
  <c r="D69" i="78"/>
  <c r="D68" i="78"/>
  <c r="D67" i="78"/>
  <c r="D56" i="78"/>
  <c r="D55" i="78"/>
  <c r="D54" i="78"/>
  <c r="D53" i="78"/>
  <c r="D52" i="78"/>
  <c r="D51" i="78"/>
  <c r="D50" i="78"/>
  <c r="D49" i="78"/>
  <c r="D48" i="78"/>
  <c r="D47" i="78"/>
  <c r="D46" i="78"/>
  <c r="D45" i="78"/>
  <c r="D34" i="78"/>
  <c r="G34" i="78" s="1"/>
  <c r="D33" i="78"/>
  <c r="L33" i="78" s="1"/>
  <c r="D32" i="78"/>
  <c r="I32" i="78" s="1"/>
  <c r="D31" i="78"/>
  <c r="M31" i="78" s="1"/>
  <c r="D30" i="78"/>
  <c r="N30" i="78" s="1"/>
  <c r="D29" i="78"/>
  <c r="N29" i="78" s="1"/>
  <c r="D28" i="78"/>
  <c r="D27" i="78"/>
  <c r="L27" i="78" s="1"/>
  <c r="D26" i="78"/>
  <c r="N26" i="78" s="1"/>
  <c r="D25" i="78"/>
  <c r="N25" i="78" s="1"/>
  <c r="D24" i="78"/>
  <c r="M24" i="78" s="1"/>
  <c r="D23" i="78"/>
  <c r="I23" i="78" s="1"/>
  <c r="E7" i="78"/>
  <c r="E7" i="83" a="1"/>
  <c r="E594" i="112" a="1"/>
  <c r="E355" i="112" a="1"/>
  <c r="E25" i="95" a="1"/>
  <c r="N60" i="87" a="1"/>
  <c r="E39" i="82" a="1"/>
  <c r="E79" i="113" a="1"/>
  <c r="E523" i="112" a="1"/>
  <c r="O27" i="105" a="1"/>
  <c r="E90" i="91" a="1"/>
  <c r="E22" i="84" a="1"/>
  <c r="E35" i="79" a="1"/>
  <c r="E178" i="83" a="1"/>
  <c r="E104" i="83" a="1"/>
  <c r="E561" i="112" a="1"/>
  <c r="E203" i="112" a="1"/>
  <c r="E8" i="95" a="1"/>
  <c r="E42" i="87" a="1"/>
  <c r="E148" i="82" a="1"/>
  <c r="E418" i="112" a="1"/>
  <c r="E323" i="112" a="1"/>
  <c r="E7" i="92" a="1"/>
  <c r="E7" i="87" a="1"/>
  <c r="E101" i="82" a="1"/>
  <c r="E83" i="92" a="1"/>
  <c r="O7" i="113" a="1"/>
  <c r="E508" i="112" a="1"/>
  <c r="E118" i="91" a="1"/>
  <c r="E7" i="113" a="1"/>
  <c r="E100" i="112" a="1"/>
  <c r="E99" i="102" a="1"/>
  <c r="E7" i="90" a="1"/>
  <c r="E290" i="112" a="1"/>
  <c r="E136" i="83" a="1"/>
  <c r="E42" i="83" a="1"/>
  <c r="E42" i="113" a="1"/>
  <c r="E188" i="112" a="1"/>
  <c r="E7" i="98" a="1"/>
  <c r="E7" i="88" a="1"/>
  <c r="E206" i="82" a="1"/>
  <c r="E258" i="112" a="1"/>
  <c r="E30" i="106" a="1"/>
  <c r="E49" i="92" a="1"/>
  <c r="E26" i="85" a="1"/>
  <c r="E73" i="79" a="1"/>
  <c r="E61" i="113" a="1"/>
  <c r="E540" i="112" a="1"/>
  <c r="E7" i="106" a="1"/>
  <c r="E7" i="85" a="1"/>
  <c r="E94" i="79" a="1"/>
  <c r="O26" i="113" a="1"/>
  <c r="E27" i="105" a="1"/>
  <c r="E26" i="113" a="1"/>
  <c r="E7" i="112" a="1"/>
  <c r="E7" i="102" a="1"/>
  <c r="E43" i="91" a="1"/>
  <c r="E218" i="83" a="1"/>
  <c r="O42" i="113" a="1"/>
  <c r="E7" i="89" a="1"/>
  <c r="E7" i="105" a="1"/>
  <c r="E7" i="84" a="1"/>
  <c r="O79" i="113" a="1"/>
  <c r="L7" i="98" a="1"/>
  <c r="E43" i="88" a="1"/>
  <c r="E385" i="112" a="1"/>
  <c r="E7" i="91" a="1"/>
  <c r="E151" i="112" a="1"/>
  <c r="L8" i="99" a="1"/>
  <c r="O61" i="113" a="1"/>
  <c r="E174" i="112" a="1"/>
  <c r="E38" i="89" a="1"/>
  <c r="E7" i="99" a="1"/>
  <c r="E28" i="99" l="1"/>
  <c r="E35" i="99"/>
  <c r="M27" i="99" a="1"/>
  <c r="M27" i="99" s="1"/>
  <c r="M38" i="99" a="1"/>
  <c r="M38" i="99" s="1"/>
  <c r="G197" i="114"/>
  <c r="G196" i="114"/>
  <c r="G195" i="114"/>
  <c r="G194" i="114"/>
  <c r="I57" i="92"/>
  <c r="I15" i="92"/>
  <c r="I69" i="113"/>
  <c r="M34" i="99" a="1"/>
  <c r="M34" i="99" s="1"/>
  <c r="M31" i="98" a="1"/>
  <c r="M31" i="98" s="1"/>
  <c r="J15" i="105" a="1"/>
  <c r="J15" i="105" s="1"/>
  <c r="J16" i="105" a="1"/>
  <c r="J16" i="105" s="1"/>
  <c r="J14" i="105" a="1"/>
  <c r="J14" i="105" s="1"/>
  <c r="E30" i="99"/>
  <c r="E37" i="99"/>
  <c r="H39" i="99"/>
  <c r="G39" i="99"/>
  <c r="J39" i="99"/>
  <c r="I39" i="99"/>
  <c r="M36" i="98" a="1"/>
  <c r="M36" i="98" s="1"/>
  <c r="M39" i="99" a="1"/>
  <c r="M39" i="99" s="1"/>
  <c r="L39" i="99" a="1"/>
  <c r="L39" i="99" s="1"/>
  <c r="J15" i="82" a="1"/>
  <c r="J15" i="82" s="1"/>
  <c r="M25" i="99" a="1"/>
  <c r="M25" i="99" s="1"/>
  <c r="L25" i="99" a="1"/>
  <c r="L25" i="99" s="1"/>
  <c r="M27" i="98" a="1"/>
  <c r="M27" i="98" s="1"/>
  <c r="M32" i="98" a="1"/>
  <c r="M32" i="98" s="1"/>
  <c r="O14" i="109"/>
  <c r="D128" i="81"/>
  <c r="U93" i="83"/>
  <c r="W23" i="82"/>
  <c r="F161" i="83" a="1"/>
  <c r="F161" i="83" s="1"/>
  <c r="P22" i="86"/>
  <c r="D19" i="88" a="1"/>
  <c r="P21" i="86"/>
  <c r="P20" i="86"/>
  <c r="G183" i="114"/>
  <c r="D23" i="92" a="1"/>
  <c r="D23" i="92" s="1"/>
  <c r="D19" i="91" a="1"/>
  <c r="D58" i="88" a="1"/>
  <c r="D58" i="88" s="1"/>
  <c r="D60" i="87" a="1"/>
  <c r="D60" i="87" s="1"/>
  <c r="D59" i="91" a="1"/>
  <c r="D59" i="91" s="1"/>
  <c r="D19" i="87" a="1"/>
  <c r="E33" i="99"/>
  <c r="E26" i="99"/>
  <c r="E31" i="99"/>
  <c r="E38" i="99"/>
  <c r="M32" i="99" a="1"/>
  <c r="M32" i="99" s="1"/>
  <c r="M28" i="99" a="1"/>
  <c r="M28" i="99" s="1"/>
  <c r="M40" i="99" a="1"/>
  <c r="M40" i="99" s="1"/>
  <c r="O237" i="112"/>
  <c r="J15" i="79" a="1"/>
  <c r="J15" i="79" s="1"/>
  <c r="E33" i="98"/>
  <c r="E38" i="98"/>
  <c r="H38" i="98" s="1" a="1"/>
  <c r="H38" i="98" s="1"/>
  <c r="E26" i="98"/>
  <c r="J26" i="98" s="1" a="1"/>
  <c r="J26" i="98" s="1"/>
  <c r="M34" i="98" a="1"/>
  <c r="M34" i="98" s="1"/>
  <c r="L34" i="98" a="1"/>
  <c r="L34" i="98" s="1"/>
  <c r="M35" i="99" a="1"/>
  <c r="M35" i="99" s="1"/>
  <c r="D51" i="109"/>
  <c r="D162" i="112" s="1"/>
  <c r="F162" i="112" s="1" a="1"/>
  <c r="F162" i="112" s="1"/>
  <c r="D163" i="112"/>
  <c r="F163" i="112" s="1" a="1"/>
  <c r="F163" i="112" s="1"/>
  <c r="D164" i="112"/>
  <c r="F164" i="112" s="1" a="1"/>
  <c r="F164" i="112" s="1"/>
  <c r="X92" i="83"/>
  <c r="Z22" i="82"/>
  <c r="I174" i="114"/>
  <c r="H194" i="114"/>
  <c r="L122" i="81"/>
  <c r="E25" i="99"/>
  <c r="E32" i="99"/>
  <c r="M25" i="98" a="1"/>
  <c r="M25" i="98" s="1"/>
  <c r="L25" i="98" a="1"/>
  <c r="L25" i="98" s="1"/>
  <c r="M28" i="98" a="1"/>
  <c r="M28" i="98" s="1"/>
  <c r="I530" i="112" a="1"/>
  <c r="I530" i="112" s="1"/>
  <c r="E533" i="112" s="1" a="1"/>
  <c r="E533" i="112" s="1"/>
  <c r="G439" i="112" a="1"/>
  <c r="G439" i="112" s="1"/>
  <c r="I31" i="112" a="1"/>
  <c r="I31" i="112" s="1"/>
  <c r="I30" i="112" a="1"/>
  <c r="I30" i="112" s="1"/>
  <c r="I29" i="112" a="1"/>
  <c r="I29" i="112" s="1"/>
  <c r="I28" i="112" a="1"/>
  <c r="I28" i="112" s="1"/>
  <c r="I27" i="112" a="1"/>
  <c r="I27" i="112" s="1"/>
  <c r="I26" i="112" a="1"/>
  <c r="I26" i="112" s="1"/>
  <c r="I25" i="112" a="1"/>
  <c r="I25" i="112" s="1"/>
  <c r="I24" i="112" a="1"/>
  <c r="I24" i="112" s="1"/>
  <c r="I23" i="112" a="1"/>
  <c r="I23" i="112" s="1"/>
  <c r="E76" i="112" a="1"/>
  <c r="E76" i="112" s="1"/>
  <c r="E58" i="112" a="1"/>
  <c r="E58" i="112" s="1"/>
  <c r="E39" i="112" a="1"/>
  <c r="E39" i="112" s="1"/>
  <c r="I32" i="112" a="1"/>
  <c r="I32" i="112" s="1"/>
  <c r="E69" i="92"/>
  <c r="E106" i="91"/>
  <c r="F106" i="91" s="1" a="1"/>
  <c r="F106" i="91" s="1"/>
  <c r="E138" i="91" s="1"/>
  <c r="M33" i="98" a="1"/>
  <c r="M33" i="98" s="1"/>
  <c r="M29" i="99" a="1"/>
  <c r="M29" i="99" s="1"/>
  <c r="L29" i="99" a="1"/>
  <c r="L29" i="99" s="1"/>
  <c r="D270" i="112"/>
  <c r="E279" i="112"/>
  <c r="I279" i="112" s="1" a="1"/>
  <c r="I279" i="112" s="1"/>
  <c r="E272" i="112"/>
  <c r="F278" i="112" a="1"/>
  <c r="F278" i="112" s="1"/>
  <c r="F271" i="112" a="1"/>
  <c r="F271" i="112" s="1"/>
  <c r="E271" i="112"/>
  <c r="I271" i="112" s="1" a="1"/>
  <c r="I271" i="112" s="1"/>
  <c r="F277" i="112" a="1"/>
  <c r="F277" i="112" s="1"/>
  <c r="I277" i="112" s="1" a="1"/>
  <c r="I277" i="112" s="1"/>
  <c r="E277" i="112"/>
  <c r="F276" i="112" a="1"/>
  <c r="F276" i="112" s="1"/>
  <c r="F275" i="112" a="1"/>
  <c r="F275" i="112" s="1"/>
  <c r="E275" i="112"/>
  <c r="F281" i="112" a="1"/>
  <c r="F281" i="112" s="1"/>
  <c r="F274" i="112" a="1"/>
  <c r="F274" i="112" s="1"/>
  <c r="E281" i="112"/>
  <c r="E274" i="112"/>
  <c r="I274" i="112" s="1" a="1"/>
  <c r="I274" i="112" s="1"/>
  <c r="F280" i="112" a="1"/>
  <c r="F280" i="112" s="1"/>
  <c r="F273" i="112" a="1"/>
  <c r="F273" i="112" s="1"/>
  <c r="E273" i="112"/>
  <c r="I273" i="112" s="1" a="1"/>
  <c r="I273" i="112" s="1"/>
  <c r="F279" i="112" a="1"/>
  <c r="F279" i="112" s="1"/>
  <c r="F272" i="112" a="1"/>
  <c r="F272" i="112" s="1"/>
  <c r="I272" i="112" s="1" a="1"/>
  <c r="I272" i="112" s="1"/>
  <c r="J91" i="92"/>
  <c r="J87" i="113"/>
  <c r="E27" i="99"/>
  <c r="E34" i="99"/>
  <c r="E36" i="99"/>
  <c r="E29" i="99"/>
  <c r="M37" i="98" a="1"/>
  <c r="M37" i="98" s="1"/>
  <c r="L37" i="98" a="1"/>
  <c r="L37" i="98" s="1"/>
  <c r="M36" i="99" a="1"/>
  <c r="M36" i="99" s="1"/>
  <c r="L36" i="99" a="1"/>
  <c r="L36" i="99" s="1"/>
  <c r="K90" i="114"/>
  <c r="M89" i="114" s="1"/>
  <c r="P128" i="112" a="1"/>
  <c r="P128" i="112" s="1"/>
  <c r="P121" i="112" a="1"/>
  <c r="P121" i="112" s="1"/>
  <c r="P124" i="112" a="1"/>
  <c r="P124" i="112" s="1"/>
  <c r="P119" i="112" a="1"/>
  <c r="P119" i="112" s="1"/>
  <c r="P127" i="112" a="1"/>
  <c r="P127" i="112" s="1"/>
  <c r="P120" i="112" a="1"/>
  <c r="P120" i="112" s="1"/>
  <c r="P123" i="112" a="1"/>
  <c r="P123" i="112" s="1"/>
  <c r="P126" i="112" a="1"/>
  <c r="P126" i="112" s="1"/>
  <c r="P122" i="112" a="1"/>
  <c r="P122" i="112" s="1"/>
  <c r="P125" i="112" a="1"/>
  <c r="P125" i="112" s="1"/>
  <c r="L122" i="78"/>
  <c r="E108" i="91"/>
  <c r="E71" i="92"/>
  <c r="H197" i="114"/>
  <c r="I177" i="114"/>
  <c r="O16" i="86" a="1"/>
  <c r="O16" i="86" s="1"/>
  <c r="R15" i="86" a="1"/>
  <c r="R15" i="86" s="1"/>
  <c r="U14" i="86" a="1"/>
  <c r="U14" i="86" s="1"/>
  <c r="X13" i="86"/>
  <c r="J13" i="86" a="1"/>
  <c r="J13" i="86" s="1"/>
  <c r="N12" i="86" a="1"/>
  <c r="N12" i="86" s="1"/>
  <c r="N16" i="86" a="1"/>
  <c r="N16" i="86" s="1"/>
  <c r="Q15" i="86" a="1"/>
  <c r="Q15" i="86" s="1"/>
  <c r="T14" i="86" a="1"/>
  <c r="T14" i="86" s="1"/>
  <c r="W13" i="86"/>
  <c r="G13" i="86"/>
  <c r="M12" i="86" a="1"/>
  <c r="M12" i="86" s="1"/>
  <c r="M16" i="86" a="1"/>
  <c r="M16" i="86" s="1"/>
  <c r="P15" i="86" a="1"/>
  <c r="P15" i="86" s="1"/>
  <c r="S14" i="86" a="1"/>
  <c r="S14" i="86" s="1"/>
  <c r="F13" i="86"/>
  <c r="L12" i="86" a="1"/>
  <c r="L12" i="86" s="1"/>
  <c r="U221" i="112" s="1" a="1"/>
  <c r="L16" i="86" a="1"/>
  <c r="L16" i="86" s="1"/>
  <c r="O15" i="86" a="1"/>
  <c r="O15" i="86" s="1"/>
  <c r="R14" i="86" a="1"/>
  <c r="R14" i="86" s="1"/>
  <c r="U13" i="86" a="1"/>
  <c r="U13" i="86" s="1"/>
  <c r="X12" i="86"/>
  <c r="K12" i="86" a="1"/>
  <c r="K12" i="86" s="1"/>
  <c r="K16" i="86" a="1"/>
  <c r="K16" i="86" s="1"/>
  <c r="N15" i="86" a="1"/>
  <c r="N15" i="86" s="1"/>
  <c r="Q14" i="86" a="1"/>
  <c r="Q14" i="86" s="1"/>
  <c r="T13" i="86" a="1"/>
  <c r="T13" i="86" s="1"/>
  <c r="W12" i="86"/>
  <c r="J12" i="86" a="1"/>
  <c r="J12" i="86" s="1"/>
  <c r="X16" i="86"/>
  <c r="J16" i="86" a="1"/>
  <c r="J16" i="86" s="1"/>
  <c r="M15" i="86" a="1"/>
  <c r="M15" i="86" s="1"/>
  <c r="P14" i="86" a="1"/>
  <c r="P14" i="86" s="1"/>
  <c r="S13" i="86" a="1"/>
  <c r="S13" i="86" s="1"/>
  <c r="G12" i="86"/>
  <c r="W16" i="86"/>
  <c r="G16" i="86"/>
  <c r="L15" i="86" a="1"/>
  <c r="L15" i="86" s="1"/>
  <c r="O14" i="86" a="1"/>
  <c r="O14" i="86" s="1"/>
  <c r="R13" i="86" a="1"/>
  <c r="R13" i="86" s="1"/>
  <c r="U12" i="86" a="1"/>
  <c r="U12" i="86" s="1"/>
  <c r="F12" i="86"/>
  <c r="F16" i="86"/>
  <c r="K15" i="86" a="1"/>
  <c r="K15" i="86" s="1"/>
  <c r="N14" i="86" a="1"/>
  <c r="N14" i="86" s="1"/>
  <c r="Q13" i="86" a="1"/>
  <c r="Q13" i="86" s="1"/>
  <c r="U16" i="86" a="1"/>
  <c r="U16" i="86" s="1"/>
  <c r="X15" i="86"/>
  <c r="J15" i="86" a="1"/>
  <c r="J15" i="86" s="1"/>
  <c r="M14" i="86" a="1"/>
  <c r="M14" i="86" s="1"/>
  <c r="P13" i="86" a="1"/>
  <c r="P13" i="86" s="1"/>
  <c r="T12" i="86" a="1"/>
  <c r="T12" i="86" s="1"/>
  <c r="T16" i="86" a="1"/>
  <c r="T16" i="86" s="1"/>
  <c r="W15" i="86"/>
  <c r="G15" i="86"/>
  <c r="L14" i="86" a="1"/>
  <c r="L14" i="86" s="1"/>
  <c r="O13" i="86" a="1"/>
  <c r="O13" i="86" s="1"/>
  <c r="S12" i="86" a="1"/>
  <c r="S12" i="86" s="1"/>
  <c r="S16" i="86" a="1"/>
  <c r="S16" i="86" s="1"/>
  <c r="F15" i="86"/>
  <c r="K14" i="86" a="1"/>
  <c r="K14" i="86" s="1"/>
  <c r="N13" i="86" a="1"/>
  <c r="N13" i="86" s="1"/>
  <c r="R12" i="86" a="1"/>
  <c r="R12" i="86" s="1"/>
  <c r="AG221" i="112" s="1" a="1"/>
  <c r="R16" i="86" a="1"/>
  <c r="R16" i="86" s="1"/>
  <c r="U15" i="86" a="1"/>
  <c r="U15" i="86" s="1"/>
  <c r="X14" i="86"/>
  <c r="J14" i="86" a="1"/>
  <c r="J14" i="86" s="1"/>
  <c r="M13" i="86" a="1"/>
  <c r="M13" i="86" s="1"/>
  <c r="Q12" i="86" a="1"/>
  <c r="Q12" i="86" s="1"/>
  <c r="Q16" i="86" a="1"/>
  <c r="Q16" i="86" s="1"/>
  <c r="T15" i="86" a="1"/>
  <c r="T15" i="86" s="1"/>
  <c r="W14" i="86"/>
  <c r="G14" i="86"/>
  <c r="V14" i="86" s="1"/>
  <c r="L13" i="86" a="1"/>
  <c r="L13" i="86" s="1"/>
  <c r="P12" i="86" a="1"/>
  <c r="P12" i="86" s="1"/>
  <c r="P16" i="86" a="1"/>
  <c r="P16" i="86" s="1"/>
  <c r="S15" i="86" a="1"/>
  <c r="S15" i="86" s="1"/>
  <c r="F14" i="86"/>
  <c r="K13" i="86" a="1"/>
  <c r="K13" i="86" s="1"/>
  <c r="O12" i="86" a="1"/>
  <c r="O12" i="86" s="1"/>
  <c r="J14" i="79" a="1"/>
  <c r="J14" i="79" s="1"/>
  <c r="F163" i="83" a="1"/>
  <c r="F163" i="83" s="1"/>
  <c r="H162" i="83" a="1"/>
  <c r="H162" i="83" s="1"/>
  <c r="I81" i="83" a="1"/>
  <c r="I81" i="83" s="1"/>
  <c r="F162" i="83" a="1"/>
  <c r="F162" i="83" s="1"/>
  <c r="I80" i="83" a="1"/>
  <c r="I80" i="83" s="1"/>
  <c r="L161" i="83" a="1"/>
  <c r="L161" i="83" s="1"/>
  <c r="H161" i="83" a="1"/>
  <c r="H161" i="83" s="1"/>
  <c r="U92" i="83"/>
  <c r="V104" i="83" s="1" a="1"/>
  <c r="V104" i="83" s="1"/>
  <c r="W104" i="83" s="1" a="1"/>
  <c r="W104" i="83" s="1"/>
  <c r="W22" i="82"/>
  <c r="E75" i="92"/>
  <c r="E112" i="91"/>
  <c r="F112" i="91" s="1" a="1"/>
  <c r="F112" i="91" s="1"/>
  <c r="E144" i="91" s="1"/>
  <c r="J40" i="99"/>
  <c r="I40" i="99"/>
  <c r="H40" i="99"/>
  <c r="G40" i="99"/>
  <c r="M26" i="99" a="1"/>
  <c r="M26" i="99" s="1"/>
  <c r="M29" i="98" a="1"/>
  <c r="M29" i="98" s="1"/>
  <c r="J173" i="102" a="1"/>
  <c r="J173" i="102" s="1"/>
  <c r="D21" i="102" a="1"/>
  <c r="D157" i="102" a="1"/>
  <c r="D157" i="102" s="1"/>
  <c r="J179" i="102" a="1"/>
  <c r="J179" i="102" s="1"/>
  <c r="J178" i="102" a="1"/>
  <c r="J178" i="102" s="1"/>
  <c r="J168" i="102" a="1"/>
  <c r="J168" i="102" s="1"/>
  <c r="J167" i="102" a="1"/>
  <c r="J167" i="102" s="1"/>
  <c r="J160" i="102" a="1"/>
  <c r="J160" i="102" s="1"/>
  <c r="D59" i="102" a="1"/>
  <c r="J176" i="102" a="1"/>
  <c r="J176" i="102" s="1"/>
  <c r="J175" i="102" a="1"/>
  <c r="J175" i="102" s="1"/>
  <c r="J185" i="102" a="1"/>
  <c r="J185" i="102" s="1"/>
  <c r="J165" i="102" a="1"/>
  <c r="J165" i="102" s="1"/>
  <c r="J174" i="102" a="1"/>
  <c r="J174" i="102" s="1"/>
  <c r="J164" i="102" a="1"/>
  <c r="J164" i="102" s="1"/>
  <c r="J157" i="102" a="1"/>
  <c r="J157" i="102" s="1"/>
  <c r="D116" i="102" a="1"/>
  <c r="D116" i="102" s="1"/>
  <c r="D56" i="109"/>
  <c r="D136" i="112" s="1"/>
  <c r="F136" i="112" s="1" a="1"/>
  <c r="F136" i="112" s="1"/>
  <c r="D139" i="112"/>
  <c r="F139" i="112" s="1" a="1"/>
  <c r="F139" i="112" s="1"/>
  <c r="D138" i="112"/>
  <c r="F138" i="112" s="1" a="1"/>
  <c r="F138" i="112" s="1"/>
  <c r="D137" i="112"/>
  <c r="F137" i="112" s="1" a="1"/>
  <c r="F137" i="112" s="1"/>
  <c r="E111" i="91"/>
  <c r="F111" i="91" s="1" a="1"/>
  <c r="F111" i="91" s="1"/>
  <c r="E143" i="91" s="1"/>
  <c r="E74" i="92"/>
  <c r="I176" i="114"/>
  <c r="H196" i="114"/>
  <c r="V92" i="83"/>
  <c r="X22" i="82"/>
  <c r="I37" i="98" a="1"/>
  <c r="I37" i="98" s="1"/>
  <c r="I34" i="98" a="1"/>
  <c r="I34" i="98" s="1"/>
  <c r="K31" i="98" a="1"/>
  <c r="K31" i="98" s="1"/>
  <c r="J28" i="98" a="1"/>
  <c r="J28" i="98" s="1"/>
  <c r="I25" i="98" a="1"/>
  <c r="I25" i="98" s="1"/>
  <c r="J31" i="98" a="1"/>
  <c r="J31" i="98" s="1"/>
  <c r="I28" i="98" a="1"/>
  <c r="I28" i="98" s="1"/>
  <c r="H25" i="98" a="1"/>
  <c r="H25" i="98" s="1"/>
  <c r="H34" i="98" a="1"/>
  <c r="H34" i="98" s="1"/>
  <c r="I31" i="98" a="1"/>
  <c r="I31" i="98" s="1"/>
  <c r="H28" i="98" a="1"/>
  <c r="H28" i="98" s="1"/>
  <c r="G25" i="98" a="1"/>
  <c r="G25" i="98" s="1"/>
  <c r="K38" i="98" a="1"/>
  <c r="K38" i="98" s="1"/>
  <c r="K35" i="98" a="1"/>
  <c r="K35" i="98" s="1"/>
  <c r="G34" i="98" a="1"/>
  <c r="G34" i="98" s="1"/>
  <c r="H31" i="98" a="1"/>
  <c r="H31" i="98" s="1"/>
  <c r="G28" i="98" a="1"/>
  <c r="G28" i="98" s="1"/>
  <c r="E37" i="98"/>
  <c r="J35" i="98" a="1"/>
  <c r="J35" i="98" s="1"/>
  <c r="G31" i="98" a="1"/>
  <c r="G31" i="98" s="1"/>
  <c r="K29" i="98" a="1"/>
  <c r="K29" i="98" s="1"/>
  <c r="E25" i="98"/>
  <c r="I35" i="98" a="1"/>
  <c r="I35" i="98" s="1"/>
  <c r="K32" i="98" a="1"/>
  <c r="K32" i="98" s="1"/>
  <c r="J29" i="98" a="1"/>
  <c r="J29" i="98" s="1"/>
  <c r="H35" i="98" a="1"/>
  <c r="H35" i="98" s="1"/>
  <c r="J32" i="98" a="1"/>
  <c r="J32" i="98" s="1"/>
  <c r="I29" i="98" a="1"/>
  <c r="I29" i="98" s="1"/>
  <c r="G35" i="98" a="1"/>
  <c r="G35" i="98" s="1"/>
  <c r="I32" i="98" a="1"/>
  <c r="I32" i="98" s="1"/>
  <c r="H29" i="98" a="1"/>
  <c r="H29" i="98" s="1"/>
  <c r="K39" i="98" a="1"/>
  <c r="K39" i="98" s="1"/>
  <c r="K36" i="98" a="1"/>
  <c r="K36" i="98" s="1"/>
  <c r="H32" i="98" a="1"/>
  <c r="H32" i="98" s="1"/>
  <c r="G29" i="98" a="1"/>
  <c r="G29" i="98" s="1"/>
  <c r="K27" i="98" a="1"/>
  <c r="K27" i="98" s="1"/>
  <c r="J39" i="98" a="1"/>
  <c r="J39" i="98" s="1"/>
  <c r="J36" i="98" a="1"/>
  <c r="J36" i="98" s="1"/>
  <c r="K33" i="98" a="1"/>
  <c r="K33" i="98" s="1"/>
  <c r="G32" i="98" a="1"/>
  <c r="G32" i="98" s="1"/>
  <c r="K30" i="98" a="1"/>
  <c r="K30" i="98" s="1"/>
  <c r="J27" i="98" a="1"/>
  <c r="J27" i="98" s="1"/>
  <c r="I39" i="98" a="1"/>
  <c r="I39" i="98" s="1"/>
  <c r="I36" i="98" a="1"/>
  <c r="I36" i="98" s="1"/>
  <c r="J33" i="98" a="1"/>
  <c r="J33" i="98" s="1"/>
  <c r="J30" i="98" a="1"/>
  <c r="J30" i="98" s="1"/>
  <c r="I27" i="98" a="1"/>
  <c r="I27" i="98" s="1"/>
  <c r="H39" i="98" a="1"/>
  <c r="H39" i="98" s="1"/>
  <c r="H36" i="98" a="1"/>
  <c r="H36" i="98" s="1"/>
  <c r="I33" i="98" a="1"/>
  <c r="I33" i="98" s="1"/>
  <c r="I30" i="98" a="1"/>
  <c r="I30" i="98" s="1"/>
  <c r="H27" i="98" a="1"/>
  <c r="H27" i="98" s="1"/>
  <c r="G39" i="98" a="1"/>
  <c r="G39" i="98" s="1"/>
  <c r="K37" i="98" a="1"/>
  <c r="K37" i="98" s="1"/>
  <c r="G36" i="98" a="1"/>
  <c r="G36" i="98" s="1"/>
  <c r="K34" i="98" a="1"/>
  <c r="K34" i="98" s="1"/>
  <c r="H33" i="98" a="1"/>
  <c r="H33" i="98" s="1"/>
  <c r="H30" i="98" a="1"/>
  <c r="H30" i="98" s="1"/>
  <c r="G27" i="98" a="1"/>
  <c r="G27" i="98" s="1"/>
  <c r="K25" i="98" a="1"/>
  <c r="K25" i="98" s="1"/>
  <c r="J37" i="98" a="1"/>
  <c r="J37" i="98" s="1"/>
  <c r="J34" i="98" a="1"/>
  <c r="J34" i="98" s="1"/>
  <c r="G33" i="98" a="1"/>
  <c r="G33" i="98" s="1"/>
  <c r="P33" i="98" s="1" a="1"/>
  <c r="P33" i="98" s="1"/>
  <c r="E51" i="98" s="1"/>
  <c r="G30" i="98" a="1"/>
  <c r="G30" i="98" s="1"/>
  <c r="K28" i="98" a="1"/>
  <c r="K28" i="98" s="1"/>
  <c r="J25" i="98" a="1"/>
  <c r="J25" i="98" s="1"/>
  <c r="M33" i="99" a="1"/>
  <c r="M33" i="99" s="1"/>
  <c r="M30" i="99" a="1"/>
  <c r="M30" i="99" s="1"/>
  <c r="I17" i="103"/>
  <c r="E21" i="102" a="1"/>
  <c r="E157" i="102" a="1"/>
  <c r="E157" i="102" s="1"/>
  <c r="E59" i="102" a="1"/>
  <c r="E116" i="102" a="1"/>
  <c r="J137" i="102" s="1" a="1"/>
  <c r="J137" i="102" s="1"/>
  <c r="L11" i="109"/>
  <c r="E68" i="92"/>
  <c r="E105" i="91"/>
  <c r="F105" i="91" s="1" a="1"/>
  <c r="F105" i="91" s="1"/>
  <c r="E137" i="91" s="1"/>
  <c r="E70" i="92"/>
  <c r="E107" i="91"/>
  <c r="M123" i="81"/>
  <c r="V110" i="83" a="1"/>
  <c r="V110" i="83" s="1"/>
  <c r="E109" i="91"/>
  <c r="F109" i="91" s="1" a="1"/>
  <c r="F109" i="91" s="1"/>
  <c r="E141" i="91" s="1"/>
  <c r="E72" i="92"/>
  <c r="G177" i="114"/>
  <c r="G176" i="114"/>
  <c r="S241" i="112" s="1" a="1"/>
  <c r="S241" i="112" s="1"/>
  <c r="G175" i="114"/>
  <c r="G174" i="114"/>
  <c r="E110" i="91"/>
  <c r="F110" i="91" s="1" a="1"/>
  <c r="F110" i="91" s="1"/>
  <c r="E142" i="91" s="1"/>
  <c r="E73" i="92"/>
  <c r="I97" i="91"/>
  <c r="I33" i="113"/>
  <c r="D126" i="78"/>
  <c r="V22" i="79"/>
  <c r="W92" i="83"/>
  <c r="Y22" i="82"/>
  <c r="I175" i="114"/>
  <c r="H195" i="114"/>
  <c r="M35" i="98" a="1"/>
  <c r="M35" i="98" s="1"/>
  <c r="L35" i="98" a="1"/>
  <c r="L35" i="98" s="1"/>
  <c r="M37" i="99" a="1"/>
  <c r="M37" i="99" s="1"/>
  <c r="E19" i="104"/>
  <c r="O11" i="109"/>
  <c r="F367" i="112" a="1"/>
  <c r="G456" i="112" a="1"/>
  <c r="G456" i="112" s="1"/>
  <c r="G455" i="112" a="1"/>
  <c r="G455" i="112" s="1"/>
  <c r="G454" i="112" a="1"/>
  <c r="G454" i="112" s="1"/>
  <c r="G453" i="112" a="1"/>
  <c r="G453" i="112" s="1"/>
  <c r="H453" i="112" s="1" a="1"/>
  <c r="H453" i="112" s="1"/>
  <c r="G451" i="112" a="1"/>
  <c r="G451" i="112" s="1"/>
  <c r="G449" i="112" a="1"/>
  <c r="G449" i="112" s="1"/>
  <c r="G448" i="112" a="1"/>
  <c r="G448" i="112" s="1"/>
  <c r="M26" i="98" a="1"/>
  <c r="M26" i="98" s="1"/>
  <c r="M30" i="98" a="1"/>
  <c r="M30" i="98" s="1"/>
  <c r="I15" i="95" a="1"/>
  <c r="I15" i="95" s="1"/>
  <c r="M38" i="98" a="1"/>
  <c r="M38" i="98" s="1"/>
  <c r="M31" i="99" a="1"/>
  <c r="M31" i="99" s="1"/>
  <c r="I19" i="97"/>
  <c r="G368" i="112" a="1"/>
  <c r="G368" i="112" s="1"/>
  <c r="G369" i="112" a="1"/>
  <c r="G369" i="112" s="1"/>
  <c r="G430" i="112" a="1"/>
  <c r="G430" i="112" s="1"/>
  <c r="E300" i="112" a="1"/>
  <c r="E300" i="112" s="1"/>
  <c r="G370" i="112" a="1"/>
  <c r="G370" i="112" s="1"/>
  <c r="G431" i="112" a="1"/>
  <c r="G431" i="112" s="1"/>
  <c r="H431" i="112" s="1" a="1"/>
  <c r="H431" i="112" s="1"/>
  <c r="G450" i="112" a="1"/>
  <c r="G450" i="112" s="1"/>
  <c r="E301" i="112" a="1"/>
  <c r="E301" i="112" s="1"/>
  <c r="G371" i="112" a="1"/>
  <c r="G371" i="112" s="1"/>
  <c r="G432" i="112" a="1"/>
  <c r="G432" i="112" s="1"/>
  <c r="G372" i="112" a="1"/>
  <c r="G372" i="112" s="1"/>
  <c r="G433" i="112" a="1"/>
  <c r="G433" i="112" s="1"/>
  <c r="G452" i="112" a="1"/>
  <c r="G452" i="112" s="1"/>
  <c r="G373" i="112" a="1"/>
  <c r="G373" i="112" s="1"/>
  <c r="G434" i="112" a="1"/>
  <c r="G434" i="112" s="1"/>
  <c r="G374" i="112" a="1"/>
  <c r="G374" i="112" s="1"/>
  <c r="G435" i="112" a="1"/>
  <c r="G435" i="112" s="1"/>
  <c r="G436" i="112" a="1"/>
  <c r="G436" i="112" s="1"/>
  <c r="G376" i="112" a="1"/>
  <c r="G376" i="112" s="1"/>
  <c r="G437" i="112" a="1"/>
  <c r="G437" i="112" s="1"/>
  <c r="G438" i="112" a="1"/>
  <c r="G438" i="112" s="1"/>
  <c r="G457" i="112" a="1"/>
  <c r="G457" i="112" s="1"/>
  <c r="K40" i="99" a="1"/>
  <c r="K40" i="99" s="1"/>
  <c r="L162" i="83" a="1"/>
  <c r="L162" i="83" s="1"/>
  <c r="H163" i="83" a="1"/>
  <c r="H163" i="83" s="1"/>
  <c r="L163" i="83" a="1"/>
  <c r="L163" i="83" s="1"/>
  <c r="F164" i="83" a="1"/>
  <c r="F164" i="83" s="1"/>
  <c r="H164" i="83" a="1"/>
  <c r="H164" i="83" s="1"/>
  <c r="L164" i="83" a="1"/>
  <c r="L164" i="83" s="1"/>
  <c r="J14" i="82" a="1"/>
  <c r="J14" i="82" s="1"/>
  <c r="G31" i="82" s="1"/>
  <c r="J17" i="105" a="1"/>
  <c r="J17" i="105" s="1"/>
  <c r="J18" i="105" a="1"/>
  <c r="J18" i="105" s="1"/>
  <c r="K39" i="99" a="1"/>
  <c r="K39" i="99" s="1"/>
  <c r="G466" i="112" a="1"/>
  <c r="G466" i="112" s="1"/>
  <c r="G137" i="112" a="1"/>
  <c r="G137" i="112" s="1"/>
  <c r="S244" i="112" a="1"/>
  <c r="S244" i="112" s="1"/>
  <c r="I278" i="112" a="1"/>
  <c r="I278" i="112" s="1"/>
  <c r="M23" i="112" a="1"/>
  <c r="M23" i="112" s="1"/>
  <c r="H32" i="82"/>
  <c r="G479" i="112" a="1"/>
  <c r="G479" i="112" s="1"/>
  <c r="G88" i="112" a="1"/>
  <c r="G88" i="112" s="1"/>
  <c r="J80" i="112" a="1"/>
  <c r="J80" i="112" s="1"/>
  <c r="G162" i="112" a="1"/>
  <c r="G162" i="112" s="1"/>
  <c r="G481" i="112" a="1"/>
  <c r="G481" i="112" s="1"/>
  <c r="J376" i="112" a="1"/>
  <c r="J376" i="112" s="1"/>
  <c r="F19" i="113"/>
  <c r="P19" i="113"/>
  <c r="G136" i="112" a="1"/>
  <c r="G136" i="112" s="1"/>
  <c r="F74" i="113"/>
  <c r="G468" i="112" a="1"/>
  <c r="G468" i="112" s="1"/>
  <c r="E42" i="113"/>
  <c r="O79" i="113"/>
  <c r="O61" i="113"/>
  <c r="O42" i="113"/>
  <c r="E7" i="113"/>
  <c r="E26" i="113"/>
  <c r="O7" i="113"/>
  <c r="O26" i="113"/>
  <c r="E79" i="113"/>
  <c r="E61" i="113"/>
  <c r="M31" i="112" a="1"/>
  <c r="M31" i="112" s="1"/>
  <c r="P90" i="113"/>
  <c r="F90" i="113"/>
  <c r="J70" i="112" a="1"/>
  <c r="J70" i="112" s="1"/>
  <c r="J69" i="112" a="1"/>
  <c r="J69" i="112" s="1"/>
  <c r="G66" i="112" a="1"/>
  <c r="G66" i="112" s="1"/>
  <c r="J63" i="112" a="1"/>
  <c r="J63" i="112" s="1"/>
  <c r="P55" i="113"/>
  <c r="F55" i="113"/>
  <c r="G69" i="112" a="1"/>
  <c r="G69" i="112" s="1"/>
  <c r="J82" i="112" a="1"/>
  <c r="J82" i="112" s="1"/>
  <c r="I139" i="112" a="1"/>
  <c r="I139" i="112" s="1"/>
  <c r="G470" i="112" a="1"/>
  <c r="G470" i="112" s="1"/>
  <c r="I467" i="112" a="1"/>
  <c r="I467" i="112" s="1"/>
  <c r="J49" i="112" a="1"/>
  <c r="J49" i="112" s="1"/>
  <c r="G164" i="112" a="1"/>
  <c r="G164" i="112" s="1"/>
  <c r="E323" i="112"/>
  <c r="E203" i="112"/>
  <c r="E355" i="112"/>
  <c r="E188" i="112"/>
  <c r="E151" i="112"/>
  <c r="E174" i="112"/>
  <c r="E290" i="112"/>
  <c r="E100" i="112"/>
  <c r="E7" i="112"/>
  <c r="E508" i="112"/>
  <c r="E385" i="112"/>
  <c r="E523" i="112"/>
  <c r="E540" i="112"/>
  <c r="E258" i="112"/>
  <c r="E418" i="112"/>
  <c r="E561" i="112"/>
  <c r="E594" i="112"/>
  <c r="F93" i="112"/>
  <c r="F73" i="112"/>
  <c r="F54" i="112"/>
  <c r="F53" i="112"/>
  <c r="F72" i="112"/>
  <c r="F35" i="112"/>
  <c r="F94" i="112"/>
  <c r="F34" i="112"/>
  <c r="F91" i="112"/>
  <c r="F90" i="112"/>
  <c r="M26" i="112" a="1"/>
  <c r="M26" i="112" s="1"/>
  <c r="F642" i="112"/>
  <c r="F639" i="112"/>
  <c r="F621" i="112"/>
  <c r="F638" i="112"/>
  <c r="F145" i="112"/>
  <c r="F641" i="112"/>
  <c r="F142" i="112"/>
  <c r="F144" i="112"/>
  <c r="F130" i="112"/>
  <c r="F141" i="112"/>
  <c r="F620" i="112"/>
  <c r="F131" i="112"/>
  <c r="F252" i="112"/>
  <c r="F484" i="112"/>
  <c r="F473" i="112"/>
  <c r="F533" i="112"/>
  <c r="F501" i="112"/>
  <c r="F378" i="112"/>
  <c r="F348" i="112"/>
  <c r="F555" i="112"/>
  <c r="F483" i="112"/>
  <c r="F472" i="112"/>
  <c r="F460" i="112"/>
  <c r="F442" i="112"/>
  <c r="F411" i="112"/>
  <c r="F316" i="112"/>
  <c r="F459" i="112"/>
  <c r="F167" i="112"/>
  <c r="F284" i="112"/>
  <c r="F441" i="112"/>
  <c r="F283" i="112"/>
  <c r="F251" i="112"/>
  <c r="F347" i="112"/>
  <c r="F317" i="112"/>
  <c r="F518" i="112"/>
  <c r="F502" i="112"/>
  <c r="F410" i="112"/>
  <c r="F249" i="112"/>
  <c r="F166" i="112"/>
  <c r="F379" i="112"/>
  <c r="F248" i="112"/>
  <c r="G138" i="112" a="1"/>
  <c r="G138" i="112" s="1"/>
  <c r="I138" i="112" a="1"/>
  <c r="I138" i="112" s="1"/>
  <c r="E411" i="112"/>
  <c r="G50" i="112" a="1"/>
  <c r="G50" i="112" s="1"/>
  <c r="J46" i="112" a="1"/>
  <c r="J46" i="112" s="1"/>
  <c r="G43" i="112" a="1"/>
  <c r="G43" i="112" s="1"/>
  <c r="H450" i="112" a="1"/>
  <c r="H450" i="112" s="1"/>
  <c r="H451" i="112" a="1"/>
  <c r="H451" i="112" s="1"/>
  <c r="H449" i="112" a="1"/>
  <c r="H449" i="112" s="1"/>
  <c r="J43" i="112" a="1"/>
  <c r="J43" i="112" s="1"/>
  <c r="G47" i="112" a="1"/>
  <c r="G47" i="112" s="1"/>
  <c r="J50" i="112" a="1"/>
  <c r="J50" i="112" s="1"/>
  <c r="G63" i="112" a="1"/>
  <c r="G63" i="112" s="1"/>
  <c r="J66" i="112" a="1"/>
  <c r="J66" i="112" s="1"/>
  <c r="G70" i="112" a="1"/>
  <c r="G70" i="112" s="1"/>
  <c r="G274" i="112" a="1"/>
  <c r="G274" i="112" s="1"/>
  <c r="H432" i="112" a="1"/>
  <c r="H432" i="112" s="1"/>
  <c r="H434" i="112" a="1"/>
  <c r="H434" i="112" s="1"/>
  <c r="H433" i="112" a="1"/>
  <c r="H433" i="112" s="1"/>
  <c r="J615" i="112" a="1"/>
  <c r="J615" i="112" s="1"/>
  <c r="J613" i="112" a="1"/>
  <c r="J613" i="112" s="1"/>
  <c r="J616" i="112" a="1"/>
  <c r="J616" i="112" s="1"/>
  <c r="J612" i="112" a="1"/>
  <c r="J612" i="112" s="1"/>
  <c r="J611" i="112" a="1"/>
  <c r="J611" i="112" s="1"/>
  <c r="J610" i="112" a="1"/>
  <c r="J610" i="112" s="1"/>
  <c r="G44" i="112" a="1"/>
  <c r="G44" i="112" s="1"/>
  <c r="J47" i="112" a="1"/>
  <c r="J47" i="112" s="1"/>
  <c r="G51" i="112" a="1"/>
  <c r="G51" i="112" s="1"/>
  <c r="G67" i="112" a="1"/>
  <c r="G67" i="112" s="1"/>
  <c r="G278" i="112" a="1"/>
  <c r="G278" i="112" s="1"/>
  <c r="J609" i="112" a="1"/>
  <c r="J609" i="112" s="1"/>
  <c r="I163" i="112" a="1"/>
  <c r="I163" i="112" s="1"/>
  <c r="E167" i="112" s="1"/>
  <c r="G163" i="112" a="1"/>
  <c r="G163" i="112" s="1"/>
  <c r="J44" i="112" a="1"/>
  <c r="J44" i="112" s="1"/>
  <c r="G48" i="112" a="1"/>
  <c r="G48" i="112" s="1"/>
  <c r="J51" i="112" a="1"/>
  <c r="J51" i="112" s="1"/>
  <c r="G61" i="112" a="1"/>
  <c r="G61" i="112" s="1"/>
  <c r="G64" i="112" a="1"/>
  <c r="G64" i="112" s="1"/>
  <c r="J67" i="112" a="1"/>
  <c r="J67" i="112" s="1"/>
  <c r="J79" i="112" a="1"/>
  <c r="J79" i="112" s="1"/>
  <c r="G83" i="112" a="1"/>
  <c r="G83" i="112" s="1"/>
  <c r="G87" i="112" a="1"/>
  <c r="G87" i="112" s="1"/>
  <c r="G467" i="112" a="1"/>
  <c r="G467" i="112" s="1"/>
  <c r="F573" i="112"/>
  <c r="M29" i="112" a="1"/>
  <c r="M29" i="112" s="1"/>
  <c r="G271" i="112" a="1"/>
  <c r="G271" i="112" s="1"/>
  <c r="I276" i="112" a="1"/>
  <c r="I276" i="112" s="1"/>
  <c r="G45" i="112" a="1"/>
  <c r="G45" i="112" s="1"/>
  <c r="J48" i="112" a="1"/>
  <c r="J48" i="112" s="1"/>
  <c r="J64" i="112" a="1"/>
  <c r="J64" i="112" s="1"/>
  <c r="G68" i="112" a="1"/>
  <c r="G68" i="112" s="1"/>
  <c r="G80" i="112" a="1"/>
  <c r="G80" i="112" s="1"/>
  <c r="G139" i="112" a="1"/>
  <c r="G139" i="112" s="1"/>
  <c r="J369" i="112" a="1"/>
  <c r="J369" i="112" s="1"/>
  <c r="J614" i="112" a="1"/>
  <c r="J614" i="112" s="1"/>
  <c r="M25" i="112" a="1"/>
  <c r="M25" i="112" s="1"/>
  <c r="M27" i="112" a="1"/>
  <c r="M27" i="112" s="1"/>
  <c r="M32" i="112" a="1"/>
  <c r="M32" i="112" s="1"/>
  <c r="J45" i="112" a="1"/>
  <c r="J45" i="112" s="1"/>
  <c r="G49" i="112" a="1"/>
  <c r="G49" i="112" s="1"/>
  <c r="G65" i="112" a="1"/>
  <c r="G65" i="112" s="1"/>
  <c r="J68" i="112" a="1"/>
  <c r="J68" i="112" s="1"/>
  <c r="H376" i="112" a="1"/>
  <c r="H376" i="112" s="1"/>
  <c r="J617" i="112" a="1"/>
  <c r="J617" i="112" s="1"/>
  <c r="M28" i="112" a="1"/>
  <c r="M28" i="112" s="1"/>
  <c r="G46" i="112" a="1"/>
  <c r="G46" i="112" s="1"/>
  <c r="G62" i="112" a="1"/>
  <c r="G62" i="112" s="1"/>
  <c r="J65" i="112" a="1"/>
  <c r="J65" i="112" s="1"/>
  <c r="J88" i="112" a="1"/>
  <c r="J88" i="112" s="1"/>
  <c r="J370" i="112" a="1"/>
  <c r="J370" i="112" s="1"/>
  <c r="J618" i="112" a="1"/>
  <c r="J618" i="112" s="1"/>
  <c r="M30" i="112" a="1"/>
  <c r="M30" i="112" s="1"/>
  <c r="I281" i="112" a="1"/>
  <c r="I281" i="112" s="1"/>
  <c r="L338" i="112"/>
  <c r="L341" i="112"/>
  <c r="L343" i="112"/>
  <c r="L340" i="112"/>
  <c r="L345" i="112"/>
  <c r="L339" i="112"/>
  <c r="L344" i="112"/>
  <c r="L337" i="112"/>
  <c r="J372" i="112" a="1"/>
  <c r="J372" i="112" s="1"/>
  <c r="H370" i="112" a="1"/>
  <c r="H370" i="112" s="1"/>
  <c r="J374" i="112" a="1"/>
  <c r="J374" i="112" s="1"/>
  <c r="H372" i="112" a="1"/>
  <c r="H372" i="112" s="1"/>
  <c r="J375" i="112" a="1"/>
  <c r="J375" i="112" s="1"/>
  <c r="H373" i="112" a="1"/>
  <c r="H373" i="112" s="1"/>
  <c r="J368" i="112" a="1"/>
  <c r="J368" i="112" s="1"/>
  <c r="H369" i="112" a="1"/>
  <c r="H369" i="112" s="1"/>
  <c r="H375" i="112" a="1"/>
  <c r="H375" i="112" s="1"/>
  <c r="J371" i="112" a="1"/>
  <c r="J371" i="112" s="1"/>
  <c r="H368" i="112" a="1"/>
  <c r="H368" i="112" s="1"/>
  <c r="H374" i="112" a="1"/>
  <c r="H374" i="112" s="1"/>
  <c r="H435" i="112" a="1"/>
  <c r="H435" i="112" s="1"/>
  <c r="H452" i="112" a="1"/>
  <c r="H452" i="112" s="1"/>
  <c r="G469" i="112" a="1"/>
  <c r="G469" i="112" s="1"/>
  <c r="I469" i="112" a="1"/>
  <c r="I469" i="112" s="1"/>
  <c r="K406" i="112"/>
  <c r="K405" i="112"/>
  <c r="K400" i="112"/>
  <c r="K338" i="112" a="1"/>
  <c r="K338" i="112" s="1"/>
  <c r="K399" i="112"/>
  <c r="F296" i="112"/>
  <c r="K404" i="112"/>
  <c r="J627" i="112" a="1"/>
  <c r="J627" i="112" s="1"/>
  <c r="J631" i="112" a="1"/>
  <c r="J631" i="112" s="1"/>
  <c r="J630" i="112" a="1"/>
  <c r="J630" i="112" s="1"/>
  <c r="J633" i="112" a="1"/>
  <c r="J633" i="112" s="1"/>
  <c r="J635" i="112" a="1"/>
  <c r="J635" i="112" s="1"/>
  <c r="G272" i="112" a="1"/>
  <c r="G272" i="112" s="1"/>
  <c r="I275" i="112" a="1"/>
  <c r="I275" i="112" s="1"/>
  <c r="G277" i="112" a="1"/>
  <c r="G277" i="112" s="1"/>
  <c r="J636" i="112" a="1"/>
  <c r="J636" i="112" s="1"/>
  <c r="G480" i="112" a="1"/>
  <c r="G480" i="112" s="1"/>
  <c r="K342" i="112" a="1"/>
  <c r="K342" i="112" s="1"/>
  <c r="K337" i="112" a="1"/>
  <c r="K337" i="112" s="1"/>
  <c r="K339" i="112" a="1"/>
  <c r="K339" i="112" s="1"/>
  <c r="I480" i="112" a="1"/>
  <c r="I480" i="112" s="1"/>
  <c r="E484" i="112" s="1"/>
  <c r="J628" i="112" a="1"/>
  <c r="J628" i="112" s="1"/>
  <c r="J430" i="112" a="1"/>
  <c r="J430" i="112" s="1"/>
  <c r="J448" i="112" a="1"/>
  <c r="J448" i="112" s="1"/>
  <c r="K490" i="112" a="1"/>
  <c r="K490" i="112" s="1"/>
  <c r="K493" i="112" a="1"/>
  <c r="K493" i="112" s="1"/>
  <c r="L17" i="109"/>
  <c r="R12" i="109"/>
  <c r="E280" i="112" s="1"/>
  <c r="I280" i="112" s="1" a="1"/>
  <c r="I280" i="112" s="1"/>
  <c r="O15" i="109"/>
  <c r="L18" i="109"/>
  <c r="R15" i="109"/>
  <c r="O18" i="109"/>
  <c r="R17" i="109"/>
  <c r="O12" i="109"/>
  <c r="L13" i="109"/>
  <c r="E278" i="112" s="1"/>
  <c r="L20" i="109"/>
  <c r="O13" i="109"/>
  <c r="E276" i="112" s="1"/>
  <c r="L16" i="109"/>
  <c r="O16" i="109"/>
  <c r="L19" i="109"/>
  <c r="O19" i="109"/>
  <c r="O20" i="109"/>
  <c r="F48" i="106"/>
  <c r="E7" i="106"/>
  <c r="E30" i="106"/>
  <c r="E27" i="105"/>
  <c r="E7" i="105"/>
  <c r="O27" i="105"/>
  <c r="E99" i="102"/>
  <c r="E7" i="102"/>
  <c r="F192" i="102"/>
  <c r="F151" i="102"/>
  <c r="E7" i="99"/>
  <c r="L8" i="99"/>
  <c r="F58" i="99"/>
  <c r="F49" i="99"/>
  <c r="F57" i="99"/>
  <c r="F46" i="99"/>
  <c r="F56" i="99"/>
  <c r="F45" i="99"/>
  <c r="F55" i="99"/>
  <c r="F44" i="99"/>
  <c r="F52" i="99"/>
  <c r="F43" i="99"/>
  <c r="F51" i="99"/>
  <c r="F50" i="99"/>
  <c r="D27" i="99"/>
  <c r="L27" i="99" s="1" a="1"/>
  <c r="L27" i="99" s="1"/>
  <c r="D34" i="99"/>
  <c r="D39" i="99"/>
  <c r="D42" i="99"/>
  <c r="D30" i="99"/>
  <c r="L30" i="99" s="1" a="1"/>
  <c r="L30" i="99" s="1"/>
  <c r="D37" i="99"/>
  <c r="L37" i="99" s="1" a="1"/>
  <c r="L37" i="99" s="1"/>
  <c r="D28" i="99"/>
  <c r="L28" i="99" s="1" a="1"/>
  <c r="L28" i="99" s="1"/>
  <c r="D35" i="99"/>
  <c r="L35" i="99" s="1" a="1"/>
  <c r="L35" i="99" s="1"/>
  <c r="D26" i="99"/>
  <c r="L26" i="99" s="1" a="1"/>
  <c r="L26" i="99" s="1"/>
  <c r="D33" i="99"/>
  <c r="D40" i="99"/>
  <c r="D31" i="99"/>
  <c r="L31" i="99" s="1" a="1"/>
  <c r="L31" i="99" s="1"/>
  <c r="D38" i="99"/>
  <c r="L38" i="99" s="1" a="1"/>
  <c r="L38" i="99" s="1"/>
  <c r="D48" i="99"/>
  <c r="E7" i="98"/>
  <c r="L7" i="98"/>
  <c r="F70" i="98"/>
  <c r="F61" i="98"/>
  <c r="F51" i="98"/>
  <c r="F69" i="98"/>
  <c r="F50" i="98"/>
  <c r="F58" i="98"/>
  <c r="F68" i="98"/>
  <c r="F49" i="98"/>
  <c r="F57" i="98"/>
  <c r="F67" i="98"/>
  <c r="F56" i="98"/>
  <c r="F46" i="98"/>
  <c r="F64" i="98"/>
  <c r="F55" i="98"/>
  <c r="F45" i="98"/>
  <c r="F63" i="98"/>
  <c r="F44" i="98"/>
  <c r="F62" i="98"/>
  <c r="F52" i="98"/>
  <c r="F43" i="98"/>
  <c r="D30" i="98"/>
  <c r="L30" i="98" s="1" a="1"/>
  <c r="L30" i="98" s="1"/>
  <c r="E18" i="95" a="1"/>
  <c r="E18" i="95" s="1"/>
  <c r="D54" i="98"/>
  <c r="D29" i="98"/>
  <c r="L29" i="98" s="1" a="1"/>
  <c r="L29" i="98" s="1"/>
  <c r="D38" i="98"/>
  <c r="L38" i="98" s="1" a="1"/>
  <c r="L38" i="98" s="1"/>
  <c r="Q34" i="98" a="1"/>
  <c r="Q34" i="98" s="1"/>
  <c r="D28" i="98"/>
  <c r="L28" i="98" s="1" a="1"/>
  <c r="L28" i="98" s="1"/>
  <c r="D32" i="98"/>
  <c r="L32" i="98" s="1" a="1"/>
  <c r="L32" i="98" s="1"/>
  <c r="D27" i="98"/>
  <c r="L27" i="98" s="1" a="1"/>
  <c r="L27" i="98" s="1"/>
  <c r="D36" i="98"/>
  <c r="L36" i="98" s="1" a="1"/>
  <c r="L36" i="98" s="1"/>
  <c r="D31" i="98"/>
  <c r="L31" i="98" s="1" a="1"/>
  <c r="L31" i="98" s="1"/>
  <c r="D26" i="98"/>
  <c r="L26" i="98" s="1" a="1"/>
  <c r="L26" i="98" s="1"/>
  <c r="I20" i="97"/>
  <c r="L33" i="98" s="1" a="1"/>
  <c r="L33" i="98" s="1"/>
  <c r="I17" i="97"/>
  <c r="I21" i="97"/>
  <c r="L39" i="98" s="1" a="1"/>
  <c r="L39" i="98" s="1"/>
  <c r="Q39" i="98" s="1" a="1"/>
  <c r="Q39" i="98" s="1"/>
  <c r="I18" i="97"/>
  <c r="L32" i="99" s="1" a="1"/>
  <c r="L32" i="99" s="1"/>
  <c r="E8" i="95"/>
  <c r="E25" i="95"/>
  <c r="G59" i="91"/>
  <c r="I39" i="94"/>
  <c r="E41" i="94" s="1"/>
  <c r="I46" i="94"/>
  <c r="I47" i="94"/>
  <c r="E83" i="92"/>
  <c r="E49" i="92"/>
  <c r="E7" i="92"/>
  <c r="E43" i="91"/>
  <c r="E118" i="91"/>
  <c r="E7" i="91"/>
  <c r="E90" i="91"/>
  <c r="O209" i="83"/>
  <c r="E7" i="90"/>
  <c r="E38" i="89"/>
  <c r="E7" i="89"/>
  <c r="F80" i="87"/>
  <c r="F60" i="87"/>
  <c r="AH141" i="82"/>
  <c r="E7" i="88"/>
  <c r="E43" i="88"/>
  <c r="F78" i="88"/>
  <c r="F58" i="88"/>
  <c r="O170" i="83"/>
  <c r="E7" i="87"/>
  <c r="E42" i="87"/>
  <c r="N60" i="87"/>
  <c r="O88" i="87"/>
  <c r="AF256" i="83"/>
  <c r="D29" i="86"/>
  <c r="E7" i="85"/>
  <c r="E26" i="85"/>
  <c r="O36" i="85"/>
  <c r="F36" i="85"/>
  <c r="P35" i="84"/>
  <c r="F35" i="84"/>
  <c r="O20" i="85"/>
  <c r="F20" i="85"/>
  <c r="L363" i="80"/>
  <c r="P235" i="82"/>
  <c r="P241" i="82"/>
  <c r="AI273" i="82"/>
  <c r="M363" i="80"/>
  <c r="AI252" i="82"/>
  <c r="E30" i="81"/>
  <c r="X254" i="82"/>
  <c r="F244" i="82"/>
  <c r="AI257" i="82"/>
  <c r="AI269" i="82"/>
  <c r="W261" i="83"/>
  <c r="AH79" i="82"/>
  <c r="AF59" i="83" s="1"/>
  <c r="AI259" i="82"/>
  <c r="X273" i="82"/>
  <c r="E7" i="84"/>
  <c r="E22" i="84"/>
  <c r="O64" i="83"/>
  <c r="AF78" i="83"/>
  <c r="AF73" i="83"/>
  <c r="O62" i="83"/>
  <c r="Q98" i="83"/>
  <c r="AH111" i="83"/>
  <c r="AH105" i="83"/>
  <c r="Q97" i="83"/>
  <c r="AH104" i="83"/>
  <c r="Q96" i="83"/>
  <c r="AH109" i="83"/>
  <c r="AH108" i="83"/>
  <c r="N33" i="81"/>
  <c r="AF146" i="83"/>
  <c r="F26" i="81"/>
  <c r="AI266" i="82"/>
  <c r="F212" i="83"/>
  <c r="V107" i="83" a="1"/>
  <c r="V107" i="83" s="1"/>
  <c r="W110" i="83" a="1"/>
  <c r="W110" i="83" s="1"/>
  <c r="AC110" i="83" s="1" a="1"/>
  <c r="AC110" i="83" s="1"/>
  <c r="AF258" i="83"/>
  <c r="M32" i="82" a="1"/>
  <c r="M32" i="82" s="1"/>
  <c r="E95" i="83" a="1"/>
  <c r="E95" i="83" s="1"/>
  <c r="F95" i="83" s="1" a="1"/>
  <c r="F95" i="83" s="1"/>
  <c r="L95" i="83" s="1" a="1"/>
  <c r="L95" i="83" s="1"/>
  <c r="AF249" i="83"/>
  <c r="AF251" i="83"/>
  <c r="M30" i="81"/>
  <c r="N30" i="81"/>
  <c r="AI177" i="82"/>
  <c r="AF254" i="83"/>
  <c r="K32" i="81"/>
  <c r="X29" i="82" a="1"/>
  <c r="X29" i="82" s="1"/>
  <c r="Y29" i="82" s="1" a="1"/>
  <c r="Y29" i="82" s="1"/>
  <c r="AE29" i="82" s="1" a="1"/>
  <c r="AE29" i="82" s="1"/>
  <c r="E7" i="83"/>
  <c r="E42" i="83"/>
  <c r="E136" i="83"/>
  <c r="E104" i="83"/>
  <c r="E218" i="83"/>
  <c r="E178" i="83"/>
  <c r="AA104" i="83" a="1"/>
  <c r="AA104" i="83" s="1"/>
  <c r="AB104" i="83" a="1"/>
  <c r="AB104" i="83" s="1"/>
  <c r="AJ31" i="82"/>
  <c r="AJ29" i="82"/>
  <c r="AF47" i="83"/>
  <c r="AF44" i="83"/>
  <c r="AF36" i="83"/>
  <c r="AF39" i="83"/>
  <c r="AF41" i="83"/>
  <c r="AF43" i="83"/>
  <c r="O34" i="83"/>
  <c r="AF45" i="83"/>
  <c r="AF38" i="83"/>
  <c r="O36" i="83"/>
  <c r="AF42" i="83"/>
  <c r="AF40" i="83"/>
  <c r="O33" i="83"/>
  <c r="AF37" i="83"/>
  <c r="AF46" i="83"/>
  <c r="O35" i="83"/>
  <c r="J30" i="81"/>
  <c r="AI255" i="82"/>
  <c r="AH110" i="83"/>
  <c r="AH103" i="83"/>
  <c r="AH102" i="83"/>
  <c r="AH101" i="83"/>
  <c r="Q95" i="83"/>
  <c r="AH106" i="83"/>
  <c r="AH100" i="83"/>
  <c r="AH107" i="83"/>
  <c r="V182" i="83" a="1"/>
  <c r="V182" i="83" s="1"/>
  <c r="L30" i="81"/>
  <c r="AH87" i="82"/>
  <c r="AF67" i="83" s="1"/>
  <c r="AH136" i="82"/>
  <c r="X264" i="82"/>
  <c r="X256" i="82"/>
  <c r="AC104" i="83" a="1"/>
  <c r="AC104" i="83" s="1"/>
  <c r="V111" i="83" a="1"/>
  <c r="V111" i="83" s="1"/>
  <c r="W111" i="83" s="1" a="1"/>
  <c r="W111" i="83" s="1"/>
  <c r="AA111" i="83" s="1" a="1"/>
  <c r="AA111" i="83" s="1"/>
  <c r="V100" i="83" a="1"/>
  <c r="V100" i="83" s="1"/>
  <c r="W100" i="83" s="1" a="1"/>
  <c r="W100" i="83" s="1"/>
  <c r="V102" i="83" a="1"/>
  <c r="V102" i="83" s="1"/>
  <c r="W102" i="83" s="1" a="1"/>
  <c r="W102" i="83" s="1"/>
  <c r="AC102" i="83" s="1" a="1"/>
  <c r="AC102" i="83" s="1"/>
  <c r="L26" i="81"/>
  <c r="G31" i="81"/>
  <c r="I31" i="81"/>
  <c r="L31" i="81"/>
  <c r="X259" i="82"/>
  <c r="M31" i="81"/>
  <c r="AH83" i="82"/>
  <c r="AF63" i="83" s="1"/>
  <c r="E96" i="83" a="1"/>
  <c r="E96" i="83" s="1"/>
  <c r="F96" i="83" s="1" a="1"/>
  <c r="F96" i="83" s="1"/>
  <c r="L96" i="83" s="1" a="1"/>
  <c r="L96" i="83" s="1"/>
  <c r="E97" i="83" a="1"/>
  <c r="E97" i="83" s="1"/>
  <c r="F97" i="83" s="1" a="1"/>
  <c r="F97" i="83" s="1"/>
  <c r="J97" i="83" s="1" a="1"/>
  <c r="J97" i="83" s="1"/>
  <c r="V184" i="83" a="1"/>
  <c r="V184" i="83" s="1"/>
  <c r="O84" i="82"/>
  <c r="O54" i="83" s="1"/>
  <c r="X258" i="82"/>
  <c r="X270" i="82"/>
  <c r="AF83" i="83"/>
  <c r="AF82" i="83"/>
  <c r="AF74" i="83"/>
  <c r="AF72" i="83"/>
  <c r="O63" i="83"/>
  <c r="AF76" i="83"/>
  <c r="AF79" i="83"/>
  <c r="AF75" i="83"/>
  <c r="E98" i="83" a="1"/>
  <c r="E98" i="83" s="1"/>
  <c r="F30" i="81"/>
  <c r="L32" i="81"/>
  <c r="AH76" i="82"/>
  <c r="AF56" i="83" s="1"/>
  <c r="G30" i="81"/>
  <c r="M32" i="81"/>
  <c r="AH132" i="82"/>
  <c r="AI263" i="82"/>
  <c r="P238" i="82"/>
  <c r="X262" i="82"/>
  <c r="V105" i="83" a="1"/>
  <c r="V105" i="83" s="1"/>
  <c r="W105" i="83" s="1" a="1"/>
  <c r="W105" i="83" s="1"/>
  <c r="AA105" i="83" s="1" a="1"/>
  <c r="AA105" i="83" s="1"/>
  <c r="AF144" i="83"/>
  <c r="AF145" i="83"/>
  <c r="O129" i="83"/>
  <c r="AF147" i="83"/>
  <c r="AF140" i="83"/>
  <c r="AF138" i="83"/>
  <c r="AF137" i="83"/>
  <c r="AF142" i="83"/>
  <c r="O130" i="83"/>
  <c r="AF136" i="83"/>
  <c r="AF141" i="83"/>
  <c r="AF139" i="83"/>
  <c r="O127" i="83"/>
  <c r="O128" i="83"/>
  <c r="I30" i="81"/>
  <c r="N32" i="81"/>
  <c r="AH77" i="82"/>
  <c r="AF57" i="83" s="1"/>
  <c r="O65" i="83"/>
  <c r="AF77" i="83"/>
  <c r="AF80" i="83"/>
  <c r="AF81" i="83"/>
  <c r="V106" i="83" a="1"/>
  <c r="V106" i="83" s="1"/>
  <c r="W106" i="83" s="1" a="1"/>
  <c r="W106" i="83" s="1"/>
  <c r="AF202" i="83"/>
  <c r="AF197" i="83"/>
  <c r="AF200" i="83"/>
  <c r="AF203" i="83"/>
  <c r="AF198" i="83"/>
  <c r="O169" i="83"/>
  <c r="AF206" i="83"/>
  <c r="AF196" i="83"/>
  <c r="O172" i="83"/>
  <c r="O171" i="83"/>
  <c r="AF205" i="83"/>
  <c r="AF207" i="83"/>
  <c r="AF204" i="83"/>
  <c r="AF201" i="83"/>
  <c r="V186" i="83" a="1"/>
  <c r="V186" i="83" s="1"/>
  <c r="V189" i="83" a="1"/>
  <c r="V189" i="83" s="1"/>
  <c r="V181" i="83" a="1"/>
  <c r="V181" i="83" s="1"/>
  <c r="V187" i="83" a="1"/>
  <c r="V187" i="83" s="1"/>
  <c r="V190" i="83" a="1"/>
  <c r="V190" i="83" s="1"/>
  <c r="V188" i="83" a="1"/>
  <c r="V188" i="83" s="1"/>
  <c r="V108" i="83" a="1"/>
  <c r="V108" i="83" s="1"/>
  <c r="V101" i="83" a="1"/>
  <c r="V101" i="83" s="1"/>
  <c r="W101" i="83" s="1" a="1"/>
  <c r="W101" i="83" s="1"/>
  <c r="V185" i="83" a="1"/>
  <c r="V185" i="83" s="1"/>
  <c r="V183" i="83" a="1"/>
  <c r="V183" i="83" s="1"/>
  <c r="V109" i="83" a="1"/>
  <c r="V109" i="83" s="1"/>
  <c r="V103" i="83" a="1"/>
  <c r="V103" i="83" s="1"/>
  <c r="W103" i="83" s="1" a="1"/>
  <c r="W103" i="83" s="1"/>
  <c r="AC103" i="83" s="1" a="1"/>
  <c r="AC103" i="83" s="1"/>
  <c r="V180" i="83" a="1"/>
  <c r="V180" i="83" s="1"/>
  <c r="V191" i="83" a="1"/>
  <c r="V191" i="83" s="1"/>
  <c r="W267" i="83"/>
  <c r="F229" i="83"/>
  <c r="V216" i="83"/>
  <c r="E191" i="83"/>
  <c r="AF259" i="83"/>
  <c r="AF252" i="83"/>
  <c r="O210" i="83"/>
  <c r="O208" i="83"/>
  <c r="AF257" i="83"/>
  <c r="AF250" i="83"/>
  <c r="AF255" i="83"/>
  <c r="AF248" i="83"/>
  <c r="AF253" i="83"/>
  <c r="E101" i="82"/>
  <c r="E148" i="82"/>
  <c r="E39" i="82"/>
  <c r="E206" i="82"/>
  <c r="X200" i="82"/>
  <c r="X188" i="82"/>
  <c r="M27" i="81"/>
  <c r="N32" i="82" a="1"/>
  <c r="N32" i="82" s="1"/>
  <c r="X198" i="82"/>
  <c r="X186" i="82"/>
  <c r="G26" i="81"/>
  <c r="N27" i="81"/>
  <c r="X35" i="82" a="1"/>
  <c r="X35" i="82" s="1"/>
  <c r="X187" i="82"/>
  <c r="X199" i="82"/>
  <c r="H26" i="81"/>
  <c r="S30" i="82"/>
  <c r="I26" i="81"/>
  <c r="F28" i="81"/>
  <c r="AJ28" i="82"/>
  <c r="X32" i="82" a="1"/>
  <c r="X32" i="82" s="1"/>
  <c r="Y32" i="82" s="1" a="1"/>
  <c r="Y32" i="82" s="1"/>
  <c r="AC32" i="82" s="1" a="1"/>
  <c r="AC32" i="82" s="1"/>
  <c r="J26" i="81"/>
  <c r="M28" i="81"/>
  <c r="L32" i="82" a="1"/>
  <c r="L32" i="82" s="1"/>
  <c r="X189" i="82"/>
  <c r="X177" i="82"/>
  <c r="X183" i="82"/>
  <c r="X195" i="82"/>
  <c r="K26" i="81"/>
  <c r="N28" i="81"/>
  <c r="H31" i="81"/>
  <c r="X39" i="82" a="1"/>
  <c r="X39" i="82" s="1"/>
  <c r="Y39" i="82" s="1" a="1"/>
  <c r="Y39" i="82" s="1"/>
  <c r="AD39" i="82" s="1" a="1"/>
  <c r="AD39" i="82" s="1"/>
  <c r="X38" i="82" a="1"/>
  <c r="X38" i="82" s="1"/>
  <c r="Y38" i="82" s="1" a="1"/>
  <c r="Y38" i="82" s="1"/>
  <c r="AE38" i="82" s="1" a="1"/>
  <c r="AE38" i="82" s="1"/>
  <c r="X37" i="82" a="1"/>
  <c r="X37" i="82" s="1"/>
  <c r="X36" i="82" a="1"/>
  <c r="X36" i="82" s="1"/>
  <c r="X33" i="82" a="1"/>
  <c r="X33" i="82" s="1"/>
  <c r="Y33" i="82" s="1" a="1"/>
  <c r="Y33" i="82" s="1"/>
  <c r="AC33" i="82" s="1" a="1"/>
  <c r="AC33" i="82" s="1"/>
  <c r="X31" i="82" a="1"/>
  <c r="X31" i="82" s="1"/>
  <c r="Y31" i="82" s="1" a="1"/>
  <c r="Y31" i="82" s="1"/>
  <c r="AC31" i="82" s="1" a="1"/>
  <c r="AC31" i="82" s="1"/>
  <c r="X28" i="82" a="1"/>
  <c r="X28" i="82" s="1"/>
  <c r="Y28" i="82" s="1" a="1"/>
  <c r="Y28" i="82" s="1"/>
  <c r="AC28" i="82" s="1" a="1"/>
  <c r="AC28" i="82" s="1"/>
  <c r="X30" i="82" a="1"/>
  <c r="X30" i="82" s="1"/>
  <c r="Y30" i="82" s="1" a="1"/>
  <c r="Y30" i="82" s="1"/>
  <c r="AD30" i="82" s="1" a="1"/>
  <c r="AD30" i="82" s="1"/>
  <c r="AJ35" i="82"/>
  <c r="F23" i="81"/>
  <c r="M26" i="81"/>
  <c r="J31" i="81"/>
  <c r="AI194" i="82"/>
  <c r="AI197" i="82"/>
  <c r="P184" i="82"/>
  <c r="AI200" i="82"/>
  <c r="AI189" i="82"/>
  <c r="AI192" i="82"/>
  <c r="AI198" i="82"/>
  <c r="AI184" i="82"/>
  <c r="AI190" i="82"/>
  <c r="AI196" i="82"/>
  <c r="P182" i="82"/>
  <c r="AI179" i="82"/>
  <c r="AI183" i="82"/>
  <c r="P177" i="82"/>
  <c r="P183" i="82"/>
  <c r="P181" i="82"/>
  <c r="AI178" i="82"/>
  <c r="AI188" i="82"/>
  <c r="AI187" i="82"/>
  <c r="AI186" i="82"/>
  <c r="AI185" i="82"/>
  <c r="AI199" i="82"/>
  <c r="AI195" i="82"/>
  <c r="AI180" i="82"/>
  <c r="AI191" i="82"/>
  <c r="AI193" i="82"/>
  <c r="AI182" i="82"/>
  <c r="AI181" i="82"/>
  <c r="P180" i="82"/>
  <c r="P178" i="82"/>
  <c r="M23" i="81"/>
  <c r="N26" i="81"/>
  <c r="K31" i="81"/>
  <c r="X192" i="82"/>
  <c r="X180" i="82"/>
  <c r="N23" i="81"/>
  <c r="X34" i="82" a="1"/>
  <c r="X34" i="82" s="1"/>
  <c r="Y34" i="82" s="1" a="1"/>
  <c r="Y34" i="82" s="1"/>
  <c r="AC34" i="82" s="1" a="1"/>
  <c r="AC34" i="82" s="1"/>
  <c r="AH140" i="82"/>
  <c r="O134" i="82"/>
  <c r="O133" i="82"/>
  <c r="AH137" i="82"/>
  <c r="AH134" i="82"/>
  <c r="AH131" i="82"/>
  <c r="AH139" i="82"/>
  <c r="O131" i="82"/>
  <c r="AH133" i="82"/>
  <c r="AH138" i="82"/>
  <c r="AH142" i="82"/>
  <c r="O132" i="82"/>
  <c r="X181" i="82"/>
  <c r="X193" i="82"/>
  <c r="X194" i="82"/>
  <c r="X182" i="82"/>
  <c r="E27" i="81"/>
  <c r="X196" i="82"/>
  <c r="X184" i="82"/>
  <c r="J27" i="81"/>
  <c r="H30" i="81"/>
  <c r="N31" i="81"/>
  <c r="AH31" i="79"/>
  <c r="K27" i="81"/>
  <c r="H31" i="82"/>
  <c r="AH86" i="82"/>
  <c r="AF66" i="83" s="1"/>
  <c r="AH81" i="82"/>
  <c r="AF61" i="83" s="1"/>
  <c r="O86" i="82"/>
  <c r="O56" i="83" s="1"/>
  <c r="AH84" i="82"/>
  <c r="AF64" i="83" s="1"/>
  <c r="AH78" i="82"/>
  <c r="AF58" i="83" s="1"/>
  <c r="AH80" i="82"/>
  <c r="AF60" i="83" s="1"/>
  <c r="AH85" i="82"/>
  <c r="AF65" i="83" s="1"/>
  <c r="AH82" i="82"/>
  <c r="AF62" i="83" s="1"/>
  <c r="O87" i="82"/>
  <c r="O57" i="83" s="1"/>
  <c r="AH38" i="79"/>
  <c r="O107" i="79"/>
  <c r="L27" i="81"/>
  <c r="AJ34" i="82"/>
  <c r="S31" i="82"/>
  <c r="AJ32" i="82"/>
  <c r="AJ37" i="82"/>
  <c r="AJ30" i="82"/>
  <c r="AJ38" i="82"/>
  <c r="AJ39" i="82"/>
  <c r="S33" i="82"/>
  <c r="AJ33" i="82"/>
  <c r="S32" i="82"/>
  <c r="H30" i="82"/>
  <c r="AJ36" i="82"/>
  <c r="X190" i="82"/>
  <c r="X178" i="82"/>
  <c r="X191" i="82"/>
  <c r="X179" i="82"/>
  <c r="X185" i="82"/>
  <c r="AI272" i="82"/>
  <c r="AI258" i="82"/>
  <c r="AI261" i="82"/>
  <c r="P236" i="82"/>
  <c r="AI264" i="82"/>
  <c r="P239" i="82"/>
  <c r="AI267" i="82"/>
  <c r="AI253" i="82"/>
  <c r="P242" i="82"/>
  <c r="AI270" i="82"/>
  <c r="AI256" i="82"/>
  <c r="AI262" i="82"/>
  <c r="P237" i="82"/>
  <c r="AI265" i="82"/>
  <c r="AI251" i="82"/>
  <c r="P240" i="82"/>
  <c r="AI268" i="82"/>
  <c r="AI254" i="82"/>
  <c r="AI274" i="82"/>
  <c r="AI260" i="82"/>
  <c r="X251" i="82"/>
  <c r="X263" i="82"/>
  <c r="X260" i="82"/>
  <c r="X272" i="82"/>
  <c r="X257" i="82"/>
  <c r="X269" i="82"/>
  <c r="E219" i="82"/>
  <c r="X265" i="82"/>
  <c r="X253" i="82"/>
  <c r="X267" i="82"/>
  <c r="O122" i="81"/>
  <c r="N122" i="81"/>
  <c r="N124" i="81"/>
  <c r="O124" i="81" s="1"/>
  <c r="K99" i="80"/>
  <c r="E25" i="81"/>
  <c r="L123" i="81"/>
  <c r="I363" i="80"/>
  <c r="F25" i="81"/>
  <c r="E34" i="81"/>
  <c r="G25" i="81"/>
  <c r="E29" i="81"/>
  <c r="F34" i="81"/>
  <c r="L121" i="81"/>
  <c r="E24" i="81"/>
  <c r="H25" i="81"/>
  <c r="F29" i="81"/>
  <c r="G34" i="81"/>
  <c r="F24" i="81"/>
  <c r="I25" i="81"/>
  <c r="G29" i="81"/>
  <c r="E33" i="81"/>
  <c r="H34" i="81"/>
  <c r="E23" i="81"/>
  <c r="G24" i="81"/>
  <c r="J25" i="81"/>
  <c r="E28" i="81"/>
  <c r="H29" i="81"/>
  <c r="F33" i="81"/>
  <c r="I34" i="81"/>
  <c r="H24" i="81"/>
  <c r="K25" i="81"/>
  <c r="I29" i="81"/>
  <c r="G33" i="81"/>
  <c r="J34" i="81"/>
  <c r="G23" i="81"/>
  <c r="I24" i="81"/>
  <c r="L25" i="81"/>
  <c r="G28" i="81"/>
  <c r="J29" i="81"/>
  <c r="E32" i="81"/>
  <c r="H33" i="81"/>
  <c r="K34" i="81"/>
  <c r="H23" i="81"/>
  <c r="J24" i="81"/>
  <c r="M25" i="81"/>
  <c r="H28" i="81"/>
  <c r="K29" i="81"/>
  <c r="F32" i="81"/>
  <c r="I33" i="81"/>
  <c r="L34" i="81"/>
  <c r="I23" i="81"/>
  <c r="K24" i="81"/>
  <c r="F27" i="81"/>
  <c r="I28" i="81"/>
  <c r="L29" i="81"/>
  <c r="G32" i="81"/>
  <c r="J33" i="81"/>
  <c r="M34" i="81"/>
  <c r="K32" i="78"/>
  <c r="J23" i="81"/>
  <c r="L24" i="81"/>
  <c r="G27" i="81"/>
  <c r="J28" i="81"/>
  <c r="M29" i="81"/>
  <c r="E31" i="81"/>
  <c r="H32" i="81"/>
  <c r="K33" i="81"/>
  <c r="J32" i="78"/>
  <c r="M32" i="78"/>
  <c r="AH30" i="79"/>
  <c r="K23" i="81"/>
  <c r="M24" i="81"/>
  <c r="H27" i="81"/>
  <c r="K28" i="81"/>
  <c r="I32" i="81"/>
  <c r="L33" i="81"/>
  <c r="N32" i="78"/>
  <c r="M367" i="80"/>
  <c r="N367" i="80"/>
  <c r="L367" i="80"/>
  <c r="L87" i="80"/>
  <c r="L91" i="80"/>
  <c r="K91" i="80"/>
  <c r="K87" i="80"/>
  <c r="L95" i="80"/>
  <c r="K95" i="80"/>
  <c r="K93" i="80"/>
  <c r="L89" i="80"/>
  <c r="K89" i="80"/>
  <c r="L93" i="80"/>
  <c r="L369" i="80"/>
  <c r="M369" i="80"/>
  <c r="N369" i="80"/>
  <c r="H86" i="80"/>
  <c r="H90" i="80"/>
  <c r="K97" i="80"/>
  <c r="L97" i="80"/>
  <c r="L365" i="80"/>
  <c r="M33" i="78"/>
  <c r="J366" i="80"/>
  <c r="G23" i="78"/>
  <c r="K26" i="78"/>
  <c r="L364" i="80"/>
  <c r="I368" i="80"/>
  <c r="N364" i="80"/>
  <c r="F23" i="78"/>
  <c r="J26" i="78"/>
  <c r="N33" i="78"/>
  <c r="J23" i="78"/>
  <c r="H34" i="78"/>
  <c r="F26" i="78"/>
  <c r="K23" i="78"/>
  <c r="N23" i="78"/>
  <c r="J369" i="80"/>
  <c r="G26" i="78"/>
  <c r="H23" i="78"/>
  <c r="E23" i="78"/>
  <c r="H26" i="78"/>
  <c r="L23" i="78"/>
  <c r="M23" i="78"/>
  <c r="J365" i="80"/>
  <c r="P97" i="80"/>
  <c r="N97" i="80"/>
  <c r="O97" i="80"/>
  <c r="P104" i="80"/>
  <c r="O104" i="80"/>
  <c r="N104" i="80"/>
  <c r="L111" i="80"/>
  <c r="K111" i="80"/>
  <c r="N111" i="80"/>
  <c r="O111" i="80"/>
  <c r="P111" i="80"/>
  <c r="P107" i="80"/>
  <c r="O107" i="80"/>
  <c r="N107" i="80"/>
  <c r="J91" i="80"/>
  <c r="J87" i="80"/>
  <c r="J93" i="80"/>
  <c r="J89" i="80"/>
  <c r="L92" i="80"/>
  <c r="K92" i="80"/>
  <c r="L88" i="80"/>
  <c r="K88" i="80"/>
  <c r="L105" i="80"/>
  <c r="K105" i="80"/>
  <c r="P99" i="80"/>
  <c r="O99" i="80"/>
  <c r="N99" i="80"/>
  <c r="N116" i="80"/>
  <c r="O116" i="80"/>
  <c r="P116" i="80"/>
  <c r="H91" i="80"/>
  <c r="H87" i="80"/>
  <c r="I92" i="80"/>
  <c r="I88" i="80"/>
  <c r="H89" i="80"/>
  <c r="H93" i="80"/>
  <c r="I87" i="80"/>
  <c r="I91" i="80"/>
  <c r="I89" i="80"/>
  <c r="I93" i="80"/>
  <c r="I227" i="80"/>
  <c r="I223" i="80"/>
  <c r="L98" i="80"/>
  <c r="K98" i="80"/>
  <c r="K112" i="80"/>
  <c r="L112" i="80"/>
  <c r="N113" i="80"/>
  <c r="P113" i="80"/>
  <c r="O113" i="80"/>
  <c r="K117" i="80"/>
  <c r="L117" i="80"/>
  <c r="G89" i="80"/>
  <c r="G93" i="80"/>
  <c r="J86" i="80"/>
  <c r="J90" i="80"/>
  <c r="M90" i="80"/>
  <c r="M86" i="80"/>
  <c r="M88" i="80"/>
  <c r="M92" i="80"/>
  <c r="L96" i="80"/>
  <c r="K96" i="80"/>
  <c r="N109" i="80"/>
  <c r="P109" i="80"/>
  <c r="O109" i="80"/>
  <c r="P88" i="80"/>
  <c r="N92" i="80"/>
  <c r="O92" i="80"/>
  <c r="O88" i="80"/>
  <c r="N88" i="80"/>
  <c r="P92" i="80"/>
  <c r="O94" i="80"/>
  <c r="P94" i="80"/>
  <c r="N94" i="80"/>
  <c r="L100" i="80"/>
  <c r="K100" i="80"/>
  <c r="G86" i="80"/>
  <c r="G90" i="80"/>
  <c r="L103" i="80"/>
  <c r="K103" i="80"/>
  <c r="K110" i="80"/>
  <c r="L110" i="80"/>
  <c r="G87" i="80"/>
  <c r="G91" i="80"/>
  <c r="L114" i="80"/>
  <c r="K114" i="80"/>
  <c r="O102" i="80"/>
  <c r="N102" i="80"/>
  <c r="P102" i="80"/>
  <c r="L109" i="80"/>
  <c r="K109" i="80"/>
  <c r="O86" i="80"/>
  <c r="N86" i="80"/>
  <c r="P90" i="80"/>
  <c r="O90" i="80"/>
  <c r="N90" i="80"/>
  <c r="P86" i="80"/>
  <c r="P91" i="80"/>
  <c r="O87" i="80"/>
  <c r="O91" i="80"/>
  <c r="N87" i="80"/>
  <c r="N91" i="80"/>
  <c r="P87" i="80"/>
  <c r="O96" i="80"/>
  <c r="P96" i="80"/>
  <c r="N96" i="80"/>
  <c r="L104" i="80"/>
  <c r="K104" i="80"/>
  <c r="L90" i="80"/>
  <c r="K86" i="80"/>
  <c r="K90" i="80"/>
  <c r="L86" i="80"/>
  <c r="P95" i="80"/>
  <c r="O95" i="80"/>
  <c r="N95" i="80"/>
  <c r="P100" i="80"/>
  <c r="N100" i="80"/>
  <c r="O100" i="80"/>
  <c r="F102" i="80"/>
  <c r="F106" i="80"/>
  <c r="N108" i="80"/>
  <c r="O108" i="80"/>
  <c r="P108" i="80"/>
  <c r="N105" i="80"/>
  <c r="K108" i="80"/>
  <c r="L115" i="80"/>
  <c r="K115" i="80"/>
  <c r="K102" i="80"/>
  <c r="O105" i="80"/>
  <c r="O114" i="80"/>
  <c r="F223" i="80"/>
  <c r="F227" i="80"/>
  <c r="P114" i="80"/>
  <c r="G223" i="80"/>
  <c r="G227" i="80"/>
  <c r="G88" i="80"/>
  <c r="G148" i="80" s="1"/>
  <c r="G229" i="80"/>
  <c r="G225" i="80"/>
  <c r="L94" i="80"/>
  <c r="K94" i="80"/>
  <c r="H88" i="80"/>
  <c r="H148" i="80" s="1"/>
  <c r="K106" i="80"/>
  <c r="H223" i="80"/>
  <c r="H227" i="80"/>
  <c r="F224" i="80"/>
  <c r="F228" i="80"/>
  <c r="G228" i="80"/>
  <c r="G224" i="80"/>
  <c r="I226" i="80"/>
  <c r="I230" i="80"/>
  <c r="I225" i="80"/>
  <c r="I229" i="80"/>
  <c r="J230" i="80"/>
  <c r="J226" i="80"/>
  <c r="L116" i="80"/>
  <c r="K116" i="80"/>
  <c r="P103" i="80"/>
  <c r="N103" i="80"/>
  <c r="L227" i="80"/>
  <c r="K227" i="80"/>
  <c r="L223" i="80"/>
  <c r="K223" i="80"/>
  <c r="I224" i="80"/>
  <c r="I228" i="80"/>
  <c r="P115" i="80"/>
  <c r="N115" i="80"/>
  <c r="J92" i="80"/>
  <c r="J148" i="80" s="1"/>
  <c r="K113" i="80"/>
  <c r="J224" i="80"/>
  <c r="J228" i="80"/>
  <c r="M230" i="80"/>
  <c r="M226" i="80"/>
  <c r="P110" i="80"/>
  <c r="O110" i="80"/>
  <c r="L101" i="80"/>
  <c r="K101" i="80"/>
  <c r="P112" i="80"/>
  <c r="O112" i="80"/>
  <c r="N112" i="80"/>
  <c r="L107" i="80"/>
  <c r="L224" i="80"/>
  <c r="K224" i="80"/>
  <c r="L228" i="80"/>
  <c r="K228" i="80"/>
  <c r="L229" i="80"/>
  <c r="K229" i="80"/>
  <c r="L225" i="80"/>
  <c r="K225" i="80"/>
  <c r="P117" i="80"/>
  <c r="O117" i="80"/>
  <c r="N117" i="80"/>
  <c r="M89" i="80"/>
  <c r="M93" i="80"/>
  <c r="O106" i="80"/>
  <c r="N106" i="80"/>
  <c r="N101" i="80"/>
  <c r="M224" i="80"/>
  <c r="M228" i="80"/>
  <c r="N98" i="80"/>
  <c r="P98" i="80"/>
  <c r="I86" i="80"/>
  <c r="I90" i="80"/>
  <c r="M87" i="80"/>
  <c r="M91" i="80"/>
  <c r="O89" i="80"/>
  <c r="P93" i="80"/>
  <c r="N89" i="80"/>
  <c r="O93" i="80"/>
  <c r="P89" i="80"/>
  <c r="P101" i="80"/>
  <c r="N224" i="80"/>
  <c r="P228" i="80"/>
  <c r="O228" i="80"/>
  <c r="N228" i="80"/>
  <c r="P224" i="80"/>
  <c r="O224" i="80"/>
  <c r="F225" i="80"/>
  <c r="F229" i="80"/>
  <c r="J227" i="80"/>
  <c r="J223" i="80"/>
  <c r="F226" i="80"/>
  <c r="F230" i="80"/>
  <c r="H224" i="80"/>
  <c r="H228" i="80"/>
  <c r="G226" i="80"/>
  <c r="G230" i="80"/>
  <c r="L248" i="80"/>
  <c r="K248" i="80"/>
  <c r="H226" i="80"/>
  <c r="H230" i="80"/>
  <c r="K245" i="80"/>
  <c r="L245" i="80"/>
  <c r="L249" i="80"/>
  <c r="K249" i="80"/>
  <c r="L252" i="80"/>
  <c r="K252" i="80"/>
  <c r="L241" i="80"/>
  <c r="K241" i="80"/>
  <c r="P248" i="80"/>
  <c r="O248" i="80"/>
  <c r="N248" i="80"/>
  <c r="L242" i="80"/>
  <c r="K242" i="80"/>
  <c r="P245" i="80"/>
  <c r="O245" i="80"/>
  <c r="N245" i="80"/>
  <c r="N249" i="80"/>
  <c r="P249" i="80"/>
  <c r="O249" i="80"/>
  <c r="P252" i="80"/>
  <c r="O252" i="80"/>
  <c r="N252" i="80"/>
  <c r="J229" i="80"/>
  <c r="J225" i="80"/>
  <c r="L234" i="80"/>
  <c r="K234" i="80"/>
  <c r="L238" i="80"/>
  <c r="K238" i="80"/>
  <c r="N246" i="80"/>
  <c r="P246" i="80"/>
  <c r="O246" i="80"/>
  <c r="N251" i="80"/>
  <c r="P251" i="80"/>
  <c r="O251" i="80"/>
  <c r="P253" i="80"/>
  <c r="O253" i="80"/>
  <c r="N253" i="80"/>
  <c r="N254" i="80"/>
  <c r="P254" i="80"/>
  <c r="O254" i="80"/>
  <c r="L226" i="80"/>
  <c r="K226" i="80"/>
  <c r="L230" i="80"/>
  <c r="K230" i="80"/>
  <c r="K235" i="80"/>
  <c r="L235" i="80"/>
  <c r="P242" i="80"/>
  <c r="O242" i="80"/>
  <c r="N242" i="80"/>
  <c r="L231" i="80"/>
  <c r="K231" i="80"/>
  <c r="L233" i="80"/>
  <c r="K233" i="80"/>
  <c r="O238" i="80"/>
  <c r="N238" i="80"/>
  <c r="P238" i="80"/>
  <c r="P235" i="80"/>
  <c r="O235" i="80"/>
  <c r="N235" i="80"/>
  <c r="P239" i="80"/>
  <c r="O239" i="80"/>
  <c r="N239" i="80"/>
  <c r="M229" i="80"/>
  <c r="M225" i="80"/>
  <c r="P231" i="80"/>
  <c r="O231" i="80"/>
  <c r="N231" i="80"/>
  <c r="P232" i="80"/>
  <c r="N232" i="80"/>
  <c r="O232" i="80"/>
  <c r="I362" i="80"/>
  <c r="J362" i="80"/>
  <c r="O243" i="80"/>
  <c r="N243" i="80"/>
  <c r="P243" i="80"/>
  <c r="L253" i="80"/>
  <c r="K253" i="80"/>
  <c r="N234" i="80"/>
  <c r="P234" i="80"/>
  <c r="O234" i="80"/>
  <c r="P237" i="80"/>
  <c r="O237" i="80"/>
  <c r="N237" i="80"/>
  <c r="O240" i="80"/>
  <c r="N240" i="80"/>
  <c r="P240" i="80"/>
  <c r="L244" i="80"/>
  <c r="K244" i="80"/>
  <c r="L247" i="80"/>
  <c r="K247" i="80"/>
  <c r="K250" i="80"/>
  <c r="L250" i="80"/>
  <c r="L232" i="80"/>
  <c r="K232" i="80"/>
  <c r="P250" i="80"/>
  <c r="O250" i="80"/>
  <c r="N250" i="80"/>
  <c r="O241" i="80"/>
  <c r="P241" i="80"/>
  <c r="N241" i="80"/>
  <c r="P244" i="80"/>
  <c r="O244" i="80"/>
  <c r="N244" i="80"/>
  <c r="N247" i="80"/>
  <c r="P247" i="80"/>
  <c r="O247" i="80"/>
  <c r="L251" i="80"/>
  <c r="K251" i="80"/>
  <c r="L254" i="80"/>
  <c r="K254" i="80"/>
  <c r="P225" i="80"/>
  <c r="O225" i="80"/>
  <c r="N225" i="80"/>
  <c r="P229" i="80"/>
  <c r="O229" i="80"/>
  <c r="N229" i="80"/>
  <c r="L239" i="80"/>
  <c r="K239" i="80"/>
  <c r="L236" i="80"/>
  <c r="K236" i="80"/>
  <c r="M223" i="80"/>
  <c r="M227" i="80"/>
  <c r="N236" i="80"/>
  <c r="P236" i="80"/>
  <c r="O236" i="80"/>
  <c r="L246" i="80"/>
  <c r="K246" i="80"/>
  <c r="O227" i="80"/>
  <c r="P227" i="80"/>
  <c r="N223" i="80"/>
  <c r="N227" i="80"/>
  <c r="P223" i="80"/>
  <c r="O223" i="80"/>
  <c r="H229" i="80"/>
  <c r="H225" i="80"/>
  <c r="P230" i="80"/>
  <c r="O230" i="80"/>
  <c r="N230" i="80"/>
  <c r="P226" i="80"/>
  <c r="O226" i="80"/>
  <c r="N226" i="80"/>
  <c r="P233" i="80"/>
  <c r="O233" i="80"/>
  <c r="N233" i="80"/>
  <c r="K237" i="80"/>
  <c r="L237" i="80"/>
  <c r="L240" i="80"/>
  <c r="K240" i="80"/>
  <c r="L243" i="80"/>
  <c r="K243" i="80"/>
  <c r="N368" i="80"/>
  <c r="M368" i="80"/>
  <c r="L368" i="80"/>
  <c r="I364" i="80"/>
  <c r="J364" i="80"/>
  <c r="M366" i="80"/>
  <c r="N366" i="80"/>
  <c r="L366" i="80"/>
  <c r="N362" i="80"/>
  <c r="M362" i="80"/>
  <c r="M365" i="80"/>
  <c r="I367" i="80"/>
  <c r="E35" i="79"/>
  <c r="E94" i="79"/>
  <c r="E73" i="79"/>
  <c r="L27" i="79" a="1"/>
  <c r="L27" i="79" s="1"/>
  <c r="K27" i="79" a="1"/>
  <c r="K27" i="79" s="1"/>
  <c r="L28" i="79" a="1"/>
  <c r="L28" i="79" s="1"/>
  <c r="G31" i="78"/>
  <c r="N34" i="78"/>
  <c r="K34" i="78"/>
  <c r="F34" i="78"/>
  <c r="V35" i="79" a="1"/>
  <c r="V35" i="79" s="1"/>
  <c r="W35" i="79" s="1" a="1"/>
  <c r="W35" i="79" s="1"/>
  <c r="AA35" i="79" s="1" a="1"/>
  <c r="AA35" i="79" s="1"/>
  <c r="V36" i="79" a="1"/>
  <c r="V36" i="79" s="1"/>
  <c r="W36" i="79" s="1" a="1"/>
  <c r="W36" i="79" s="1"/>
  <c r="AB36" i="79" s="1" a="1"/>
  <c r="AB36" i="79" s="1"/>
  <c r="V37" i="79" a="1"/>
  <c r="V37" i="79" s="1"/>
  <c r="W37" i="79" s="1" a="1"/>
  <c r="W37" i="79" s="1"/>
  <c r="AC37" i="79" s="1" a="1"/>
  <c r="AC37" i="79" s="1"/>
  <c r="V29" i="79" a="1"/>
  <c r="V29" i="79" s="1"/>
  <c r="W29" i="79" s="1" a="1"/>
  <c r="W29" i="79" s="1"/>
  <c r="AC29" i="79" s="1" a="1"/>
  <c r="AC29" i="79" s="1"/>
  <c r="V38" i="79" a="1"/>
  <c r="V38" i="79" s="1"/>
  <c r="W38" i="79" s="1" a="1"/>
  <c r="W38" i="79" s="1"/>
  <c r="AA38" i="79" s="1" a="1"/>
  <c r="AA38" i="79" s="1"/>
  <c r="V31" i="79" a="1"/>
  <c r="V31" i="79" s="1"/>
  <c r="W31" i="79" s="1" a="1"/>
  <c r="W31" i="79" s="1"/>
  <c r="AC31" i="79" s="1" a="1"/>
  <c r="AC31" i="79" s="1"/>
  <c r="V32" i="79" a="1"/>
  <c r="V32" i="79" s="1"/>
  <c r="W32" i="79" s="1" a="1"/>
  <c r="W32" i="79" s="1"/>
  <c r="AC32" i="79" s="1" a="1"/>
  <c r="AC32" i="79" s="1"/>
  <c r="V33" i="79" a="1"/>
  <c r="V33" i="79" s="1"/>
  <c r="W33" i="79" s="1" a="1"/>
  <c r="W33" i="79" s="1"/>
  <c r="AC33" i="79" s="1" a="1"/>
  <c r="AC33" i="79" s="1"/>
  <c r="K29" i="79" a="1"/>
  <c r="K29" i="79" s="1"/>
  <c r="H31" i="78"/>
  <c r="E34" i="78"/>
  <c r="AF87" i="79"/>
  <c r="AF86" i="79"/>
  <c r="AF85" i="79"/>
  <c r="O65" i="79"/>
  <c r="AF77" i="79"/>
  <c r="AF79" i="79"/>
  <c r="AF80" i="79"/>
  <c r="AF84" i="79"/>
  <c r="AF83" i="79"/>
  <c r="AF76" i="79"/>
  <c r="AF82" i="79"/>
  <c r="AF78" i="79"/>
  <c r="O67" i="79"/>
  <c r="O64" i="79"/>
  <c r="O66" i="79"/>
  <c r="J27" i="78"/>
  <c r="L31" i="78"/>
  <c r="J34" i="78"/>
  <c r="V34" i="79" a="1"/>
  <c r="V34" i="79" s="1"/>
  <c r="W34" i="79" s="1" a="1"/>
  <c r="W34" i="79" s="1"/>
  <c r="O85" i="79"/>
  <c r="AF97" i="79"/>
  <c r="I27" i="78"/>
  <c r="K31" i="78"/>
  <c r="L34" i="78"/>
  <c r="V39" i="79" a="1"/>
  <c r="V39" i="79" s="1"/>
  <c r="W39" i="79" s="1" a="1"/>
  <c r="W39" i="79" s="1"/>
  <c r="AB39" i="79" s="1" a="1"/>
  <c r="AB39" i="79" s="1"/>
  <c r="K28" i="78"/>
  <c r="M28" i="78"/>
  <c r="G28" i="78"/>
  <c r="Q28" i="79"/>
  <c r="AH33" i="79"/>
  <c r="AH28" i="79"/>
  <c r="AH34" i="79"/>
  <c r="AH35" i="79"/>
  <c r="AH36" i="79"/>
  <c r="AH29" i="79"/>
  <c r="AH39" i="79"/>
  <c r="Q27" i="79"/>
  <c r="N24" i="78"/>
  <c r="M26" i="78"/>
  <c r="L26" i="78"/>
  <c r="I26" i="78"/>
  <c r="E26" i="78"/>
  <c r="H28" i="78"/>
  <c r="Q26" i="79"/>
  <c r="AA28" i="79" a="1"/>
  <c r="AA28" i="79" s="1"/>
  <c r="V30" i="79" a="1"/>
  <c r="V30" i="79" s="1"/>
  <c r="W30" i="79" s="1" a="1"/>
  <c r="W30" i="79" s="1"/>
  <c r="AB30" i="79" s="1" a="1"/>
  <c r="AB30" i="79" s="1"/>
  <c r="AH32" i="79"/>
  <c r="AB28" i="79" a="1"/>
  <c r="AB28" i="79" s="1"/>
  <c r="F28" i="78"/>
  <c r="L28" i="78"/>
  <c r="F31" i="78"/>
  <c r="J31" i="78"/>
  <c r="H27" i="78"/>
  <c r="M27" i="78"/>
  <c r="J26" i="79" a="1"/>
  <c r="J26" i="79" s="1"/>
  <c r="J27" i="79" a="1"/>
  <c r="J27" i="79" s="1"/>
  <c r="J28" i="79" a="1"/>
  <c r="J28" i="79" s="1"/>
  <c r="J29" i="79" a="1"/>
  <c r="J29" i="79" s="1"/>
  <c r="AH37" i="79"/>
  <c r="I31" i="78"/>
  <c r="N27" i="78"/>
  <c r="L26" i="79" a="1"/>
  <c r="L26" i="79" s="1"/>
  <c r="AF149" i="79"/>
  <c r="F128" i="79"/>
  <c r="G100" i="79"/>
  <c r="N124" i="78"/>
  <c r="O124" i="78" s="1"/>
  <c r="E25" i="78"/>
  <c r="K27" i="78"/>
  <c r="N28" i="78"/>
  <c r="F30" i="78"/>
  <c r="L32" i="78"/>
  <c r="L123" i="78"/>
  <c r="L121" i="78"/>
  <c r="H25" i="78"/>
  <c r="G29" i="78"/>
  <c r="E33" i="78"/>
  <c r="E30" i="78"/>
  <c r="G25" i="78"/>
  <c r="E24" i="78"/>
  <c r="F24" i="78"/>
  <c r="I25" i="78"/>
  <c r="J30" i="78"/>
  <c r="G24" i="78"/>
  <c r="J25" i="78"/>
  <c r="E28" i="78"/>
  <c r="H29" i="78"/>
  <c r="K30" i="78"/>
  <c r="N31" i="78"/>
  <c r="F33" i="78"/>
  <c r="I34" i="78"/>
  <c r="F25" i="78"/>
  <c r="G30" i="78"/>
  <c r="F29" i="78"/>
  <c r="H24" i="78"/>
  <c r="K25" i="78"/>
  <c r="I29" i="78"/>
  <c r="L30" i="78"/>
  <c r="I24" i="78"/>
  <c r="L25" i="78"/>
  <c r="J29" i="78"/>
  <c r="M30" i="78"/>
  <c r="E32" i="78"/>
  <c r="H33" i="78"/>
  <c r="J24" i="78"/>
  <c r="M25" i="78"/>
  <c r="E27" i="78"/>
  <c r="K29" i="78"/>
  <c r="G32" i="78"/>
  <c r="J33" i="78"/>
  <c r="M34" i="78"/>
  <c r="L24" i="78"/>
  <c r="G27" i="78"/>
  <c r="J28" i="78"/>
  <c r="M29" i="78"/>
  <c r="E31" i="78"/>
  <c r="H32" i="78"/>
  <c r="K33" i="78"/>
  <c r="N122" i="78"/>
  <c r="O122" i="78" s="1"/>
  <c r="E29" i="78"/>
  <c r="H30" i="78"/>
  <c r="I30" i="78"/>
  <c r="G33" i="78"/>
  <c r="F32" i="78"/>
  <c r="I33" i="78"/>
  <c r="K24" i="78"/>
  <c r="F27" i="78"/>
  <c r="I28" i="78"/>
  <c r="L29" i="78"/>
  <c r="I16" i="77"/>
  <c r="I15" i="77"/>
  <c r="I14" i="77"/>
  <c r="I13" i="77"/>
  <c r="I12" i="77"/>
  <c r="I11" i="77"/>
  <c r="I10" i="77"/>
  <c r="I9" i="77"/>
  <c r="I8" i="77"/>
  <c r="I7" i="77"/>
  <c r="E10" i="76" a="1"/>
  <c r="E10" i="76" s="1"/>
  <c r="E9" i="76" a="1"/>
  <c r="E9" i="76" s="1"/>
  <c r="I60" i="92" l="1"/>
  <c r="I128" i="91"/>
  <c r="I54" i="87"/>
  <c r="I18" i="92"/>
  <c r="J53" i="91"/>
  <c r="S73" i="87"/>
  <c r="J34" i="95"/>
  <c r="I550" i="112"/>
  <c r="L34" i="99" a="1"/>
  <c r="L34" i="99" s="1"/>
  <c r="V232" i="83" a="1"/>
  <c r="V232" i="83" s="1"/>
  <c r="X235" i="82" a="1"/>
  <c r="V133" i="79" a="1"/>
  <c r="E35" i="113" a="1"/>
  <c r="E35" i="113" s="1"/>
  <c r="I48" i="113" s="1"/>
  <c r="O35" i="113" a="1"/>
  <c r="O35" i="113" s="1"/>
  <c r="S48" i="113" s="1"/>
  <c r="J122" i="102" a="1"/>
  <c r="J122" i="102" s="1"/>
  <c r="J127" i="102" a="1"/>
  <c r="J127" i="102" s="1"/>
  <c r="T127" i="112" a="1"/>
  <c r="T127" i="112" s="1"/>
  <c r="T128" i="112" a="1"/>
  <c r="T128" i="112" s="1"/>
  <c r="AB122" i="112" a="1"/>
  <c r="AB122" i="112" s="1"/>
  <c r="J120" i="102" a="1"/>
  <c r="J120" i="102" s="1"/>
  <c r="G84" i="112" a="1"/>
  <c r="G84" i="112" s="1"/>
  <c r="J81" i="112" a="1"/>
  <c r="J81" i="112" s="1"/>
  <c r="G81" i="112" a="1"/>
  <c r="G81" i="112" s="1"/>
  <c r="G82" i="112" a="1"/>
  <c r="G82" i="112" s="1"/>
  <c r="AA241" i="112" a="1"/>
  <c r="AA241" i="112" s="1"/>
  <c r="AB124" i="112" a="1"/>
  <c r="AB124" i="112" s="1"/>
  <c r="J123" i="102" a="1"/>
  <c r="J123" i="102" s="1"/>
  <c r="AG221" i="112"/>
  <c r="AI221" i="112" s="1" a="1"/>
  <c r="AI221" i="112" s="1"/>
  <c r="AI223" i="112" a="1"/>
  <c r="AI223" i="112" s="1"/>
  <c r="V12" i="86"/>
  <c r="D19" i="88"/>
  <c r="F19" i="88" s="1" a="1"/>
  <c r="F19" i="88" s="1"/>
  <c r="F35" i="88" a="1"/>
  <c r="F35" i="88" s="1"/>
  <c r="F21" i="88" a="1"/>
  <c r="F21" i="88" s="1"/>
  <c r="F34" i="88" a="1"/>
  <c r="F34" i="88" s="1"/>
  <c r="F20" i="88" a="1"/>
  <c r="F20" i="88" s="1"/>
  <c r="F33" i="88" a="1"/>
  <c r="F33" i="88" s="1"/>
  <c r="F32" i="88" a="1"/>
  <c r="F32" i="88" s="1"/>
  <c r="F31" i="88" a="1"/>
  <c r="F31" i="88" s="1"/>
  <c r="F30" i="88" a="1"/>
  <c r="F30" i="88" s="1"/>
  <c r="F29" i="88" a="1"/>
  <c r="F29" i="88" s="1"/>
  <c r="F28" i="88" a="1"/>
  <c r="F28" i="88" s="1"/>
  <c r="F27" i="88" a="1"/>
  <c r="F27" i="88" s="1"/>
  <c r="F26" i="88" a="1"/>
  <c r="F26" i="88" s="1"/>
  <c r="F25" i="88" a="1"/>
  <c r="F25" i="88" s="1"/>
  <c r="F24" i="88" a="1"/>
  <c r="F24" i="88" s="1"/>
  <c r="F37" i="88" a="1"/>
  <c r="F37" i="88" s="1"/>
  <c r="F23" i="88" a="1"/>
  <c r="F23" i="88" s="1"/>
  <c r="F36" i="88" a="1"/>
  <c r="F36" i="88" s="1"/>
  <c r="F22" i="88" a="1"/>
  <c r="F22" i="88" s="1"/>
  <c r="F21" i="86"/>
  <c r="G21" i="86" s="1"/>
  <c r="H44" i="86"/>
  <c r="F20" i="86"/>
  <c r="H14" i="86"/>
  <c r="I14" i="86" s="1"/>
  <c r="H12" i="86"/>
  <c r="F31" i="86"/>
  <c r="G31" i="86" s="1"/>
  <c r="F22" i="86"/>
  <c r="G22" i="86" s="1"/>
  <c r="H16" i="86"/>
  <c r="I16" i="86" s="1"/>
  <c r="H43" i="86"/>
  <c r="H42" i="86"/>
  <c r="H13" i="86"/>
  <c r="I13" i="86" s="1"/>
  <c r="H15" i="86"/>
  <c r="I15" i="86" s="1"/>
  <c r="F33" i="86"/>
  <c r="G33" i="86" s="1"/>
  <c r="F32" i="86"/>
  <c r="G32" i="86" s="1"/>
  <c r="E22" i="72"/>
  <c r="AA244" i="112" a="1"/>
  <c r="AA244" i="112" s="1"/>
  <c r="AA238" i="112" a="1"/>
  <c r="AA238" i="112" s="1"/>
  <c r="J117" i="102" a="1"/>
  <c r="J117" i="102" s="1"/>
  <c r="G279" i="112" a="1"/>
  <c r="G279" i="112" s="1"/>
  <c r="W240" i="112" a="1"/>
  <c r="W240" i="112" s="1"/>
  <c r="AA243" i="112" a="1"/>
  <c r="AA243" i="112" s="1"/>
  <c r="AE245" i="112" a="1"/>
  <c r="AE245" i="112" s="1"/>
  <c r="AA237" i="112" a="1"/>
  <c r="AA237" i="112" s="1"/>
  <c r="K26" i="98" a="1"/>
  <c r="K26" i="98" s="1"/>
  <c r="G26" i="98" a="1"/>
  <c r="G26" i="98" s="1"/>
  <c r="H26" i="98" a="1"/>
  <c r="H26" i="98" s="1"/>
  <c r="K26" i="99"/>
  <c r="J26" i="99"/>
  <c r="I26" i="99"/>
  <c r="H26" i="99"/>
  <c r="G26" i="99"/>
  <c r="E116" i="102"/>
  <c r="J116" i="102" s="1" a="1"/>
  <c r="J116" i="102" s="1"/>
  <c r="J121" i="102" a="1"/>
  <c r="J121" i="102" s="1"/>
  <c r="J135" i="102" a="1"/>
  <c r="J135" i="102" s="1"/>
  <c r="J118" i="102" a="1"/>
  <c r="J118" i="102" s="1"/>
  <c r="J144" i="102" a="1"/>
  <c r="J144" i="102" s="1"/>
  <c r="J124" i="102" a="1"/>
  <c r="J124" i="102" s="1"/>
  <c r="J126" i="102" a="1"/>
  <c r="J126" i="102" s="1"/>
  <c r="J83" i="112" a="1"/>
  <c r="J83" i="112" s="1"/>
  <c r="G85" i="112" a="1"/>
  <c r="G85" i="112" s="1"/>
  <c r="AA239" i="112" a="1"/>
  <c r="AA239" i="112" s="1"/>
  <c r="U221" i="112"/>
  <c r="W229" i="112" a="1"/>
  <c r="W229" i="112" s="1"/>
  <c r="W228" i="112" a="1"/>
  <c r="W228" i="112" s="1"/>
  <c r="AB127" i="112" a="1"/>
  <c r="AB127" i="112" s="1"/>
  <c r="T126" i="112" a="1"/>
  <c r="T126" i="112" s="1"/>
  <c r="AB119" i="112" a="1"/>
  <c r="AB119" i="112" s="1"/>
  <c r="X123" i="112" a="1"/>
  <c r="X123" i="112" s="1"/>
  <c r="AE243" i="112" a="1"/>
  <c r="AE243" i="112" s="1"/>
  <c r="T120" i="112" a="1"/>
  <c r="T120" i="112" s="1"/>
  <c r="X126" i="112" a="1"/>
  <c r="X126" i="112" s="1"/>
  <c r="F126" i="112" s="1"/>
  <c r="I126" i="112" s="1" a="1"/>
  <c r="I126" i="112" s="1"/>
  <c r="AB123" i="112" a="1"/>
  <c r="AB123" i="112" s="1"/>
  <c r="J9" i="108" a="1"/>
  <c r="J9" i="108" s="1"/>
  <c r="J8" i="108" a="1"/>
  <c r="J8" i="108" s="1"/>
  <c r="H23" i="112" s="1" a="1"/>
  <c r="J28" i="112" s="1" a="1"/>
  <c r="J28" i="112" s="1"/>
  <c r="J84" i="112" a="1"/>
  <c r="J84" i="112" s="1"/>
  <c r="J85" i="112" a="1"/>
  <c r="J85" i="112" s="1"/>
  <c r="X124" i="112" a="1"/>
  <c r="X124" i="112" s="1"/>
  <c r="T123" i="112" a="1"/>
  <c r="T123" i="112" s="1"/>
  <c r="T122" i="112" a="1"/>
  <c r="T122" i="112" s="1"/>
  <c r="AH221" i="112" a="1"/>
  <c r="AH221" i="112" s="1"/>
  <c r="G86" i="112" a="1"/>
  <c r="G86" i="112" s="1"/>
  <c r="K37" i="99"/>
  <c r="J37" i="99"/>
  <c r="I37" i="99"/>
  <c r="H37" i="99"/>
  <c r="G37" i="99"/>
  <c r="L40" i="99" a="1"/>
  <c r="L40" i="99" s="1"/>
  <c r="AB128" i="112" a="1"/>
  <c r="AB128" i="112" s="1"/>
  <c r="J125" i="102" a="1"/>
  <c r="J125" i="102" s="1"/>
  <c r="S246" i="112" a="1"/>
  <c r="S246" i="112" s="1"/>
  <c r="K30" i="99"/>
  <c r="J30" i="99"/>
  <c r="I30" i="99"/>
  <c r="H30" i="99"/>
  <c r="G30" i="99"/>
  <c r="O30" i="99" s="1" a="1"/>
  <c r="O30" i="99" s="1"/>
  <c r="Q33" i="99" a="1"/>
  <c r="Q33" i="99" s="1"/>
  <c r="W239" i="112" a="1"/>
  <c r="W239" i="112" s="1"/>
  <c r="T125" i="112" a="1"/>
  <c r="T125" i="112" s="1"/>
  <c r="L33" i="99" a="1"/>
  <c r="L33" i="99" s="1"/>
  <c r="S238" i="112" a="1"/>
  <c r="S238" i="112" s="1"/>
  <c r="J87" i="112" a="1"/>
  <c r="J87" i="112" s="1"/>
  <c r="J86" i="112" a="1"/>
  <c r="J86" i="112" s="1"/>
  <c r="G79" i="112" a="1"/>
  <c r="G79" i="112" s="1"/>
  <c r="E90" i="112" s="1"/>
  <c r="AB121" i="112" a="1"/>
  <c r="AB121" i="112" s="1"/>
  <c r="F367" i="112"/>
  <c r="H371" i="112" a="1"/>
  <c r="H371" i="112" s="1"/>
  <c r="I26" i="98" a="1"/>
  <c r="I26" i="98" s="1"/>
  <c r="J119" i="102" a="1"/>
  <c r="J119" i="102" s="1"/>
  <c r="AE242" i="112" a="1"/>
  <c r="AE242" i="112" s="1"/>
  <c r="S245" i="112" a="1"/>
  <c r="S245" i="112" s="1"/>
  <c r="X120" i="112" a="1"/>
  <c r="X120" i="112" s="1"/>
  <c r="AE244" i="112" a="1"/>
  <c r="AE244" i="112" s="1"/>
  <c r="T119" i="112" a="1"/>
  <c r="T119" i="112" s="1"/>
  <c r="X119" i="112" a="1"/>
  <c r="X119" i="112" s="1"/>
  <c r="W245" i="112" a="1"/>
  <c r="W245" i="112" s="1"/>
  <c r="AE241" i="112" a="1"/>
  <c r="AE241" i="112" s="1"/>
  <c r="W238" i="112" a="1"/>
  <c r="W238" i="112" s="1"/>
  <c r="S240" i="112" a="1"/>
  <c r="S240" i="112" s="1"/>
  <c r="AE237" i="112" a="1"/>
  <c r="AE237" i="112" s="1"/>
  <c r="X125" i="112" a="1"/>
  <c r="X125" i="112" s="1"/>
  <c r="W246" i="112" a="1"/>
  <c r="W246" i="112" s="1"/>
  <c r="W242" i="112" a="1"/>
  <c r="W242" i="112" s="1"/>
  <c r="AA245" i="112" a="1"/>
  <c r="AA245" i="112" s="1"/>
  <c r="AE246" i="112" a="1"/>
  <c r="AE246" i="112" s="1"/>
  <c r="X127" i="112" a="1"/>
  <c r="X127" i="112" s="1"/>
  <c r="T121" i="112" a="1"/>
  <c r="T121" i="112" s="1"/>
  <c r="W244" i="112" a="1"/>
  <c r="W244" i="112" s="1"/>
  <c r="AE239" i="112" a="1"/>
  <c r="AE239" i="112" s="1"/>
  <c r="S243" i="112" a="1"/>
  <c r="S243" i="112" s="1"/>
  <c r="AB125" i="112" a="1"/>
  <c r="AB125" i="112" s="1"/>
  <c r="T124" i="112" a="1"/>
  <c r="T124" i="112" s="1"/>
  <c r="F124" i="112" s="1"/>
  <c r="I124" i="112" s="1" a="1"/>
  <c r="I124" i="112" s="1"/>
  <c r="S239" i="112" a="1"/>
  <c r="S239" i="112" s="1"/>
  <c r="AE238" i="112" a="1"/>
  <c r="AE238" i="112" s="1"/>
  <c r="X121" i="112" a="1"/>
  <c r="X121" i="112" s="1"/>
  <c r="AA246" i="112" a="1"/>
  <c r="AA246" i="112" s="1"/>
  <c r="AA242" i="112" a="1"/>
  <c r="AA242" i="112" s="1"/>
  <c r="W243" i="112" a="1"/>
  <c r="W243" i="112" s="1"/>
  <c r="S242" i="112" a="1"/>
  <c r="S242" i="112" s="1"/>
  <c r="X128" i="112" a="1"/>
  <c r="X128" i="112" s="1"/>
  <c r="X122" i="112" a="1"/>
  <c r="X122" i="112" s="1"/>
  <c r="O221" i="112" a="1"/>
  <c r="O221" i="112" s="1"/>
  <c r="AE240" i="112" a="1"/>
  <c r="AE240" i="112" s="1"/>
  <c r="AA240" i="112" a="1"/>
  <c r="AA240" i="112" s="1"/>
  <c r="AD221" i="112" a="1"/>
  <c r="AD221" i="112" s="1"/>
  <c r="V15" i="86"/>
  <c r="AL221" i="112" a="1"/>
  <c r="AL221" i="112" s="1"/>
  <c r="W241" i="112" a="1"/>
  <c r="W241" i="112" s="1"/>
  <c r="E59" i="102"/>
  <c r="H59" i="102" s="1" a="1"/>
  <c r="H59" i="102" s="1"/>
  <c r="H92" i="102" a="1"/>
  <c r="H92" i="102" s="1"/>
  <c r="H84" i="102" a="1"/>
  <c r="H84" i="102" s="1"/>
  <c r="H76" i="102" a="1"/>
  <c r="H76" i="102" s="1"/>
  <c r="H68" i="102" a="1"/>
  <c r="H68" i="102" s="1"/>
  <c r="H61" i="102" a="1"/>
  <c r="H61" i="102" s="1"/>
  <c r="H91" i="102" a="1"/>
  <c r="H91" i="102" s="1"/>
  <c r="H83" i="102" a="1"/>
  <c r="H83" i="102" s="1"/>
  <c r="H75" i="102" a="1"/>
  <c r="H75" i="102" s="1"/>
  <c r="H67" i="102" a="1"/>
  <c r="H67" i="102" s="1"/>
  <c r="H60" i="102" a="1"/>
  <c r="H60" i="102" s="1"/>
  <c r="H90" i="102" a="1"/>
  <c r="H90" i="102" s="1"/>
  <c r="H82" i="102" a="1"/>
  <c r="H82" i="102" s="1"/>
  <c r="H74" i="102" a="1"/>
  <c r="H74" i="102" s="1"/>
  <c r="H66" i="102" a="1"/>
  <c r="H66" i="102" s="1"/>
  <c r="H89" i="102" a="1"/>
  <c r="H89" i="102" s="1"/>
  <c r="H80" i="102" a="1"/>
  <c r="H80" i="102" s="1"/>
  <c r="H73" i="102" a="1"/>
  <c r="H73" i="102" s="1"/>
  <c r="H65" i="102" a="1"/>
  <c r="H65" i="102" s="1"/>
  <c r="H88" i="102" a="1"/>
  <c r="H88" i="102" s="1"/>
  <c r="H79" i="102" a="1"/>
  <c r="H79" i="102" s="1"/>
  <c r="H72" i="102" a="1"/>
  <c r="H72" i="102" s="1"/>
  <c r="H64" i="102" a="1"/>
  <c r="H64" i="102" s="1"/>
  <c r="H86" i="102" a="1"/>
  <c r="H86" i="102" s="1"/>
  <c r="H78" i="102" a="1"/>
  <c r="H78" i="102" s="1"/>
  <c r="H71" i="102" a="1"/>
  <c r="H71" i="102" s="1"/>
  <c r="H63" i="102" a="1"/>
  <c r="H63" i="102" s="1"/>
  <c r="H85" i="102" a="1"/>
  <c r="H85" i="102" s="1"/>
  <c r="H77" i="102" a="1"/>
  <c r="H77" i="102" s="1"/>
  <c r="H69" i="102" a="1"/>
  <c r="H69" i="102" s="1"/>
  <c r="H62" i="102" a="1"/>
  <c r="H62" i="102" s="1"/>
  <c r="V16" i="86"/>
  <c r="R221" i="112" a="1"/>
  <c r="R221" i="112" s="1"/>
  <c r="K29" i="99"/>
  <c r="J29" i="99"/>
  <c r="I29" i="99"/>
  <c r="H29" i="99"/>
  <c r="G29" i="99"/>
  <c r="D21" i="102"/>
  <c r="G182" i="102" a="1"/>
  <c r="G182" i="102" s="1"/>
  <c r="G164" i="102" a="1"/>
  <c r="G164" i="102" s="1"/>
  <c r="G130" i="102" a="1"/>
  <c r="G130" i="102" s="1"/>
  <c r="G181" i="102" a="1"/>
  <c r="G181" i="102" s="1"/>
  <c r="G173" i="102" a="1"/>
  <c r="G173" i="102" s="1"/>
  <c r="G129" i="102" a="1"/>
  <c r="G129" i="102" s="1"/>
  <c r="G121" i="102" a="1"/>
  <c r="G121" i="102" s="1"/>
  <c r="G51" i="102" a="1"/>
  <c r="G51" i="102" s="1"/>
  <c r="G42" i="102" a="1"/>
  <c r="G42" i="102" s="1"/>
  <c r="G35" i="102" a="1"/>
  <c r="G35" i="102" s="1"/>
  <c r="G27" i="102" a="1"/>
  <c r="G27" i="102" s="1"/>
  <c r="G180" i="102" a="1"/>
  <c r="G180" i="102" s="1"/>
  <c r="G172" i="102" a="1"/>
  <c r="G172" i="102" s="1"/>
  <c r="G163" i="102" a="1"/>
  <c r="G163" i="102" s="1"/>
  <c r="G137" i="102" a="1"/>
  <c r="G137" i="102" s="1"/>
  <c r="G128" i="102" a="1"/>
  <c r="G128" i="102" s="1"/>
  <c r="G171" i="102" a="1"/>
  <c r="G171" i="102" s="1"/>
  <c r="G149" i="102" a="1"/>
  <c r="G149" i="102" s="1"/>
  <c r="G120" i="102" a="1"/>
  <c r="G120" i="102" s="1"/>
  <c r="G50" i="102" a="1"/>
  <c r="G50" i="102" s="1"/>
  <c r="G41" i="102" a="1"/>
  <c r="G41" i="102" s="1"/>
  <c r="G34" i="102" a="1"/>
  <c r="G34" i="102" s="1"/>
  <c r="G26" i="102" a="1"/>
  <c r="G26" i="102" s="1"/>
  <c r="G170" i="102" a="1"/>
  <c r="G170" i="102" s="1"/>
  <c r="G162" i="102" a="1"/>
  <c r="G162" i="102" s="1"/>
  <c r="G148" i="102" a="1"/>
  <c r="G148" i="102" s="1"/>
  <c r="G136" i="102" a="1"/>
  <c r="G136" i="102" s="1"/>
  <c r="G178" i="102" a="1"/>
  <c r="G178" i="102" s="1"/>
  <c r="G169" i="102" a="1"/>
  <c r="G169" i="102" s="1"/>
  <c r="G147" i="102" a="1"/>
  <c r="G147" i="102" s="1"/>
  <c r="G126" i="102" a="1"/>
  <c r="G126" i="102" s="1"/>
  <c r="G119" i="102" a="1"/>
  <c r="G119" i="102" s="1"/>
  <c r="G48" i="102" a="1"/>
  <c r="G48" i="102" s="1"/>
  <c r="G40" i="102" a="1"/>
  <c r="G40" i="102" s="1"/>
  <c r="G33" i="102" a="1"/>
  <c r="G33" i="102" s="1"/>
  <c r="G25" i="102" a="1"/>
  <c r="G25" i="102" s="1"/>
  <c r="G190" i="102" a="1"/>
  <c r="G190" i="102" s="1"/>
  <c r="G161" i="102" a="1"/>
  <c r="G161" i="102" s="1"/>
  <c r="G146" i="102" a="1"/>
  <c r="G146" i="102" s="1"/>
  <c r="G135" i="102" a="1"/>
  <c r="G135" i="102" s="1"/>
  <c r="G189" i="102" a="1"/>
  <c r="G189" i="102" s="1"/>
  <c r="G177" i="102" a="1"/>
  <c r="G177" i="102" s="1"/>
  <c r="G145" i="102" a="1"/>
  <c r="G145" i="102" s="1"/>
  <c r="G125" i="102" a="1"/>
  <c r="G125" i="102" s="1"/>
  <c r="G118" i="102" a="1"/>
  <c r="G118" i="102" s="1"/>
  <c r="G47" i="102" a="1"/>
  <c r="G47" i="102" s="1"/>
  <c r="G39" i="102" a="1"/>
  <c r="G39" i="102" s="1"/>
  <c r="I39" i="102" s="1" a="1"/>
  <c r="I39" i="102" s="1"/>
  <c r="H134" i="102" s="1"/>
  <c r="I134" i="102" s="1"/>
  <c r="K134" i="102" s="1" a="1"/>
  <c r="K134" i="102" s="1"/>
  <c r="G31" i="102" a="1"/>
  <c r="G31" i="102" s="1"/>
  <c r="G24" i="102" a="1"/>
  <c r="G24" i="102" s="1"/>
  <c r="G188" i="102" a="1"/>
  <c r="G188" i="102" s="1"/>
  <c r="G167" i="102" a="1"/>
  <c r="G167" i="102" s="1"/>
  <c r="G160" i="102" a="1"/>
  <c r="G160" i="102" s="1"/>
  <c r="G134" i="102" a="1"/>
  <c r="G134" i="102" s="1"/>
  <c r="G187" i="102" a="1"/>
  <c r="G187" i="102" s="1"/>
  <c r="G176" i="102" a="1"/>
  <c r="G176" i="102" s="1"/>
  <c r="G143" i="102" a="1"/>
  <c r="G143" i="102" s="1"/>
  <c r="G124" i="102" a="1"/>
  <c r="G124" i="102" s="1"/>
  <c r="G117" i="102" a="1"/>
  <c r="G117" i="102" s="1"/>
  <c r="G54" i="102" a="1"/>
  <c r="G54" i="102" s="1"/>
  <c r="G46" i="102" a="1"/>
  <c r="G46" i="102" s="1"/>
  <c r="G38" i="102" a="1"/>
  <c r="G38" i="102" s="1"/>
  <c r="G30" i="102" a="1"/>
  <c r="G30" i="102" s="1"/>
  <c r="G23" i="102" a="1"/>
  <c r="G23" i="102" s="1"/>
  <c r="G186" i="102" a="1"/>
  <c r="G186" i="102" s="1"/>
  <c r="G166" i="102" a="1"/>
  <c r="G166" i="102" s="1"/>
  <c r="G159" i="102" a="1"/>
  <c r="G159" i="102" s="1"/>
  <c r="G142" i="102" a="1"/>
  <c r="G142" i="102" s="1"/>
  <c r="G133" i="102" a="1"/>
  <c r="G133" i="102" s="1"/>
  <c r="G175" i="102" a="1"/>
  <c r="G175" i="102" s="1"/>
  <c r="G141" i="102" a="1"/>
  <c r="G141" i="102" s="1"/>
  <c r="G123" i="102" a="1"/>
  <c r="G123" i="102" s="1"/>
  <c r="G53" i="102" a="1"/>
  <c r="G53" i="102" s="1"/>
  <c r="G45" i="102" a="1"/>
  <c r="G45" i="102" s="1"/>
  <c r="G37" i="102" a="1"/>
  <c r="G37" i="102" s="1"/>
  <c r="G29" i="102" a="1"/>
  <c r="G29" i="102" s="1"/>
  <c r="G22" i="102" a="1"/>
  <c r="G22" i="102" s="1"/>
  <c r="G184" i="102" a="1"/>
  <c r="G184" i="102" s="1"/>
  <c r="G165" i="102" a="1"/>
  <c r="G165" i="102" s="1"/>
  <c r="G158" i="102" a="1"/>
  <c r="G158" i="102" s="1"/>
  <c r="G140" i="102" a="1"/>
  <c r="G140" i="102" s="1"/>
  <c r="G132" i="102" a="1"/>
  <c r="G132" i="102" s="1"/>
  <c r="G183" i="102" a="1"/>
  <c r="G183" i="102" s="1"/>
  <c r="G174" i="102" a="1"/>
  <c r="G174" i="102" s="1"/>
  <c r="G139" i="102" a="1"/>
  <c r="G139" i="102" s="1"/>
  <c r="G131" i="102" a="1"/>
  <c r="G131" i="102" s="1"/>
  <c r="G122" i="102" a="1"/>
  <c r="G122" i="102" s="1"/>
  <c r="G52" i="102" a="1"/>
  <c r="G52" i="102" s="1"/>
  <c r="G44" i="102" a="1"/>
  <c r="G44" i="102" s="1"/>
  <c r="G36" i="102" a="1"/>
  <c r="G36" i="102" s="1"/>
  <c r="G28" i="102" a="1"/>
  <c r="G28" i="102" s="1"/>
  <c r="P221" i="112" a="1"/>
  <c r="P221" i="112" s="1"/>
  <c r="G36" i="99"/>
  <c r="K36" i="99"/>
  <c r="J36" i="99"/>
  <c r="I36" i="99"/>
  <c r="H36" i="99"/>
  <c r="G281" i="112" a="1"/>
  <c r="G281" i="112" s="1"/>
  <c r="H37" i="98" a="1"/>
  <c r="H37" i="98" s="1"/>
  <c r="G37" i="98" a="1"/>
  <c r="G37" i="98" s="1"/>
  <c r="O37" i="98" s="1" a="1"/>
  <c r="O37" i="98" s="1"/>
  <c r="Y221" i="112" a="1"/>
  <c r="K27" i="99"/>
  <c r="J27" i="99"/>
  <c r="I27" i="99"/>
  <c r="H27" i="99"/>
  <c r="G27" i="99"/>
  <c r="O50" i="87" a="1"/>
  <c r="AB120" i="112" a="1"/>
  <c r="AB120" i="112" s="1"/>
  <c r="AB126" i="112" a="1"/>
  <c r="AB126" i="112" s="1"/>
  <c r="J373" i="112" a="1"/>
  <c r="J373" i="112" s="1"/>
  <c r="I38" i="98" a="1"/>
  <c r="I38" i="98" s="1"/>
  <c r="J132" i="102" a="1"/>
  <c r="J132" i="102" s="1"/>
  <c r="D59" i="102"/>
  <c r="G59" i="102" s="1" a="1"/>
  <c r="G59" i="102" s="1"/>
  <c r="G92" i="102" a="1"/>
  <c r="G92" i="102" s="1"/>
  <c r="G84" i="102" a="1"/>
  <c r="G84" i="102" s="1"/>
  <c r="G76" i="102" a="1"/>
  <c r="G76" i="102" s="1"/>
  <c r="G68" i="102" a="1"/>
  <c r="G68" i="102" s="1"/>
  <c r="G61" i="102" a="1"/>
  <c r="G61" i="102" s="1"/>
  <c r="I61" i="102" s="1" a="1"/>
  <c r="I61" i="102" s="1"/>
  <c r="H159" i="102" s="1"/>
  <c r="I159" i="102" s="1"/>
  <c r="K159" i="102" s="1" a="1"/>
  <c r="K159" i="102" s="1"/>
  <c r="G91" i="102" a="1"/>
  <c r="G91" i="102" s="1"/>
  <c r="G83" i="102" a="1"/>
  <c r="G83" i="102" s="1"/>
  <c r="G75" i="102" a="1"/>
  <c r="G75" i="102" s="1"/>
  <c r="G67" i="102" a="1"/>
  <c r="G67" i="102" s="1"/>
  <c r="I67" i="102" s="1" a="1"/>
  <c r="I67" i="102" s="1"/>
  <c r="H165" i="102" s="1"/>
  <c r="I165" i="102" s="1"/>
  <c r="K165" i="102" s="1" a="1"/>
  <c r="K165" i="102" s="1"/>
  <c r="G60" i="102" a="1"/>
  <c r="G60" i="102" s="1"/>
  <c r="G90" i="102" a="1"/>
  <c r="G90" i="102" s="1"/>
  <c r="G82" i="102" a="1"/>
  <c r="G82" i="102" s="1"/>
  <c r="I82" i="102" s="1" a="1"/>
  <c r="I82" i="102" s="1"/>
  <c r="H180" i="102" s="1"/>
  <c r="G74" i="102" a="1"/>
  <c r="G74" i="102" s="1"/>
  <c r="G66" i="102" a="1"/>
  <c r="G66" i="102" s="1"/>
  <c r="G89" i="102" a="1"/>
  <c r="G89" i="102" s="1"/>
  <c r="I89" i="102" s="1" a="1"/>
  <c r="I89" i="102" s="1"/>
  <c r="H187" i="102" s="1"/>
  <c r="G80" i="102" a="1"/>
  <c r="G80" i="102" s="1"/>
  <c r="G73" i="102" a="1"/>
  <c r="G73" i="102" s="1"/>
  <c r="G65" i="102" a="1"/>
  <c r="G65" i="102" s="1"/>
  <c r="G88" i="102" a="1"/>
  <c r="G88" i="102" s="1"/>
  <c r="I88" i="102" s="1" a="1"/>
  <c r="I88" i="102" s="1"/>
  <c r="H186" i="102" s="1"/>
  <c r="G79" i="102" a="1"/>
  <c r="G79" i="102" s="1"/>
  <c r="I79" i="102" s="1" a="1"/>
  <c r="I79" i="102" s="1"/>
  <c r="H177" i="102" s="1"/>
  <c r="G72" i="102" a="1"/>
  <c r="G72" i="102" s="1"/>
  <c r="I72" i="102" s="1" a="1"/>
  <c r="I72" i="102" s="1"/>
  <c r="H170" i="102" s="1"/>
  <c r="G64" i="102" a="1"/>
  <c r="G64" i="102" s="1"/>
  <c r="G86" i="102" a="1"/>
  <c r="G86" i="102" s="1"/>
  <c r="G78" i="102" a="1"/>
  <c r="G78" i="102" s="1"/>
  <c r="G71" i="102" a="1"/>
  <c r="G71" i="102" s="1"/>
  <c r="G63" i="102" a="1"/>
  <c r="G63" i="102" s="1"/>
  <c r="G85" i="102" a="1"/>
  <c r="G85" i="102" s="1"/>
  <c r="I85" i="102" s="1" a="1"/>
  <c r="I85" i="102" s="1"/>
  <c r="H183" i="102" s="1"/>
  <c r="G77" i="102" a="1"/>
  <c r="G77" i="102" s="1"/>
  <c r="I77" i="102" s="1" a="1"/>
  <c r="I77" i="102" s="1"/>
  <c r="H175" i="102" s="1"/>
  <c r="G69" i="102" a="1"/>
  <c r="G69" i="102" s="1"/>
  <c r="I69" i="102" s="1" a="1"/>
  <c r="I69" i="102" s="1"/>
  <c r="H167" i="102" s="1"/>
  <c r="I167" i="102" s="1"/>
  <c r="K167" i="102" s="1" a="1"/>
  <c r="K167" i="102" s="1"/>
  <c r="G62" i="102" a="1"/>
  <c r="G62" i="102" s="1"/>
  <c r="I62" i="102" s="1" a="1"/>
  <c r="I62" i="102" s="1"/>
  <c r="H160" i="102" s="1"/>
  <c r="J136" i="102" a="1"/>
  <c r="J136" i="102" s="1"/>
  <c r="AC221" i="112" a="1"/>
  <c r="G273" i="112" a="1"/>
  <c r="G273" i="112" s="1"/>
  <c r="K38" i="99"/>
  <c r="J38" i="99"/>
  <c r="I38" i="99"/>
  <c r="H38" i="99"/>
  <c r="G38" i="99"/>
  <c r="F107" i="91" a="1"/>
  <c r="F107" i="91" s="1"/>
  <c r="E139" i="91" s="1"/>
  <c r="E21" i="102"/>
  <c r="H21" i="102" s="1" a="1"/>
  <c r="H21" i="102" s="1"/>
  <c r="H51" i="102" a="1"/>
  <c r="H51" i="102" s="1"/>
  <c r="H42" i="102" a="1"/>
  <c r="H42" i="102" s="1"/>
  <c r="H35" i="102" a="1"/>
  <c r="H35" i="102" s="1"/>
  <c r="I35" i="102" s="1" a="1"/>
  <c r="I35" i="102" s="1"/>
  <c r="H130" i="102" s="1"/>
  <c r="H27" i="102" a="1"/>
  <c r="H27" i="102" s="1"/>
  <c r="H50" i="102" a="1"/>
  <c r="H50" i="102" s="1"/>
  <c r="H41" i="102" a="1"/>
  <c r="H41" i="102" s="1"/>
  <c r="H34" i="102" a="1"/>
  <c r="H34" i="102" s="1"/>
  <c r="H26" i="102" a="1"/>
  <c r="H26" i="102" s="1"/>
  <c r="H48" i="102" a="1"/>
  <c r="H48" i="102" s="1"/>
  <c r="H40" i="102" a="1"/>
  <c r="H40" i="102" s="1"/>
  <c r="H33" i="102" a="1"/>
  <c r="H33" i="102" s="1"/>
  <c r="H25" i="102" a="1"/>
  <c r="H25" i="102" s="1"/>
  <c r="H47" i="102" a="1"/>
  <c r="H47" i="102" s="1"/>
  <c r="H39" i="102" a="1"/>
  <c r="H39" i="102" s="1"/>
  <c r="H31" i="102" a="1"/>
  <c r="H31" i="102" s="1"/>
  <c r="H24" i="102" a="1"/>
  <c r="H24" i="102" s="1"/>
  <c r="H54" i="102" a="1"/>
  <c r="H54" i="102" s="1"/>
  <c r="I54" i="102" s="1" a="1"/>
  <c r="I54" i="102" s="1"/>
  <c r="H149" i="102" s="1"/>
  <c r="H46" i="102" a="1"/>
  <c r="H46" i="102" s="1"/>
  <c r="H38" i="102" a="1"/>
  <c r="H38" i="102" s="1"/>
  <c r="H30" i="102" a="1"/>
  <c r="H30" i="102" s="1"/>
  <c r="H23" i="102" a="1"/>
  <c r="H23" i="102" s="1"/>
  <c r="I23" i="102" s="1" a="1"/>
  <c r="I23" i="102" s="1"/>
  <c r="H118" i="102" s="1"/>
  <c r="I118" i="102" s="1"/>
  <c r="K118" i="102" s="1" a="1"/>
  <c r="K118" i="102" s="1"/>
  <c r="H53" i="102" a="1"/>
  <c r="H53" i="102" s="1"/>
  <c r="H45" i="102" a="1"/>
  <c r="H45" i="102" s="1"/>
  <c r="H37" i="102" a="1"/>
  <c r="H37" i="102" s="1"/>
  <c r="H29" i="102" a="1"/>
  <c r="H29" i="102" s="1"/>
  <c r="H22" i="102" a="1"/>
  <c r="H22" i="102" s="1"/>
  <c r="H52" i="102" a="1"/>
  <c r="H52" i="102" s="1"/>
  <c r="H44" i="102" a="1"/>
  <c r="H44" i="102" s="1"/>
  <c r="H36" i="102" a="1"/>
  <c r="H36" i="102" s="1"/>
  <c r="H28" i="102" a="1"/>
  <c r="H28" i="102" s="1"/>
  <c r="J158" i="102" a="1"/>
  <c r="J158" i="102" s="1"/>
  <c r="J134" i="102" a="1"/>
  <c r="J134" i="102" s="1"/>
  <c r="J162" i="102" a="1"/>
  <c r="J162" i="102" s="1"/>
  <c r="G280" i="112" a="1"/>
  <c r="G280" i="112" s="1"/>
  <c r="K31" i="99"/>
  <c r="J31" i="99"/>
  <c r="I31" i="99"/>
  <c r="H31" i="99"/>
  <c r="G31" i="99"/>
  <c r="K33" i="99"/>
  <c r="J33" i="99"/>
  <c r="I33" i="99"/>
  <c r="H33" i="99"/>
  <c r="G33" i="99"/>
  <c r="G38" i="98" a="1"/>
  <c r="G38" i="98" s="1"/>
  <c r="N38" i="98" s="1" a="1"/>
  <c r="N38" i="98" s="1"/>
  <c r="Q221" i="112" a="1"/>
  <c r="K34" i="99"/>
  <c r="Q34" i="99" s="1" a="1"/>
  <c r="Q34" i="99" s="1"/>
  <c r="J34" i="99"/>
  <c r="I34" i="99"/>
  <c r="H34" i="99"/>
  <c r="G34" i="99"/>
  <c r="P34" i="99" s="1" a="1"/>
  <c r="P34" i="99" s="1"/>
  <c r="F270" i="112" a="1"/>
  <c r="F270" i="112" s="1"/>
  <c r="E270" i="112"/>
  <c r="D19" i="87"/>
  <c r="F19" i="87" s="1" a="1"/>
  <c r="F19" i="87" s="1"/>
  <c r="F29" i="87" a="1"/>
  <c r="F29" i="87" s="1"/>
  <c r="F28" i="87" a="1"/>
  <c r="F28" i="87" s="1"/>
  <c r="F27" i="87" a="1"/>
  <c r="F27" i="87" s="1"/>
  <c r="F26" i="87" a="1"/>
  <c r="F26" i="87" s="1"/>
  <c r="F25" i="87" a="1"/>
  <c r="F25" i="87" s="1"/>
  <c r="F24" i="87" a="1"/>
  <c r="F24" i="87" s="1"/>
  <c r="F37" i="87" a="1"/>
  <c r="F37" i="87" s="1"/>
  <c r="F23" i="87" a="1"/>
  <c r="F23" i="87" s="1"/>
  <c r="F36" i="87" a="1"/>
  <c r="F36" i="87" s="1"/>
  <c r="F22" i="87" a="1"/>
  <c r="F22" i="87" s="1"/>
  <c r="F35" i="87" a="1"/>
  <c r="F35" i="87" s="1"/>
  <c r="F21" i="87" a="1"/>
  <c r="F21" i="87" s="1"/>
  <c r="F34" i="87" a="1"/>
  <c r="F34" i="87" s="1"/>
  <c r="F20" i="87" a="1"/>
  <c r="F20" i="87" s="1"/>
  <c r="F33" i="87" a="1"/>
  <c r="F33" i="87" s="1"/>
  <c r="F32" i="87" a="1"/>
  <c r="F32" i="87" s="1"/>
  <c r="F31" i="87" a="1"/>
  <c r="F31" i="87" s="1"/>
  <c r="F30" i="87" a="1"/>
  <c r="F30" i="87" s="1"/>
  <c r="K35" i="99"/>
  <c r="J35" i="99"/>
  <c r="I35" i="99"/>
  <c r="H35" i="99"/>
  <c r="G35" i="99"/>
  <c r="P35" i="99" s="1" a="1"/>
  <c r="P35" i="99" s="1"/>
  <c r="J38" i="98" a="1"/>
  <c r="J38" i="98" s="1"/>
  <c r="J133" i="102" a="1"/>
  <c r="J133" i="102" s="1"/>
  <c r="J177" i="102" a="1"/>
  <c r="J177" i="102" s="1"/>
  <c r="J163" i="102" a="1"/>
  <c r="J163" i="102" s="1"/>
  <c r="V221" i="112" a="1"/>
  <c r="V221" i="112" s="1"/>
  <c r="F108" i="91" a="1"/>
  <c r="F108" i="91" s="1"/>
  <c r="E140" i="91" s="1"/>
  <c r="G275" i="112" a="1"/>
  <c r="G275" i="112" s="1"/>
  <c r="W237" i="112" a="1"/>
  <c r="W237" i="112" s="1"/>
  <c r="S237" i="112" a="1"/>
  <c r="S237" i="112" s="1"/>
  <c r="F237" i="112" s="1" a="1"/>
  <c r="F237" i="112" s="1"/>
  <c r="J28" i="99"/>
  <c r="I28" i="99"/>
  <c r="H28" i="99"/>
  <c r="G28" i="99"/>
  <c r="Q28" i="99" s="1" a="1"/>
  <c r="Q28" i="99" s="1"/>
  <c r="K28" i="99"/>
  <c r="E20" i="104"/>
  <c r="T14" i="105"/>
  <c r="J159" i="102" a="1"/>
  <c r="J159" i="102" s="1"/>
  <c r="V13" i="86"/>
  <c r="K32" i="99"/>
  <c r="J32" i="99"/>
  <c r="I32" i="99"/>
  <c r="H32" i="99"/>
  <c r="G32" i="99"/>
  <c r="O32" i="99" s="1" a="1"/>
  <c r="O32" i="99" s="1"/>
  <c r="D19" i="91"/>
  <c r="F19" i="91" s="1" a="1"/>
  <c r="F19" i="91" s="1"/>
  <c r="G19" i="91" s="1" a="1"/>
  <c r="G19" i="91" s="1"/>
  <c r="F36" i="91" a="1"/>
  <c r="F36" i="91" s="1"/>
  <c r="G36" i="91" s="1" a="1"/>
  <c r="G36" i="91" s="1"/>
  <c r="F29" i="91" a="1"/>
  <c r="F29" i="91" s="1"/>
  <c r="G29" i="91" s="1" a="1"/>
  <c r="G29" i="91" s="1"/>
  <c r="F22" i="91" a="1"/>
  <c r="F22" i="91" s="1"/>
  <c r="G22" i="91" s="1" a="1"/>
  <c r="G22" i="91" s="1"/>
  <c r="F35" i="91" a="1"/>
  <c r="F35" i="91" s="1"/>
  <c r="G35" i="91" s="1" a="1"/>
  <c r="G35" i="91" s="1"/>
  <c r="F28" i="91" a="1"/>
  <c r="F28" i="91" s="1"/>
  <c r="G28" i="91" s="1" a="1"/>
  <c r="G28" i="91" s="1"/>
  <c r="F21" i="91" a="1"/>
  <c r="F21" i="91" s="1"/>
  <c r="G21" i="91" s="1" a="1"/>
  <c r="G21" i="91" s="1"/>
  <c r="F34" i="91" a="1"/>
  <c r="F34" i="91" s="1"/>
  <c r="G34" i="91" s="1" a="1"/>
  <c r="G34" i="91" s="1"/>
  <c r="F27" i="91" a="1"/>
  <c r="F27" i="91" s="1"/>
  <c r="G27" i="91" s="1" a="1"/>
  <c r="G27" i="91" s="1"/>
  <c r="F20" i="91" a="1"/>
  <c r="F20" i="91" s="1"/>
  <c r="G20" i="91" s="1" a="1"/>
  <c r="G20" i="91" s="1"/>
  <c r="F33" i="91" a="1"/>
  <c r="F33" i="91" s="1"/>
  <c r="G33" i="91" s="1" a="1"/>
  <c r="G33" i="91" s="1"/>
  <c r="F26" i="91" a="1"/>
  <c r="F26" i="91" s="1"/>
  <c r="G26" i="91" s="1" a="1"/>
  <c r="G26" i="91" s="1"/>
  <c r="F32" i="91" a="1"/>
  <c r="F32" i="91" s="1"/>
  <c r="G32" i="91" s="1" a="1"/>
  <c r="G32" i="91" s="1"/>
  <c r="F25" i="91" a="1"/>
  <c r="F25" i="91" s="1"/>
  <c r="G25" i="91" s="1" a="1"/>
  <c r="G25" i="91" s="1"/>
  <c r="F31" i="91" a="1"/>
  <c r="F31" i="91" s="1"/>
  <c r="G31" i="91" s="1" a="1"/>
  <c r="G31" i="91" s="1"/>
  <c r="F24" i="91" a="1"/>
  <c r="F24" i="91" s="1"/>
  <c r="G24" i="91" s="1" a="1"/>
  <c r="G24" i="91" s="1"/>
  <c r="F37" i="91" a="1"/>
  <c r="F37" i="91" s="1"/>
  <c r="G37" i="91" s="1" a="1"/>
  <c r="G37" i="91" s="1"/>
  <c r="F30" i="91" a="1"/>
  <c r="F30" i="91" s="1"/>
  <c r="G30" i="91" s="1" a="1"/>
  <c r="G30" i="91" s="1"/>
  <c r="F23" i="91" a="1"/>
  <c r="F23" i="91" s="1"/>
  <c r="G23" i="91" s="1" a="1"/>
  <c r="G23" i="91" s="1"/>
  <c r="J166" i="102" a="1"/>
  <c r="J166" i="102" s="1"/>
  <c r="J161" i="102" a="1"/>
  <c r="J161" i="102" s="1"/>
  <c r="J138" i="102" a="1"/>
  <c r="J138" i="102" s="1"/>
  <c r="Z221" i="112" a="1"/>
  <c r="Z221" i="112" s="1"/>
  <c r="AK221" i="112" a="1"/>
  <c r="G276" i="112" a="1"/>
  <c r="G276" i="112" s="1"/>
  <c r="I25" i="99"/>
  <c r="H25" i="99"/>
  <c r="G25" i="99"/>
  <c r="N25" i="99" s="1" a="1"/>
  <c r="N25" i="99" s="1"/>
  <c r="K25" i="99"/>
  <c r="J25" i="99"/>
  <c r="AC188" i="83" a="1"/>
  <c r="AC188" i="83" s="1"/>
  <c r="Y188" i="83" a="1"/>
  <c r="Y188" i="83" s="1"/>
  <c r="W188" i="83" a="1"/>
  <c r="W188" i="83" s="1"/>
  <c r="AC190" i="83" a="1"/>
  <c r="AC190" i="83" s="1"/>
  <c r="Y190" i="83" a="1"/>
  <c r="Y190" i="83" s="1"/>
  <c r="W190" i="83" a="1"/>
  <c r="W190" i="83" s="1"/>
  <c r="AC182" i="83" a="1"/>
  <c r="AC182" i="83" s="1"/>
  <c r="Y182" i="83" a="1"/>
  <c r="Y182" i="83" s="1"/>
  <c r="W182" i="83" a="1"/>
  <c r="W182" i="83" s="1"/>
  <c r="AC187" i="83" a="1"/>
  <c r="AC187" i="83" s="1"/>
  <c r="Y187" i="83" a="1"/>
  <c r="Y187" i="83" s="1"/>
  <c r="W187" i="83" a="1"/>
  <c r="W187" i="83" s="1"/>
  <c r="AC181" i="83" a="1"/>
  <c r="AC181" i="83" s="1"/>
  <c r="Y181" i="83" a="1"/>
  <c r="Y181" i="83" s="1"/>
  <c r="W181" i="83" a="1"/>
  <c r="W181" i="83" s="1"/>
  <c r="W189" i="83" a="1"/>
  <c r="W189" i="83" s="1"/>
  <c r="Y189" i="83" a="1"/>
  <c r="Y189" i="83" s="1"/>
  <c r="AC189" i="83" a="1"/>
  <c r="AC189" i="83" s="1"/>
  <c r="Y184" i="83" a="1"/>
  <c r="Y184" i="83" s="1"/>
  <c r="W184" i="83" a="1"/>
  <c r="W184" i="83" s="1"/>
  <c r="AC184" i="83" a="1"/>
  <c r="AC184" i="83" s="1"/>
  <c r="AC186" i="83" a="1"/>
  <c r="AC186" i="83" s="1"/>
  <c r="Y186" i="83" a="1"/>
  <c r="Y186" i="83" s="1"/>
  <c r="W186" i="83" a="1"/>
  <c r="W186" i="83" s="1"/>
  <c r="AC191" i="83" a="1"/>
  <c r="AC191" i="83" s="1"/>
  <c r="Y191" i="83" a="1"/>
  <c r="Y191" i="83" s="1"/>
  <c r="W191" i="83" a="1"/>
  <c r="W191" i="83" s="1"/>
  <c r="W180" i="83" a="1"/>
  <c r="W180" i="83" s="1"/>
  <c r="AC180" i="83" a="1"/>
  <c r="AC180" i="83" s="1"/>
  <c r="Y180" i="83" a="1"/>
  <c r="Y180" i="83" s="1"/>
  <c r="AC183" i="83" a="1"/>
  <c r="AC183" i="83" s="1"/>
  <c r="Y183" i="83" a="1"/>
  <c r="Y183" i="83" s="1"/>
  <c r="W183" i="83" a="1"/>
  <c r="W183" i="83" s="1"/>
  <c r="AC185" i="83" a="1"/>
  <c r="AC185" i="83" s="1"/>
  <c r="Y185" i="83" a="1"/>
  <c r="Y185" i="83" s="1"/>
  <c r="W185" i="83" a="1"/>
  <c r="W185" i="83" s="1"/>
  <c r="E166" i="112"/>
  <c r="Q27" i="99" a="1"/>
  <c r="Q27" i="99" s="1"/>
  <c r="Q26" i="99" a="1"/>
  <c r="Q26" i="99" s="1"/>
  <c r="P37" i="98" a="1"/>
  <c r="P37" i="98" s="1"/>
  <c r="O39" i="98" a="1"/>
  <c r="O39" i="98" s="1"/>
  <c r="N34" i="98" a="1"/>
  <c r="N34" i="98" s="1"/>
  <c r="Q33" i="98" a="1"/>
  <c r="Q33" i="98" s="1"/>
  <c r="E52" i="98" s="1"/>
  <c r="N33" i="98" a="1"/>
  <c r="N33" i="98" s="1"/>
  <c r="E49" i="98" s="1"/>
  <c r="O33" i="98" a="1"/>
  <c r="O33" i="98" s="1"/>
  <c r="E50" i="98" s="1"/>
  <c r="J95" i="83" a="1"/>
  <c r="J95" i="83" s="1"/>
  <c r="F125" i="112"/>
  <c r="G125" i="112" s="1" a="1"/>
  <c r="G125" i="112" s="1"/>
  <c r="E483" i="112"/>
  <c r="F245" i="112" a="1"/>
  <c r="F245" i="112" s="1"/>
  <c r="E473" i="112"/>
  <c r="E142" i="112"/>
  <c r="F127" i="112"/>
  <c r="I127" i="112" s="1" a="1"/>
  <c r="I127" i="112" s="1"/>
  <c r="E91" i="112"/>
  <c r="E621" i="112"/>
  <c r="F120" i="112"/>
  <c r="G120" i="112" s="1" a="1"/>
  <c r="G120" i="112" s="1"/>
  <c r="E141" i="112"/>
  <c r="E35" i="112"/>
  <c r="F246" i="112" a="1"/>
  <c r="F246" i="112" s="1"/>
  <c r="E348" i="112"/>
  <c r="E472" i="112"/>
  <c r="J32" i="112" a="1"/>
  <c r="J32" i="112" s="1"/>
  <c r="E73" i="112"/>
  <c r="J42" i="112" a="1"/>
  <c r="J42" i="112" s="1"/>
  <c r="E54" i="112" s="1"/>
  <c r="G42" i="112" a="1"/>
  <c r="G42" i="112" s="1"/>
  <c r="E53" i="112" s="1"/>
  <c r="J457" i="112" a="1"/>
  <c r="J457" i="112" s="1"/>
  <c r="H457" i="112" a="1"/>
  <c r="H457" i="112" s="1"/>
  <c r="E502" i="112"/>
  <c r="F238" i="112" a="1"/>
  <c r="F238" i="112" s="1"/>
  <c r="F244" i="112" a="1"/>
  <c r="F244" i="112" s="1"/>
  <c r="F243" i="112" a="1"/>
  <c r="F243" i="112" s="1"/>
  <c r="E639" i="112"/>
  <c r="H430" i="112" a="1"/>
  <c r="H430" i="112" s="1"/>
  <c r="E72" i="112"/>
  <c r="H437" i="112" a="1"/>
  <c r="H437" i="112" s="1"/>
  <c r="J437" i="112" a="1"/>
  <c r="J437" i="112" s="1"/>
  <c r="H456" i="112" a="1"/>
  <c r="H456" i="112" s="1"/>
  <c r="J456" i="112" a="1"/>
  <c r="J456" i="112" s="1"/>
  <c r="I119" i="112" a="1"/>
  <c r="I119" i="112" s="1"/>
  <c r="F241" i="112" a="1"/>
  <c r="F241" i="112" s="1"/>
  <c r="H438" i="112" a="1"/>
  <c r="H438" i="112" s="1"/>
  <c r="J438" i="112" a="1"/>
  <c r="J438" i="112" s="1"/>
  <c r="J436" i="112" a="1"/>
  <c r="J436" i="112" s="1"/>
  <c r="H436" i="112" a="1"/>
  <c r="H436" i="112" s="1"/>
  <c r="F242" i="112" a="1"/>
  <c r="F242" i="112" s="1"/>
  <c r="F128" i="112"/>
  <c r="H448" i="112" a="1"/>
  <c r="H448" i="112" s="1"/>
  <c r="J439" i="112" a="1"/>
  <c r="J439" i="112" s="1"/>
  <c r="H439" i="112" a="1"/>
  <c r="H439" i="112" s="1"/>
  <c r="J455" i="112" a="1"/>
  <c r="J455" i="112" s="1"/>
  <c r="H455" i="112" a="1"/>
  <c r="H455" i="112" s="1"/>
  <c r="F119" i="112"/>
  <c r="G119" i="112" s="1" a="1"/>
  <c r="G119" i="112" s="1"/>
  <c r="J454" i="112" a="1"/>
  <c r="J454" i="112" s="1"/>
  <c r="H454" i="112" a="1"/>
  <c r="H454" i="112" s="1"/>
  <c r="E21" i="105" a="1"/>
  <c r="E21" i="105" s="1"/>
  <c r="I48" i="102" a="1"/>
  <c r="I48" i="102" s="1"/>
  <c r="H143" i="102" s="1"/>
  <c r="I30" i="102" a="1"/>
  <c r="I30" i="102" s="1"/>
  <c r="H125" i="102" s="1"/>
  <c r="I125" i="102" s="1"/>
  <c r="K125" i="102" s="1" a="1"/>
  <c r="K125" i="102" s="1"/>
  <c r="O21" i="105" a="1"/>
  <c r="O21" i="105" s="1"/>
  <c r="I38" i="102" a="1"/>
  <c r="I38" i="102" s="1"/>
  <c r="H133" i="102" s="1"/>
  <c r="I133" i="102" s="1"/>
  <c r="K133" i="102" s="1" a="1"/>
  <c r="K133" i="102" s="1"/>
  <c r="I92" i="102" a="1"/>
  <c r="I92" i="102" s="1"/>
  <c r="H190" i="102" s="1"/>
  <c r="I75" i="102" a="1"/>
  <c r="I75" i="102" s="1"/>
  <c r="H173" i="102" s="1"/>
  <c r="I173" i="102" s="1"/>
  <c r="K173" i="102" s="1" a="1"/>
  <c r="K173" i="102" s="1"/>
  <c r="I66" i="102" a="1"/>
  <c r="I66" i="102" s="1"/>
  <c r="H164" i="102" s="1"/>
  <c r="I164" i="102" s="1"/>
  <c r="K164" i="102" s="1" a="1"/>
  <c r="K164" i="102" s="1"/>
  <c r="I25" i="102" a="1"/>
  <c r="I25" i="102" s="1"/>
  <c r="H120" i="102" s="1"/>
  <c r="I37" i="102" a="1"/>
  <c r="I37" i="102" s="1"/>
  <c r="H132" i="102" s="1"/>
  <c r="I132" i="102" s="1"/>
  <c r="K132" i="102" s="1" a="1"/>
  <c r="K132" i="102" s="1"/>
  <c r="I50" i="102" a="1"/>
  <c r="I50" i="102" s="1"/>
  <c r="H145" i="102" s="1"/>
  <c r="I177" i="102"/>
  <c r="I29" i="102" a="1"/>
  <c r="I29" i="102" s="1"/>
  <c r="H124" i="102" s="1"/>
  <c r="I60" i="102" a="1"/>
  <c r="I60" i="102" s="1"/>
  <c r="H158" i="102" s="1"/>
  <c r="I158" i="102" s="1"/>
  <c r="I22" i="102" a="1"/>
  <c r="I22" i="102" s="1"/>
  <c r="H117" i="102" s="1"/>
  <c r="I117" i="102" s="1"/>
  <c r="K117" i="102" s="1" a="1"/>
  <c r="K117" i="102" s="1"/>
  <c r="I52" i="102" a="1"/>
  <c r="I52" i="102" s="1"/>
  <c r="H147" i="102" s="1"/>
  <c r="I40" i="102" a="1"/>
  <c r="I40" i="102" s="1"/>
  <c r="H135" i="102" s="1"/>
  <c r="I135" i="102" s="1"/>
  <c r="K135" i="102" s="1" a="1"/>
  <c r="K135" i="102" s="1"/>
  <c r="I68" i="102" a="1"/>
  <c r="I68" i="102" s="1"/>
  <c r="H166" i="102" s="1"/>
  <c r="I166" i="102" s="1"/>
  <c r="K166" i="102" s="1" a="1"/>
  <c r="K166" i="102" s="1"/>
  <c r="I71" i="102" a="1"/>
  <c r="I71" i="102" s="1"/>
  <c r="H169" i="102" s="1"/>
  <c r="I59" i="102" a="1"/>
  <c r="I59" i="102" s="1"/>
  <c r="H157" i="102" s="1"/>
  <c r="I27" i="102" a="1"/>
  <c r="I27" i="102" s="1"/>
  <c r="H122" i="102" s="1"/>
  <c r="I122" i="102" s="1"/>
  <c r="K122" i="102" s="1" a="1"/>
  <c r="K122" i="102" s="1"/>
  <c r="I31" i="102" a="1"/>
  <c r="I31" i="102" s="1"/>
  <c r="H126" i="102" s="1"/>
  <c r="I126" i="102" s="1"/>
  <c r="K126" i="102" s="1" a="1"/>
  <c r="K126" i="102" s="1"/>
  <c r="I74" i="102" a="1"/>
  <c r="I74" i="102" s="1"/>
  <c r="H172" i="102" s="1"/>
  <c r="I84" i="102" a="1"/>
  <c r="I84" i="102" s="1"/>
  <c r="H182" i="102" s="1"/>
  <c r="I86" i="102" a="1"/>
  <c r="I86" i="102" s="1"/>
  <c r="H184" i="102" s="1"/>
  <c r="I24" i="102" a="1"/>
  <c r="I24" i="102" s="1"/>
  <c r="H119" i="102" s="1"/>
  <c r="I119" i="102" s="1"/>
  <c r="K119" i="102" s="1" a="1"/>
  <c r="K119" i="102" s="1"/>
  <c r="I41" i="102" a="1"/>
  <c r="I41" i="102" s="1"/>
  <c r="H136" i="102" s="1"/>
  <c r="I136" i="102" s="1"/>
  <c r="K136" i="102" s="1" a="1"/>
  <c r="K136" i="102" s="1"/>
  <c r="I175" i="102"/>
  <c r="K175" i="102" s="1" a="1"/>
  <c r="K175" i="102" s="1"/>
  <c r="I76" i="102" a="1"/>
  <c r="I76" i="102" s="1"/>
  <c r="H174" i="102" s="1"/>
  <c r="I174" i="102" s="1"/>
  <c r="K174" i="102" s="1" a="1"/>
  <c r="K174" i="102" s="1"/>
  <c r="I78" i="102" a="1"/>
  <c r="I78" i="102" s="1"/>
  <c r="H176" i="102" s="1"/>
  <c r="I176" i="102" s="1"/>
  <c r="K176" i="102" s="1" a="1"/>
  <c r="K176" i="102" s="1"/>
  <c r="I34" i="102" a="1"/>
  <c r="I34" i="102" s="1"/>
  <c r="H129" i="102" s="1"/>
  <c r="I44" i="102" a="1"/>
  <c r="I44" i="102" s="1"/>
  <c r="H139" i="102" s="1"/>
  <c r="I26" i="102" a="1"/>
  <c r="I26" i="102" s="1"/>
  <c r="H121" i="102" s="1"/>
  <c r="I121" i="102" s="1"/>
  <c r="K121" i="102" s="1" a="1"/>
  <c r="K121" i="102" s="1"/>
  <c r="I33" i="102" a="1"/>
  <c r="I33" i="102" s="1"/>
  <c r="H128" i="102" s="1"/>
  <c r="I80" i="102" a="1"/>
  <c r="I80" i="102" s="1"/>
  <c r="H178" i="102" s="1"/>
  <c r="I178" i="102" s="1"/>
  <c r="K178" i="102" s="1" a="1"/>
  <c r="K178" i="102" s="1"/>
  <c r="I91" i="102" a="1"/>
  <c r="I91" i="102" s="1"/>
  <c r="H189" i="102" s="1"/>
  <c r="I36" i="102" a="1"/>
  <c r="I36" i="102" s="1"/>
  <c r="H131" i="102" s="1"/>
  <c r="I42" i="102" a="1"/>
  <c r="I42" i="102" s="1"/>
  <c r="H137" i="102" s="1"/>
  <c r="I160" i="102"/>
  <c r="K160" i="102" s="1" a="1"/>
  <c r="K160" i="102" s="1"/>
  <c r="I63" i="102" a="1"/>
  <c r="I63" i="102" s="1"/>
  <c r="H161" i="102" s="1"/>
  <c r="I161" i="102" s="1"/>
  <c r="K161" i="102" s="1" a="1"/>
  <c r="K161" i="102" s="1"/>
  <c r="I53" i="102" a="1"/>
  <c r="I53" i="102" s="1"/>
  <c r="H148" i="102" s="1"/>
  <c r="I73" i="102" a="1"/>
  <c r="I73" i="102" s="1"/>
  <c r="H171" i="102" s="1"/>
  <c r="I83" i="102" a="1"/>
  <c r="I83" i="102" s="1"/>
  <c r="H181" i="102" s="1"/>
  <c r="I28" i="102" a="1"/>
  <c r="I28" i="102" s="1"/>
  <c r="H123" i="102" s="1"/>
  <c r="I123" i="102" s="1"/>
  <c r="K123" i="102" s="1" a="1"/>
  <c r="K123" i="102" s="1"/>
  <c r="I47" i="102" a="1"/>
  <c r="I47" i="102" s="1"/>
  <c r="H142" i="102" s="1"/>
  <c r="I45" i="102" a="1"/>
  <c r="I45" i="102" s="1"/>
  <c r="H140" i="102" s="1"/>
  <c r="I65" i="102" a="1"/>
  <c r="I65" i="102" s="1"/>
  <c r="H163" i="102" s="1"/>
  <c r="I163" i="102" s="1"/>
  <c r="I46" i="102" a="1"/>
  <c r="I46" i="102" s="1"/>
  <c r="H141" i="102" s="1"/>
  <c r="P37" i="99" a="1"/>
  <c r="P37" i="99" s="1"/>
  <c r="O37" i="99" a="1"/>
  <c r="O37" i="99" s="1"/>
  <c r="N37" i="99" a="1"/>
  <c r="N37" i="99" s="1"/>
  <c r="Q37" i="99" a="1"/>
  <c r="Q37" i="99" s="1"/>
  <c r="P40" i="99" a="1"/>
  <c r="P40" i="99" s="1"/>
  <c r="O40" i="99" a="1"/>
  <c r="O40" i="99" s="1"/>
  <c r="N40" i="99" a="1"/>
  <c r="N40" i="99" s="1"/>
  <c r="Q40" i="99" a="1"/>
  <c r="Q40" i="99" s="1"/>
  <c r="P39" i="99" a="1"/>
  <c r="P39" i="99" s="1"/>
  <c r="O39" i="99" a="1"/>
  <c r="O39" i="99" s="1"/>
  <c r="N39" i="99" a="1"/>
  <c r="N39" i="99" s="1"/>
  <c r="O36" i="99" a="1"/>
  <c r="O36" i="99" s="1"/>
  <c r="N36" i="99" a="1"/>
  <c r="N36" i="99" s="1"/>
  <c r="Q36" i="99" a="1"/>
  <c r="Q36" i="99" s="1"/>
  <c r="P36" i="99" a="1"/>
  <c r="P36" i="99" s="1"/>
  <c r="P38" i="99" a="1"/>
  <c r="P38" i="99" s="1"/>
  <c r="O38" i="99" a="1"/>
  <c r="O38" i="99" s="1"/>
  <c r="N38" i="99" a="1"/>
  <c r="N38" i="99" s="1"/>
  <c r="Q38" i="99" a="1"/>
  <c r="Q38" i="99" s="1"/>
  <c r="N34" i="99" a="1"/>
  <c r="N34" i="99" s="1"/>
  <c r="O34" i="99" a="1"/>
  <c r="O34" i="99" s="1"/>
  <c r="O35" i="99" a="1"/>
  <c r="O35" i="99" s="1"/>
  <c r="P33" i="99" a="1"/>
  <c r="P33" i="99" s="1"/>
  <c r="O33" i="99" a="1"/>
  <c r="O33" i="99" s="1"/>
  <c r="N33" i="99" a="1"/>
  <c r="N33" i="99" s="1"/>
  <c r="Q39" i="99" a="1"/>
  <c r="Q39" i="99" s="1"/>
  <c r="P30" i="99" a="1"/>
  <c r="P30" i="99" s="1"/>
  <c r="P32" i="99" a="1"/>
  <c r="P32" i="99" s="1"/>
  <c r="O29" i="99" a="1"/>
  <c r="O29" i="99" s="1"/>
  <c r="N29" i="99" a="1"/>
  <c r="N29" i="99" s="1"/>
  <c r="Q29" i="99" a="1"/>
  <c r="Q29" i="99" s="1"/>
  <c r="P29" i="99" a="1"/>
  <c r="P29" i="99" s="1"/>
  <c r="P31" i="99" a="1"/>
  <c r="P31" i="99" s="1"/>
  <c r="O31" i="99" a="1"/>
  <c r="O31" i="99" s="1"/>
  <c r="N31" i="99" a="1"/>
  <c r="N31" i="99" s="1"/>
  <c r="Q31" i="99" a="1"/>
  <c r="Q31" i="99" s="1"/>
  <c r="N27" i="99" a="1"/>
  <c r="N27" i="99" s="1"/>
  <c r="P27" i="99" a="1"/>
  <c r="P27" i="99" s="1"/>
  <c r="O27" i="99" a="1"/>
  <c r="O27" i="99" s="1"/>
  <c r="P28" i="99" a="1"/>
  <c r="P28" i="99" s="1"/>
  <c r="N28" i="99" a="1"/>
  <c r="N28" i="99" s="1"/>
  <c r="P26" i="99" a="1"/>
  <c r="P26" i="99" s="1"/>
  <c r="O26" i="99" a="1"/>
  <c r="O26" i="99" s="1"/>
  <c r="N26" i="99" a="1"/>
  <c r="N26" i="99" s="1"/>
  <c r="Q35" i="99" a="1"/>
  <c r="Q35" i="99" s="1"/>
  <c r="O25" i="99" a="1"/>
  <c r="O25" i="99" s="1"/>
  <c r="P28" i="98" a="1"/>
  <c r="P28" i="98" s="1"/>
  <c r="O28" i="98" a="1"/>
  <c r="O28" i="98" s="1"/>
  <c r="N28" i="98" a="1"/>
  <c r="N28" i="98" s="1"/>
  <c r="Q28" i="98" a="1"/>
  <c r="Q28" i="98" s="1"/>
  <c r="P39" i="98" a="1"/>
  <c r="P39" i="98" s="1"/>
  <c r="N27" i="98" a="1"/>
  <c r="N27" i="98" s="1"/>
  <c r="Q27" i="98" a="1"/>
  <c r="Q27" i="98" s="1"/>
  <c r="P27" i="98" a="1"/>
  <c r="P27" i="98" s="1"/>
  <c r="O27" i="98" a="1"/>
  <c r="O27" i="98" s="1"/>
  <c r="P31" i="98" a="1"/>
  <c r="P31" i="98" s="1"/>
  <c r="O31" i="98" a="1"/>
  <c r="O31" i="98" s="1"/>
  <c r="N31" i="98" a="1"/>
  <c r="N31" i="98" s="1"/>
  <c r="Q35" i="98" a="1"/>
  <c r="Q35" i="98" s="1"/>
  <c r="P35" i="98" a="1"/>
  <c r="P35" i="98" s="1"/>
  <c r="O35" i="98" a="1"/>
  <c r="O35" i="98" s="1"/>
  <c r="N35" i="98" a="1"/>
  <c r="N35" i="98" s="1"/>
  <c r="Q26" i="98" a="1"/>
  <c r="Q26" i="98" s="1"/>
  <c r="P26" i="98" a="1"/>
  <c r="P26" i="98" s="1"/>
  <c r="O26" i="98" a="1"/>
  <c r="O26" i="98" s="1"/>
  <c r="N26" i="98" a="1"/>
  <c r="N26" i="98" s="1"/>
  <c r="P30" i="98" a="1"/>
  <c r="P30" i="98" s="1"/>
  <c r="O30" i="98" a="1"/>
  <c r="O30" i="98" s="1"/>
  <c r="N30" i="98" a="1"/>
  <c r="N30" i="98" s="1"/>
  <c r="O38" i="98" a="1"/>
  <c r="O38" i="98" s="1"/>
  <c r="E62" i="98" s="1"/>
  <c r="O32" i="98" a="1"/>
  <c r="O32" i="98" s="1"/>
  <c r="N32" i="98" a="1"/>
  <c r="N32" i="98" s="1"/>
  <c r="P32" i="98" a="1"/>
  <c r="P32" i="98" s="1"/>
  <c r="N36" i="98" a="1"/>
  <c r="N36" i="98" s="1"/>
  <c r="Q36" i="98" a="1"/>
  <c r="Q36" i="98" s="1"/>
  <c r="P36" i="98" a="1"/>
  <c r="P36" i="98" s="1"/>
  <c r="O36" i="98" a="1"/>
  <c r="O36" i="98" s="1"/>
  <c r="Q31" i="98" a="1"/>
  <c r="Q31" i="98" s="1"/>
  <c r="O34" i="98" a="1"/>
  <c r="O34" i="98" s="1"/>
  <c r="P29" i="98" a="1"/>
  <c r="P29" i="98" s="1"/>
  <c r="O29" i="98" a="1"/>
  <c r="O29" i="98" s="1"/>
  <c r="N29" i="98" a="1"/>
  <c r="N29" i="98" s="1"/>
  <c r="P34" i="98" a="1"/>
  <c r="P34" i="98" s="1"/>
  <c r="Q32" i="98" a="1"/>
  <c r="Q32" i="98" s="1"/>
  <c r="Q29" i="98" a="1"/>
  <c r="Q29" i="98" s="1"/>
  <c r="Q30" i="98" a="1"/>
  <c r="Q30" i="98" s="1"/>
  <c r="N39" i="98" a="1"/>
  <c r="N39" i="98" s="1"/>
  <c r="Q25" i="98" a="1"/>
  <c r="Q25" i="98" s="1"/>
  <c r="P25" i="98" a="1"/>
  <c r="P25" i="98" s="1"/>
  <c r="O25" i="98" a="1"/>
  <c r="O25" i="98" s="1"/>
  <c r="N25" i="98" a="1"/>
  <c r="N25" i="98" s="1"/>
  <c r="G30" i="82"/>
  <c r="N30" i="82" s="1" a="1"/>
  <c r="N30" i="82" s="1"/>
  <c r="G33" i="82"/>
  <c r="L33" i="82" s="1" a="1"/>
  <c r="L33" i="82" s="1"/>
  <c r="E50" i="94"/>
  <c r="W107" i="83" a="1"/>
  <c r="W107" i="83" s="1"/>
  <c r="AC107" i="83" s="1" a="1"/>
  <c r="AC107" i="83" s="1"/>
  <c r="K95" i="83" a="1"/>
  <c r="K95" i="83" s="1"/>
  <c r="Y35" i="82" a="1"/>
  <c r="Y35" i="82" s="1"/>
  <c r="AC35" i="82" s="1" a="1"/>
  <c r="AC35" i="82" s="1"/>
  <c r="Y37" i="82" a="1"/>
  <c r="Y37" i="82" s="1"/>
  <c r="AE37" i="82" s="1" a="1"/>
  <c r="AE37" i="82" s="1"/>
  <c r="J96" i="83" a="1"/>
  <c r="J96" i="83" s="1"/>
  <c r="L31" i="82" a="1"/>
  <c r="L31" i="82" s="1"/>
  <c r="W109" i="83" a="1"/>
  <c r="W109" i="83" s="1"/>
  <c r="AB109" i="83" s="1" a="1"/>
  <c r="AB109" i="83" s="1"/>
  <c r="W108" i="83" a="1"/>
  <c r="W108" i="83" s="1"/>
  <c r="AA108" i="83" s="1" a="1"/>
  <c r="AA108" i="83" s="1"/>
  <c r="F98" i="83" a="1"/>
  <c r="F98" i="83" s="1"/>
  <c r="K98" i="83" s="1" a="1"/>
  <c r="K98" i="83" s="1"/>
  <c r="K97" i="83" a="1"/>
  <c r="K97" i="83" s="1"/>
  <c r="L97" i="83" a="1"/>
  <c r="L97" i="83" s="1"/>
  <c r="AC38" i="82" a="1"/>
  <c r="AC38" i="82" s="1"/>
  <c r="Y36" i="82" a="1"/>
  <c r="Y36" i="82" s="1"/>
  <c r="AB110" i="83" a="1"/>
  <c r="AB110" i="83" s="1"/>
  <c r="AA110" i="83" a="1"/>
  <c r="AA110" i="83" s="1"/>
  <c r="AC30" i="82" a="1"/>
  <c r="AC30" i="82" s="1"/>
  <c r="AC29" i="82" a="1"/>
  <c r="AC29" i="82" s="1"/>
  <c r="AB37" i="79" a="1"/>
  <c r="AB37" i="79" s="1"/>
  <c r="AE32" i="82" a="1"/>
  <c r="AE32" i="82" s="1"/>
  <c r="K96" i="83" a="1"/>
  <c r="K96" i="83" s="1"/>
  <c r="AD29" i="82" a="1"/>
  <c r="AD29" i="82" s="1"/>
  <c r="AC105" i="83" a="1"/>
  <c r="AC105" i="83" s="1"/>
  <c r="AB102" i="83" a="1"/>
  <c r="AB102" i="83" s="1"/>
  <c r="AA102" i="83" a="1"/>
  <c r="AA102" i="83" s="1"/>
  <c r="AA106" i="83" a="1"/>
  <c r="AA106" i="83" s="1"/>
  <c r="AB106" i="83" a="1"/>
  <c r="AB106" i="83" s="1"/>
  <c r="AA100" i="83" a="1"/>
  <c r="AA100" i="83" s="1"/>
  <c r="AB100" i="83" a="1"/>
  <c r="AB100" i="83" s="1"/>
  <c r="AE33" i="82" a="1"/>
  <c r="AE33" i="82" s="1"/>
  <c r="AD34" i="82" a="1"/>
  <c r="AD34" i="82" s="1"/>
  <c r="AA103" i="83" a="1"/>
  <c r="AA103" i="83" s="1"/>
  <c r="AB103" i="83" a="1"/>
  <c r="AB103" i="83" s="1"/>
  <c r="AC111" i="83" a="1"/>
  <c r="AC111" i="83" s="1"/>
  <c r="AB105" i="83" a="1"/>
  <c r="AB105" i="83" s="1"/>
  <c r="AA29" i="79" a="1"/>
  <c r="AA29" i="79" s="1"/>
  <c r="AA37" i="79" a="1"/>
  <c r="AA37" i="79" s="1"/>
  <c r="AB101" i="83" a="1"/>
  <c r="AB101" i="83" s="1"/>
  <c r="AA101" i="83" a="1"/>
  <c r="AA101" i="83" s="1"/>
  <c r="AB111" i="83" a="1"/>
  <c r="AB111" i="83" s="1"/>
  <c r="AC101" i="83" a="1"/>
  <c r="AC101" i="83" s="1"/>
  <c r="AE30" i="82" a="1"/>
  <c r="AE30" i="82" s="1"/>
  <c r="AC106" i="83" a="1"/>
  <c r="AC106" i="83" s="1"/>
  <c r="AD32" i="82" a="1"/>
  <c r="AD32" i="82" s="1"/>
  <c r="AC100" i="83" a="1"/>
  <c r="AC100" i="83" s="1"/>
  <c r="AD38" i="82" a="1"/>
  <c r="AD38" i="82" s="1"/>
  <c r="AE34" i="82" a="1"/>
  <c r="AE34" i="82" s="1"/>
  <c r="AE28" i="82" a="1"/>
  <c r="AE28" i="82" s="1"/>
  <c r="AD28" i="82" a="1"/>
  <c r="AD28" i="82" s="1"/>
  <c r="AE31" i="82" a="1"/>
  <c r="AE31" i="82" s="1"/>
  <c r="AD31" i="82" a="1"/>
  <c r="AD31" i="82" s="1"/>
  <c r="AD33" i="82" a="1"/>
  <c r="AD33" i="82" s="1"/>
  <c r="M31" i="82" a="1"/>
  <c r="M31" i="82" s="1"/>
  <c r="AE39" i="82" a="1"/>
  <c r="AE39" i="82" s="1"/>
  <c r="AC39" i="82" a="1"/>
  <c r="AC39" i="82" s="1"/>
  <c r="N31" i="82" a="1"/>
  <c r="N31" i="82" s="1"/>
  <c r="H146" i="80"/>
  <c r="O121" i="81"/>
  <c r="N121" i="81"/>
  <c r="AC38" i="79" a="1"/>
  <c r="AC38" i="79" s="1"/>
  <c r="K149" i="80"/>
  <c r="G146" i="80"/>
  <c r="I148" i="80"/>
  <c r="N123" i="81"/>
  <c r="O123" i="81" s="1"/>
  <c r="L147" i="80"/>
  <c r="AB29" i="79" a="1"/>
  <c r="AB29" i="79" s="1"/>
  <c r="AB38" i="79" a="1"/>
  <c r="AB38" i="79" s="1"/>
  <c r="O149" i="80"/>
  <c r="M149" i="80"/>
  <c r="AB31" i="79" a="1"/>
  <c r="AB31" i="79" s="1"/>
  <c r="L149" i="80"/>
  <c r="AA33" i="79" a="1"/>
  <c r="AA33" i="79" s="1"/>
  <c r="I146" i="80"/>
  <c r="K146" i="80"/>
  <c r="G147" i="80"/>
  <c r="O148" i="80"/>
  <c r="J146" i="80"/>
  <c r="AA31" i="79" a="1"/>
  <c r="AA31" i="79" s="1"/>
  <c r="K147" i="80"/>
  <c r="I147" i="80"/>
  <c r="L146" i="80"/>
  <c r="O147" i="80"/>
  <c r="N148" i="80"/>
  <c r="I149" i="80"/>
  <c r="G149" i="80"/>
  <c r="P146" i="80"/>
  <c r="P148" i="80"/>
  <c r="P149" i="80"/>
  <c r="N146" i="80"/>
  <c r="K148" i="80"/>
  <c r="O146" i="80"/>
  <c r="H149" i="80"/>
  <c r="L148" i="80"/>
  <c r="N149" i="80"/>
  <c r="P147" i="80"/>
  <c r="H147" i="80"/>
  <c r="J149" i="80"/>
  <c r="M147" i="80"/>
  <c r="N147" i="80"/>
  <c r="M148" i="80"/>
  <c r="J147" i="80"/>
  <c r="M146" i="80"/>
  <c r="AA34" i="79" a="1"/>
  <c r="AA34" i="79" s="1"/>
  <c r="AC34" i="79" a="1"/>
  <c r="AC34" i="79" s="1"/>
  <c r="AA32" i="79" a="1"/>
  <c r="AA32" i="79" s="1"/>
  <c r="AC30" i="79" a="1"/>
  <c r="AC30" i="79" s="1"/>
  <c r="AA30" i="79" a="1"/>
  <c r="AA30" i="79" s="1"/>
  <c r="O115" i="79"/>
  <c r="AF133" i="79"/>
  <c r="AB32" i="79" a="1"/>
  <c r="AB32" i="79" s="1"/>
  <c r="AC39" i="79" a="1"/>
  <c r="AC39" i="79" s="1"/>
  <c r="AA39" i="79" a="1"/>
  <c r="AA39" i="79" s="1"/>
  <c r="AC35" i="79" a="1"/>
  <c r="AC35" i="79" s="1"/>
  <c r="AB35" i="79" a="1"/>
  <c r="AB35" i="79" s="1"/>
  <c r="AB34" i="79" a="1"/>
  <c r="AB34" i="79" s="1"/>
  <c r="AB33" i="79" a="1"/>
  <c r="AB33" i="79" s="1"/>
  <c r="AA36" i="79" a="1"/>
  <c r="AA36" i="79" s="1"/>
  <c r="AC36" i="79" a="1"/>
  <c r="AC36" i="79" s="1"/>
  <c r="N121" i="78"/>
  <c r="O121" i="78" s="1"/>
  <c r="N123" i="78"/>
  <c r="O123" i="78" s="1"/>
  <c r="E52" i="13"/>
  <c r="E51" i="13"/>
  <c r="G73" i="13"/>
  <c r="F64" i="13"/>
  <c r="F65" i="13" s="1"/>
  <c r="G74" i="13"/>
  <c r="G75" i="13" s="1"/>
  <c r="G72" i="13"/>
  <c r="E29" i="72"/>
  <c r="I43" i="86" l="1"/>
  <c r="J43" i="86"/>
  <c r="O45" i="87" a="1"/>
  <c r="G238" i="112" a="1"/>
  <c r="G238" i="112" s="1"/>
  <c r="P38" i="98" a="1"/>
  <c r="P38" i="98" s="1"/>
  <c r="P25" i="99" a="1"/>
  <c r="P25" i="99" s="1"/>
  <c r="G157" i="102" a="1"/>
  <c r="G157" i="102" s="1"/>
  <c r="G116" i="102" a="1"/>
  <c r="G116" i="102" s="1"/>
  <c r="G21" i="102" a="1"/>
  <c r="G21" i="102" s="1"/>
  <c r="I21" i="102" s="1" a="1"/>
  <c r="I21" i="102" s="1"/>
  <c r="H116" i="102" s="1"/>
  <c r="I116" i="102" s="1"/>
  <c r="K116" i="102" s="1" a="1"/>
  <c r="K116" i="102" s="1"/>
  <c r="W227" i="112" a="1"/>
  <c r="W227" i="112" s="1"/>
  <c r="AI227" i="112" a="1"/>
  <c r="AI227" i="112" s="1"/>
  <c r="G245" i="112" a="1"/>
  <c r="G245" i="112" s="1"/>
  <c r="Q38" i="98" a="1"/>
  <c r="Q38" i="98" s="1"/>
  <c r="N37" i="98" a="1"/>
  <c r="N37" i="98" s="1"/>
  <c r="J24" i="112" a="1"/>
  <c r="J24" i="112" s="1"/>
  <c r="W221" i="112" a="1"/>
  <c r="W221" i="112" s="1"/>
  <c r="AI225" i="112" a="1"/>
  <c r="AI225" i="112" s="1"/>
  <c r="W161" i="79"/>
  <c r="V133" i="79"/>
  <c r="E305" i="112" a="1"/>
  <c r="E305" i="112" s="1"/>
  <c r="E25" i="90" a="1"/>
  <c r="Y276" i="82"/>
  <c r="X235" i="82"/>
  <c r="Q37" i="98" a="1"/>
  <c r="Q37" i="98" s="1"/>
  <c r="AK221" i="112"/>
  <c r="AM221" i="112" s="1" a="1"/>
  <c r="AM221" i="112" s="1"/>
  <c r="AM224" i="112" a="1"/>
  <c r="AM224" i="112" s="1"/>
  <c r="AM226" i="112" a="1"/>
  <c r="AM226" i="112" s="1"/>
  <c r="AM228" i="112" a="1"/>
  <c r="AM228" i="112" s="1"/>
  <c r="AM230" i="112" a="1"/>
  <c r="AM230" i="112" s="1"/>
  <c r="AM223" i="112" a="1"/>
  <c r="AM223" i="112" s="1"/>
  <c r="AM225" i="112" a="1"/>
  <c r="AM225" i="112" s="1"/>
  <c r="AM227" i="112" a="1"/>
  <c r="AM227" i="112" s="1"/>
  <c r="AM229" i="112" a="1"/>
  <c r="AM229" i="112" s="1"/>
  <c r="AM222" i="112" a="1"/>
  <c r="AM222" i="112" s="1"/>
  <c r="I90" i="102" a="1"/>
  <c r="I90" i="102" s="1"/>
  <c r="H188" i="102" s="1"/>
  <c r="F122" i="112"/>
  <c r="P45" i="87" a="1"/>
  <c r="I12" i="86"/>
  <c r="AI230" i="112" a="1"/>
  <c r="AI230" i="112" s="1"/>
  <c r="J35" i="95"/>
  <c r="E39" i="95" s="1" a="1"/>
  <c r="E39" i="95" s="1"/>
  <c r="E27" i="13" s="1" a="1"/>
  <c r="E27" i="13" s="1"/>
  <c r="I551" i="112"/>
  <c r="N35" i="99" a="1"/>
  <c r="N35" i="99" s="1"/>
  <c r="E49" i="99" s="1"/>
  <c r="F121" i="112"/>
  <c r="G121" i="112" s="1" a="1"/>
  <c r="G121" i="112" s="1"/>
  <c r="F123" i="112"/>
  <c r="AI228" i="112" a="1"/>
  <c r="AI228" i="112" s="1"/>
  <c r="I270" i="112" a="1"/>
  <c r="I270" i="112" s="1"/>
  <c r="E284" i="112" s="1"/>
  <c r="G270" i="112" a="1"/>
  <c r="G270" i="112" s="1"/>
  <c r="E283" i="112" s="1"/>
  <c r="G20" i="86"/>
  <c r="E237" i="112" s="1" a="1"/>
  <c r="G243" i="112" s="1" a="1"/>
  <c r="G243" i="112" s="1"/>
  <c r="P50" i="87" a="1"/>
  <c r="AI226" i="112" a="1"/>
  <c r="AI226" i="112" s="1"/>
  <c r="I137" i="102"/>
  <c r="K137" i="102" s="1" a="1"/>
  <c r="K137" i="102" s="1"/>
  <c r="K158" i="102" a="1"/>
  <c r="K158" i="102" s="1"/>
  <c r="Q30" i="99" a="1"/>
  <c r="Q30" i="99" s="1"/>
  <c r="I64" i="102" a="1"/>
  <c r="I64" i="102" s="1"/>
  <c r="H162" i="102" s="1"/>
  <c r="I162" i="102" s="1"/>
  <c r="K162" i="102" s="1" a="1"/>
  <c r="K162" i="102" s="1"/>
  <c r="O50" i="87"/>
  <c r="T51" i="87"/>
  <c r="V51" i="87" s="1" a="1"/>
  <c r="V51" i="87" s="1"/>
  <c r="R52" i="87" a="1"/>
  <c r="R52" i="87" s="1"/>
  <c r="S51" i="87" a="1"/>
  <c r="S51" i="87" s="1"/>
  <c r="Q52" i="87"/>
  <c r="Q51" i="87"/>
  <c r="S52" i="87" a="1"/>
  <c r="S52" i="87" s="1"/>
  <c r="T52" i="87"/>
  <c r="V52" i="87" s="1" a="1"/>
  <c r="V52" i="87" s="1"/>
  <c r="R51" i="87" a="1"/>
  <c r="R51" i="87" s="1"/>
  <c r="I51" i="102" a="1"/>
  <c r="I51" i="102" s="1"/>
  <c r="H146" i="102" s="1"/>
  <c r="W225" i="112" a="1"/>
  <c r="W225" i="112" s="1"/>
  <c r="I44" i="86"/>
  <c r="J44" i="86"/>
  <c r="AI224" i="112" a="1"/>
  <c r="AI224" i="112" s="1"/>
  <c r="N32" i="99" a="1"/>
  <c r="N32" i="99" s="1"/>
  <c r="I124" i="102"/>
  <c r="K124" i="102" s="1" a="1"/>
  <c r="K124" i="102" s="1"/>
  <c r="Q32" i="99" a="1"/>
  <c r="Q32" i="99" s="1"/>
  <c r="W223" i="112" a="1"/>
  <c r="W223" i="112" s="1"/>
  <c r="AI222" i="112" a="1"/>
  <c r="AI222" i="112" s="1"/>
  <c r="O28" i="99" a="1"/>
  <c r="O28" i="99" s="1"/>
  <c r="E44" i="99" s="1"/>
  <c r="K163" i="102" a="1"/>
  <c r="K163" i="102" s="1"/>
  <c r="K177" i="102" a="1"/>
  <c r="K177" i="102" s="1"/>
  <c r="W230" i="112" a="1"/>
  <c r="W230" i="112" s="1"/>
  <c r="AI229" i="112" a="1"/>
  <c r="AI229" i="112" s="1"/>
  <c r="H23" i="112"/>
  <c r="J23" i="112" s="1" a="1"/>
  <c r="J23" i="112" s="1"/>
  <c r="E34" i="112" s="1"/>
  <c r="E93" i="112" s="1"/>
  <c r="J29" i="112" a="1"/>
  <c r="J29" i="112" s="1"/>
  <c r="J31" i="112" a="1"/>
  <c r="J31" i="112" s="1"/>
  <c r="J25" i="112" a="1"/>
  <c r="J25" i="112" s="1"/>
  <c r="J27" i="112" a="1"/>
  <c r="J27" i="112" s="1"/>
  <c r="J26" i="112" a="1"/>
  <c r="J26" i="112" s="1"/>
  <c r="J30" i="112" a="1"/>
  <c r="J30" i="112" s="1"/>
  <c r="G242" i="112" a="1"/>
  <c r="G242" i="112" s="1"/>
  <c r="G246" i="112" a="1"/>
  <c r="G246" i="112" s="1"/>
  <c r="AC221" i="112"/>
  <c r="AE221" i="112" s="1" a="1"/>
  <c r="AE221" i="112" s="1"/>
  <c r="AE229" i="112" a="1"/>
  <c r="AE229" i="112" s="1"/>
  <c r="AE222" i="112" a="1"/>
  <c r="AE222" i="112" s="1"/>
  <c r="AE224" i="112" a="1"/>
  <c r="AE224" i="112" s="1"/>
  <c r="AE226" i="112" a="1"/>
  <c r="AE226" i="112" s="1"/>
  <c r="AE228" i="112" a="1"/>
  <c r="AE228" i="112" s="1"/>
  <c r="AE230" i="112" a="1"/>
  <c r="AE230" i="112" s="1"/>
  <c r="AE223" i="112" a="1"/>
  <c r="AE223" i="112" s="1"/>
  <c r="AE225" i="112" a="1"/>
  <c r="AE225" i="112" s="1"/>
  <c r="AE227" i="112" a="1"/>
  <c r="AE227" i="112" s="1"/>
  <c r="W226" i="112" a="1"/>
  <c r="W226" i="112" s="1"/>
  <c r="G241" i="112" a="1"/>
  <c r="G241" i="112" s="1"/>
  <c r="N30" i="99" a="1"/>
  <c r="N30" i="99" s="1"/>
  <c r="E43" i="99" s="1"/>
  <c r="J367" i="112" a="1"/>
  <c r="J367" i="112" s="1"/>
  <c r="E379" i="112" s="1"/>
  <c r="H367" i="112" a="1"/>
  <c r="H367" i="112" s="1"/>
  <c r="E378" i="112" s="1"/>
  <c r="W224" i="112" a="1"/>
  <c r="W224" i="112" s="1"/>
  <c r="F240" i="112" a="1"/>
  <c r="F240" i="112" s="1"/>
  <c r="G240" i="112" s="1" a="1"/>
  <c r="G240" i="112" s="1"/>
  <c r="I120" i="102"/>
  <c r="K120" i="102" s="1" a="1"/>
  <c r="K120" i="102" s="1"/>
  <c r="G244" i="112" a="1"/>
  <c r="G244" i="112" s="1"/>
  <c r="Q25" i="99" a="1"/>
  <c r="Q25" i="99" s="1"/>
  <c r="Q221" i="112"/>
  <c r="S221" i="112" s="1" a="1"/>
  <c r="S221" i="112" s="1"/>
  <c r="S225" i="112" a="1"/>
  <c r="S225" i="112" s="1"/>
  <c r="S227" i="112" a="1"/>
  <c r="S227" i="112" s="1"/>
  <c r="S229" i="112" a="1"/>
  <c r="S229" i="112" s="1"/>
  <c r="S222" i="112" a="1"/>
  <c r="S222" i="112" s="1"/>
  <c r="S224" i="112" a="1"/>
  <c r="S224" i="112" s="1"/>
  <c r="S226" i="112" a="1"/>
  <c r="S226" i="112" s="1"/>
  <c r="S228" i="112" a="1"/>
  <c r="S228" i="112" s="1"/>
  <c r="F228" i="112" s="1" a="1"/>
  <c r="F228" i="112" s="1"/>
  <c r="S230" i="112" a="1"/>
  <c r="S230" i="112" s="1"/>
  <c r="S223" i="112" a="1"/>
  <c r="S223" i="112" s="1"/>
  <c r="F223" i="112" s="1" a="1"/>
  <c r="F223" i="112" s="1"/>
  <c r="Y221" i="112"/>
  <c r="AA221" i="112" s="1" a="1"/>
  <c r="AA221" i="112" s="1"/>
  <c r="AA227" i="112" a="1"/>
  <c r="AA227" i="112" s="1"/>
  <c r="AA229" i="112" a="1"/>
  <c r="AA229" i="112" s="1"/>
  <c r="AA222" i="112" a="1"/>
  <c r="AA222" i="112" s="1"/>
  <c r="AA224" i="112" a="1"/>
  <c r="AA224" i="112" s="1"/>
  <c r="AA226" i="112" a="1"/>
  <c r="AA226" i="112" s="1"/>
  <c r="AA228" i="112" a="1"/>
  <c r="AA228" i="112" s="1"/>
  <c r="AA230" i="112" a="1"/>
  <c r="AA230" i="112" s="1"/>
  <c r="AA223" i="112" a="1"/>
  <c r="AA223" i="112" s="1"/>
  <c r="AA225" i="112" a="1"/>
  <c r="AA225" i="112" s="1"/>
  <c r="F239" i="112" a="1"/>
  <c r="F239" i="112" s="1"/>
  <c r="G239" i="112" s="1" a="1"/>
  <c r="G239" i="112" s="1"/>
  <c r="W222" i="112" a="1"/>
  <c r="W222" i="112" s="1"/>
  <c r="J42" i="86"/>
  <c r="F20" i="89" a="1"/>
  <c r="F20" i="89" s="1"/>
  <c r="G20" i="89" a="1"/>
  <c r="I42" i="86"/>
  <c r="E555" i="112" a="1"/>
  <c r="E555" i="112" s="1"/>
  <c r="J33" i="105"/>
  <c r="E25" i="106"/>
  <c r="T33" i="105"/>
  <c r="O25" i="106"/>
  <c r="E642" i="112"/>
  <c r="G124" i="112" a="1"/>
  <c r="G124" i="112" s="1"/>
  <c r="I125" i="112" a="1"/>
  <c r="I125" i="112" s="1"/>
  <c r="E64" i="98"/>
  <c r="E94" i="112"/>
  <c r="E442" i="112"/>
  <c r="E460" i="112"/>
  <c r="G127" i="112" a="1"/>
  <c r="G127" i="112" s="1"/>
  <c r="G126" i="112" a="1"/>
  <c r="G126" i="112" s="1"/>
  <c r="E441" i="112"/>
  <c r="E459" i="112"/>
  <c r="G128" i="112" a="1"/>
  <c r="G128" i="112" s="1"/>
  <c r="I128" i="112" a="1"/>
  <c r="I128" i="112" s="1"/>
  <c r="I185" i="102"/>
  <c r="K185" i="102" s="1" a="1"/>
  <c r="K185" i="102" s="1"/>
  <c r="I157" i="102"/>
  <c r="K157" i="102" s="1" a="1"/>
  <c r="K157" i="102" s="1"/>
  <c r="I179" i="102"/>
  <c r="K179" i="102" s="1" a="1"/>
  <c r="K179" i="102" s="1"/>
  <c r="I127" i="102"/>
  <c r="K127" i="102" s="1" a="1"/>
  <c r="K127" i="102" s="1"/>
  <c r="I138" i="102"/>
  <c r="K138" i="102" s="1" a="1"/>
  <c r="K138" i="102" s="1"/>
  <c r="I168" i="102"/>
  <c r="K168" i="102" s="1" a="1"/>
  <c r="K168" i="102" s="1"/>
  <c r="I144" i="102"/>
  <c r="K144" i="102" s="1" a="1"/>
  <c r="K144" i="102" s="1"/>
  <c r="E52" i="99"/>
  <c r="E51" i="99"/>
  <c r="E55" i="98"/>
  <c r="E46" i="99"/>
  <c r="E63" i="98"/>
  <c r="E50" i="99"/>
  <c r="E61" i="98"/>
  <c r="E58" i="98"/>
  <c r="E45" i="99"/>
  <c r="E44" i="98"/>
  <c r="E43" i="98"/>
  <c r="E45" i="98"/>
  <c r="E46" i="98"/>
  <c r="E57" i="98"/>
  <c r="E56" i="98"/>
  <c r="M30" i="82" a="1"/>
  <c r="M30" i="82" s="1"/>
  <c r="L30" i="82" a="1"/>
  <c r="L30" i="82" s="1"/>
  <c r="N33" i="82" a="1"/>
  <c r="N33" i="82" s="1"/>
  <c r="M33" i="82" a="1"/>
  <c r="M33" i="82" s="1"/>
  <c r="AC37" i="82" a="1"/>
  <c r="AC37" i="82" s="1"/>
  <c r="AD37" i="82" a="1"/>
  <c r="AD37" i="82" s="1"/>
  <c r="AD35" i="82" a="1"/>
  <c r="AD35" i="82" s="1"/>
  <c r="AA107" i="83" a="1"/>
  <c r="AA107" i="83" s="1"/>
  <c r="AE35" i="82" a="1"/>
  <c r="AE35" i="82" s="1"/>
  <c r="AC109" i="83" a="1"/>
  <c r="AC109" i="83" s="1"/>
  <c r="AA109" i="83" a="1"/>
  <c r="AA109" i="83" s="1"/>
  <c r="AB107" i="83" a="1"/>
  <c r="AB107" i="83" s="1"/>
  <c r="AB108" i="83" a="1"/>
  <c r="AB108" i="83" s="1"/>
  <c r="L98" i="83" a="1"/>
  <c r="L98" i="83" s="1"/>
  <c r="J98" i="83" a="1"/>
  <c r="J98" i="83" s="1"/>
  <c r="AC108" i="83" a="1"/>
  <c r="AC108" i="83" s="1"/>
  <c r="AC36" i="82" a="1"/>
  <c r="AC36" i="82" s="1"/>
  <c r="AD36" i="82" a="1"/>
  <c r="AD36" i="82" s="1"/>
  <c r="AE36" i="82" a="1"/>
  <c r="AE36" i="82" s="1"/>
  <c r="F72" i="13"/>
  <c r="F73" i="13"/>
  <c r="E26" i="13" a="1"/>
  <c r="E26" i="13" s="1"/>
  <c r="H26" i="13" s="1"/>
  <c r="F41" i="13"/>
  <c r="F40" i="13"/>
  <c r="E41" i="13"/>
  <c r="E40" i="13"/>
  <c r="D37" i="13" a="1"/>
  <c r="D37" i="13" s="1"/>
  <c r="F37" i="13" s="1"/>
  <c r="D48" i="13" a="1"/>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0" s="1"/>
  <c r="E188" i="74" a="1"/>
  <c r="E188" i="74" s="1"/>
  <c r="D188" i="74" a="1"/>
  <c r="D188" i="74" s="1"/>
  <c r="H187" i="74" a="1"/>
  <c r="H187" i="74" s="1"/>
  <c r="G187" i="74" a="1"/>
  <c r="G187" i="74" s="1"/>
  <c r="F187" i="74" a="1"/>
  <c r="F187" i="74" s="1"/>
  <c r="W52" i="87" s="1"/>
  <c r="E187" i="74" a="1"/>
  <c r="E187" i="74" s="1"/>
  <c r="D187" i="74" a="1"/>
  <c r="D187" i="74" s="1"/>
  <c r="D181" i="74" a="1"/>
  <c r="D181" i="74" s="1"/>
  <c r="D180" i="74" a="1"/>
  <c r="D180" i="74" s="1"/>
  <c r="D179" i="74" a="1"/>
  <c r="D179" i="74" s="1"/>
  <c r="D178" i="74" a="1"/>
  <c r="D178" i="74" s="1"/>
  <c r="E175" i="74" a="1"/>
  <c r="E175" i="74" s="1"/>
  <c r="D175" i="74" a="1"/>
  <c r="D175" i="74" s="1"/>
  <c r="I158" i="82"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I56" i="92"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F75" i="92" l="1" a="1"/>
  <c r="F75" i="92" s="1"/>
  <c r="F74" i="92" a="1"/>
  <c r="F74" i="92" s="1"/>
  <c r="F71" i="92" a="1"/>
  <c r="F71" i="92" s="1"/>
  <c r="F70" i="92" a="1"/>
  <c r="F70" i="92" s="1"/>
  <c r="F72" i="92" a="1"/>
  <c r="F72" i="92" s="1"/>
  <c r="F69" i="92" a="1"/>
  <c r="F69" i="92" s="1"/>
  <c r="F68" i="92" a="1"/>
  <c r="F68" i="92" s="1"/>
  <c r="F73" i="92" a="1"/>
  <c r="F73" i="92" s="1"/>
  <c r="I14" i="92"/>
  <c r="E32" i="88" a="1"/>
  <c r="E32" i="88" s="1"/>
  <c r="G32" i="88" s="1" a="1"/>
  <c r="G32" i="88" s="1"/>
  <c r="E33" i="87" a="1"/>
  <c r="E33" i="87" s="1"/>
  <c r="G33" i="87" s="1" a="1"/>
  <c r="G33" i="87" s="1"/>
  <c r="E20" i="88" a="1"/>
  <c r="E20" i="88" s="1"/>
  <c r="G20" i="88" s="1" a="1"/>
  <c r="G20" i="88" s="1"/>
  <c r="E25" i="88" a="1"/>
  <c r="E25" i="88" s="1"/>
  <c r="G25" i="88" s="1" a="1"/>
  <c r="G25" i="88" s="1"/>
  <c r="E26" i="87" a="1"/>
  <c r="E26" i="87" s="1"/>
  <c r="G26" i="87" s="1" a="1"/>
  <c r="G26" i="87" s="1"/>
  <c r="E37" i="87" a="1"/>
  <c r="E37" i="87" s="1"/>
  <c r="G37" i="87" s="1" a="1"/>
  <c r="G37" i="87" s="1"/>
  <c r="E35" i="87" a="1"/>
  <c r="E35" i="87" s="1"/>
  <c r="G35" i="87" s="1" a="1"/>
  <c r="G35" i="87" s="1"/>
  <c r="E19" i="87" a="1"/>
  <c r="E19" i="87" s="1"/>
  <c r="G19" i="87" s="1" a="1"/>
  <c r="G19" i="87" s="1"/>
  <c r="E30" i="87" a="1"/>
  <c r="E30" i="87" s="1"/>
  <c r="G30" i="87" s="1" a="1"/>
  <c r="G30" i="87" s="1"/>
  <c r="E28" i="87" a="1"/>
  <c r="E28" i="87" s="1"/>
  <c r="G28" i="87" s="1" a="1"/>
  <c r="G28" i="87" s="1"/>
  <c r="E35" i="88" a="1"/>
  <c r="E35" i="88" s="1"/>
  <c r="G35" i="88" s="1" a="1"/>
  <c r="G35" i="88" s="1"/>
  <c r="E23" i="87" a="1"/>
  <c r="E23" i="87" s="1"/>
  <c r="G23" i="87" s="1" a="1"/>
  <c r="G23" i="87" s="1"/>
  <c r="E21" i="87" a="1"/>
  <c r="E21" i="87" s="1"/>
  <c r="G21" i="87" s="1" a="1"/>
  <c r="G21" i="87" s="1"/>
  <c r="E36" i="88" a="1"/>
  <c r="E36" i="88" s="1"/>
  <c r="G36" i="88" s="1" a="1"/>
  <c r="G36" i="88" s="1"/>
  <c r="E33" i="88" a="1"/>
  <c r="E33" i="88" s="1"/>
  <c r="G33" i="88" s="1" a="1"/>
  <c r="G33" i="88" s="1"/>
  <c r="E21" i="88" a="1"/>
  <c r="E21" i="88" s="1"/>
  <c r="G21" i="88" s="1" a="1"/>
  <c r="G21" i="88" s="1"/>
  <c r="E29" i="88" a="1"/>
  <c r="E29" i="88" s="1"/>
  <c r="G29" i="88" s="1" a="1"/>
  <c r="G29" i="88" s="1"/>
  <c r="E26" i="88" a="1"/>
  <c r="E26" i="88" s="1"/>
  <c r="G26" i="88" s="1" a="1"/>
  <c r="G26" i="88" s="1"/>
  <c r="E31" i="88" a="1"/>
  <c r="E31" i="88" s="1"/>
  <c r="G31" i="88" s="1" a="1"/>
  <c r="G31" i="88" s="1"/>
  <c r="E22" i="88" a="1"/>
  <c r="E22" i="88" s="1"/>
  <c r="G22" i="88" s="1" a="1"/>
  <c r="G22" i="88" s="1"/>
  <c r="E19" i="88" a="1"/>
  <c r="E19" i="88" s="1"/>
  <c r="G19" i="88" s="1" a="1"/>
  <c r="G19" i="88" s="1"/>
  <c r="E24" i="88" a="1"/>
  <c r="E24" i="88" s="1"/>
  <c r="G24" i="88" s="1" a="1"/>
  <c r="G24" i="88" s="1"/>
  <c r="E32" i="87" a="1"/>
  <c r="E32" i="87" s="1"/>
  <c r="G32" i="87" s="1" a="1"/>
  <c r="G32" i="87" s="1"/>
  <c r="E221" i="112" a="1"/>
  <c r="E34" i="87" a="1"/>
  <c r="E34" i="87" s="1"/>
  <c r="G34" i="87" s="1" a="1"/>
  <c r="G34" i="87" s="1"/>
  <c r="E25" i="87" a="1"/>
  <c r="E25" i="87" s="1"/>
  <c r="G25" i="87" s="1" a="1"/>
  <c r="G25" i="87" s="1"/>
  <c r="E36" i="87" a="1"/>
  <c r="E36" i="87" s="1"/>
  <c r="G36" i="87" s="1" a="1"/>
  <c r="G36" i="87" s="1"/>
  <c r="E27" i="87" a="1"/>
  <c r="E27" i="87" s="1"/>
  <c r="G27" i="87" s="1" a="1"/>
  <c r="G27" i="87" s="1"/>
  <c r="E28" i="88" a="1"/>
  <c r="E28" i="88" s="1"/>
  <c r="G28" i="88" s="1" a="1"/>
  <c r="G28" i="88" s="1"/>
  <c r="E29" i="87" a="1"/>
  <c r="E29" i="87" s="1"/>
  <c r="G29" i="87" s="1" a="1"/>
  <c r="G29" i="87" s="1"/>
  <c r="E20" i="87" a="1"/>
  <c r="E20" i="87" s="1"/>
  <c r="G20" i="87" s="1" a="1"/>
  <c r="G20" i="87" s="1"/>
  <c r="E31" i="87" a="1"/>
  <c r="E31" i="87" s="1"/>
  <c r="G31" i="87" s="1" a="1"/>
  <c r="G31" i="87" s="1"/>
  <c r="E22" i="87" a="1"/>
  <c r="E22" i="87" s="1"/>
  <c r="G22" i="87" s="1" a="1"/>
  <c r="G22" i="87" s="1"/>
  <c r="E37" i="88" a="1"/>
  <c r="E37" i="88" s="1"/>
  <c r="G37" i="88" s="1" a="1"/>
  <c r="G37" i="88" s="1"/>
  <c r="E24" i="87" a="1"/>
  <c r="E24" i="87" s="1"/>
  <c r="G24" i="87" s="1" a="1"/>
  <c r="G24" i="87" s="1"/>
  <c r="E30" i="88" a="1"/>
  <c r="E30" i="88" s="1"/>
  <c r="G30" i="88" s="1" a="1"/>
  <c r="G30" i="88" s="1"/>
  <c r="E34" i="88" a="1"/>
  <c r="E34" i="88" s="1"/>
  <c r="G34" i="88" s="1" a="1"/>
  <c r="G34" i="88" s="1"/>
  <c r="E23" i="88" a="1"/>
  <c r="E23" i="88" s="1"/>
  <c r="G23" i="88" s="1" a="1"/>
  <c r="G23" i="88" s="1"/>
  <c r="E27" i="88" a="1"/>
  <c r="E27" i="88" s="1"/>
  <c r="G27" i="88" s="1" a="1"/>
  <c r="G27" i="88" s="1"/>
  <c r="I22" i="89" a="1"/>
  <c r="I22" i="89" s="1"/>
  <c r="I21" i="89" a="1"/>
  <c r="I21" i="89" s="1"/>
  <c r="G20" i="89"/>
  <c r="I20" i="89" s="1" a="1"/>
  <c r="I20" i="89" s="1"/>
  <c r="I125" i="91"/>
  <c r="W51" i="87"/>
  <c r="P45" i="87"/>
  <c r="U47" i="87"/>
  <c r="G223" i="112" a="1"/>
  <c r="G223" i="112" s="1"/>
  <c r="G123" i="112" a="1"/>
  <c r="G123" i="112" s="1"/>
  <c r="I123" i="112" a="1"/>
  <c r="I123" i="112" s="1"/>
  <c r="I122" i="112" a="1"/>
  <c r="I122" i="112" s="1"/>
  <c r="G122" i="112" a="1"/>
  <c r="G122" i="112" s="1"/>
  <c r="F230" i="112" a="1"/>
  <c r="F230" i="112" s="1"/>
  <c r="E25" i="90"/>
  <c r="F226" i="112" a="1"/>
  <c r="F226" i="112" s="1"/>
  <c r="H305" i="112" a="1"/>
  <c r="H305" i="112" s="1"/>
  <c r="G305" i="112" a="1"/>
  <c r="G305" i="112" s="1"/>
  <c r="F305" i="112" a="1"/>
  <c r="X172" i="82"/>
  <c r="X171" i="82"/>
  <c r="F224" i="112" a="1"/>
  <c r="F224" i="112" s="1"/>
  <c r="I50" i="87"/>
  <c r="F222" i="112" a="1"/>
  <c r="F222" i="112" s="1"/>
  <c r="O45" i="87"/>
  <c r="W47" i="87"/>
  <c r="W46" i="87"/>
  <c r="R49" i="87" a="1"/>
  <c r="R49" i="87" s="1"/>
  <c r="T48" i="87"/>
  <c r="U48" i="87" s="1"/>
  <c r="R48" i="87" a="1"/>
  <c r="R48" i="87" s="1"/>
  <c r="R47" i="87" a="1"/>
  <c r="R47" i="87" s="1"/>
  <c r="S48" i="87" a="1"/>
  <c r="S48" i="87" s="1"/>
  <c r="T47" i="87"/>
  <c r="S49" i="87" a="1"/>
  <c r="S49" i="87" s="1"/>
  <c r="R46" i="87" a="1"/>
  <c r="R46" i="87" s="1"/>
  <c r="S47" i="87" a="1"/>
  <c r="S47" i="87" s="1"/>
  <c r="T49" i="87"/>
  <c r="V49" i="87" s="1" a="1"/>
  <c r="V49" i="87" s="1"/>
  <c r="S46" i="87" a="1"/>
  <c r="S46" i="87" s="1"/>
  <c r="Q48" i="87"/>
  <c r="V46" i="87" a="1"/>
  <c r="V46" i="87" s="1"/>
  <c r="W48" i="87"/>
  <c r="Q46" i="87"/>
  <c r="Q49" i="87"/>
  <c r="Q47" i="87"/>
  <c r="T46" i="87"/>
  <c r="U46" i="87" s="1"/>
  <c r="V47" i="87" a="1"/>
  <c r="V47" i="87" s="1"/>
  <c r="D170" i="74"/>
  <c r="I33" i="85"/>
  <c r="J37" i="106"/>
  <c r="F229" i="112" a="1"/>
  <c r="F229" i="112" s="1"/>
  <c r="G229" i="112" s="1" a="1"/>
  <c r="G229" i="112" s="1"/>
  <c r="D164" i="74"/>
  <c r="J15" i="106"/>
  <c r="D8" i="80"/>
  <c r="I29" i="84"/>
  <c r="I49" i="113"/>
  <c r="I14" i="85"/>
  <c r="H25" i="106"/>
  <c r="S25" i="106" s="1" a="1"/>
  <c r="S25" i="106" s="1"/>
  <c r="N46" i="106" s="1"/>
  <c r="I68" i="113"/>
  <c r="F227" i="112" a="1"/>
  <c r="F227" i="112" s="1"/>
  <c r="J50" i="91"/>
  <c r="W49" i="87"/>
  <c r="N99" i="78"/>
  <c r="E145" i="81"/>
  <c r="G69" i="78"/>
  <c r="M158" i="78"/>
  <c r="J134" i="78"/>
  <c r="J62" i="78"/>
  <c r="M136" i="78"/>
  <c r="N72" i="78"/>
  <c r="F86" i="78"/>
  <c r="M84" i="78"/>
  <c r="J83" i="78"/>
  <c r="E85" i="78"/>
  <c r="K86" i="78"/>
  <c r="H133" i="78"/>
  <c r="I133" i="78"/>
  <c r="N134" i="78"/>
  <c r="K133" i="78"/>
  <c r="G91" i="78"/>
  <c r="N70" i="81"/>
  <c r="J62" i="81"/>
  <c r="I139" i="81"/>
  <c r="I158" i="81"/>
  <c r="J136" i="81"/>
  <c r="M155" i="81"/>
  <c r="N133" i="81"/>
  <c r="F95" i="81"/>
  <c r="J84" i="81"/>
  <c r="E86" i="81"/>
  <c r="H83" i="81"/>
  <c r="E62" i="81"/>
  <c r="M92" i="81"/>
  <c r="N157" i="81"/>
  <c r="E70" i="81"/>
  <c r="N75" i="78"/>
  <c r="N143" i="78"/>
  <c r="H172" i="78"/>
  <c r="M139" i="78"/>
  <c r="K169" i="78"/>
  <c r="N91" i="78"/>
  <c r="L149" i="78"/>
  <c r="K145" i="78"/>
  <c r="M163" i="78"/>
  <c r="G169" i="81"/>
  <c r="E69" i="78"/>
  <c r="G70" i="78"/>
  <c r="L136" i="78"/>
  <c r="J84" i="78"/>
  <c r="J157" i="78"/>
  <c r="E86" i="78"/>
  <c r="K72" i="78"/>
  <c r="I74" i="78"/>
  <c r="G96" i="78"/>
  <c r="G86" i="78"/>
  <c r="N84" i="78"/>
  <c r="I86" i="78"/>
  <c r="G133" i="78"/>
  <c r="L134" i="78"/>
  <c r="M134" i="78"/>
  <c r="H136" i="78"/>
  <c r="E135" i="78"/>
  <c r="L133" i="78"/>
  <c r="M83" i="81"/>
  <c r="N63" i="81"/>
  <c r="K163" i="81"/>
  <c r="G74" i="81"/>
  <c r="L155" i="81"/>
  <c r="G157" i="81"/>
  <c r="H135" i="81"/>
  <c r="E134" i="81"/>
  <c r="N85" i="81"/>
  <c r="N97" i="81"/>
  <c r="L84" i="81"/>
  <c r="I63" i="81"/>
  <c r="N148" i="81"/>
  <c r="E181" i="81"/>
  <c r="E166" i="82" s="1"/>
  <c r="G94" i="81"/>
  <c r="M28" i="83"/>
  <c r="H77" i="78"/>
  <c r="H145" i="78"/>
  <c r="M71" i="78"/>
  <c r="G141" i="78"/>
  <c r="E171" i="78"/>
  <c r="H93" i="78"/>
  <c r="H161" i="78"/>
  <c r="E165" i="81"/>
  <c r="E93" i="78"/>
  <c r="I94" i="78"/>
  <c r="G149" i="81"/>
  <c r="N85" i="78"/>
  <c r="G63" i="78"/>
  <c r="F133" i="78"/>
  <c r="E148" i="78"/>
  <c r="K75" i="81"/>
  <c r="F134" i="78"/>
  <c r="K97" i="78"/>
  <c r="H86" i="78"/>
  <c r="E133" i="78"/>
  <c r="K134" i="78"/>
  <c r="F136" i="78"/>
  <c r="G136" i="78"/>
  <c r="L155" i="78"/>
  <c r="I136" i="78"/>
  <c r="F135" i="78"/>
  <c r="G85" i="81"/>
  <c r="H72" i="81"/>
  <c r="G61" i="81"/>
  <c r="I98" i="81"/>
  <c r="F157" i="81"/>
  <c r="K158" i="81"/>
  <c r="L136" i="81"/>
  <c r="I135" i="81"/>
  <c r="J96" i="81"/>
  <c r="G134" i="81"/>
  <c r="F86" i="81"/>
  <c r="M64" i="81"/>
  <c r="E172" i="81"/>
  <c r="G62" i="81"/>
  <c r="K150" i="81"/>
  <c r="D28" i="83"/>
  <c r="L78" i="78"/>
  <c r="L146" i="78"/>
  <c r="E76" i="78"/>
  <c r="K142" i="78"/>
  <c r="I172" i="78"/>
  <c r="L94" i="78"/>
  <c r="L162" i="78"/>
  <c r="I148" i="78"/>
  <c r="I93" i="78"/>
  <c r="J93" i="78"/>
  <c r="J161" i="78"/>
  <c r="E75" i="78"/>
  <c r="E143" i="78"/>
  <c r="M172" i="78"/>
  <c r="J96" i="78"/>
  <c r="J164" i="78"/>
  <c r="E78" i="78"/>
  <c r="K144" i="78"/>
  <c r="L69" i="78"/>
  <c r="J99" i="78"/>
  <c r="F166" i="78"/>
  <c r="G146" i="78"/>
  <c r="J68" i="78"/>
  <c r="H139" i="78"/>
  <c r="G67" i="78"/>
  <c r="E97" i="78"/>
  <c r="E165" i="78"/>
  <c r="J78" i="78"/>
  <c r="H162" i="78"/>
  <c r="F77" i="81"/>
  <c r="F145" i="81"/>
  <c r="M68" i="81"/>
  <c r="K98" i="81"/>
  <c r="G165" i="81"/>
  <c r="L78" i="81"/>
  <c r="I162" i="78"/>
  <c r="I142" i="78"/>
  <c r="E73" i="78"/>
  <c r="M85" i="78"/>
  <c r="I84" i="78"/>
  <c r="L156" i="78"/>
  <c r="I149" i="78"/>
  <c r="K95" i="81"/>
  <c r="G77" i="78"/>
  <c r="H156" i="78"/>
  <c r="E155" i="78"/>
  <c r="L135" i="78"/>
  <c r="G155" i="78"/>
  <c r="M156" i="78"/>
  <c r="H158" i="78"/>
  <c r="I158" i="78"/>
  <c r="N96" i="78"/>
  <c r="K158" i="78"/>
  <c r="H157" i="78"/>
  <c r="M134" i="81"/>
  <c r="L86" i="81"/>
  <c r="L73" i="81"/>
  <c r="H61" i="81"/>
  <c r="M62" i="81"/>
  <c r="G142" i="81"/>
  <c r="L158" i="81"/>
  <c r="I157" i="81"/>
  <c r="N136" i="81"/>
  <c r="G156" i="81"/>
  <c r="L135" i="81"/>
  <c r="G86" i="81"/>
  <c r="N64" i="81"/>
  <c r="K83" i="81"/>
  <c r="J69" i="81"/>
  <c r="G28" i="83"/>
  <c r="F93" i="78"/>
  <c r="N150" i="78"/>
  <c r="E89" i="78"/>
  <c r="M146" i="78"/>
  <c r="J70" i="78"/>
  <c r="N98" i="78"/>
  <c r="N166" i="78"/>
  <c r="M162" i="78"/>
  <c r="N67" i="78"/>
  <c r="L97" i="78"/>
  <c r="L165" i="78"/>
  <c r="I89" i="78"/>
  <c r="G147" i="78"/>
  <c r="N70" i="78"/>
  <c r="L100" i="78"/>
  <c r="L168" i="78"/>
  <c r="M75" i="78"/>
  <c r="K98" i="78"/>
  <c r="E77" i="81"/>
  <c r="N92" i="78"/>
  <c r="N141" i="81"/>
  <c r="F85" i="78"/>
  <c r="N133" i="78"/>
  <c r="G156" i="78"/>
  <c r="N161" i="81"/>
  <c r="I61" i="78"/>
  <c r="K166" i="78"/>
  <c r="M143" i="78"/>
  <c r="N157" i="78"/>
  <c r="N61" i="78"/>
  <c r="I63" i="78"/>
  <c r="J63" i="78"/>
  <c r="E67" i="78"/>
  <c r="L63" i="78"/>
  <c r="I62" i="78"/>
  <c r="K136" i="78"/>
  <c r="M156" i="81"/>
  <c r="H136" i="81"/>
  <c r="M86" i="81"/>
  <c r="F75" i="81"/>
  <c r="G84" i="81"/>
  <c r="N62" i="81"/>
  <c r="K61" i="81"/>
  <c r="N144" i="81"/>
  <c r="N158" i="81"/>
  <c r="E90" i="81"/>
  <c r="L157" i="81"/>
  <c r="M135" i="81"/>
  <c r="H86" i="81"/>
  <c r="G133" i="81"/>
  <c r="J86" i="81"/>
  <c r="J67" i="78"/>
  <c r="H97" i="78"/>
  <c r="N163" i="78"/>
  <c r="G93" i="78"/>
  <c r="G161" i="78"/>
  <c r="L74" i="78"/>
  <c r="H141" i="78"/>
  <c r="F171" i="78"/>
  <c r="E167" i="78"/>
  <c r="F72" i="78"/>
  <c r="F140" i="78"/>
  <c r="N169" i="78"/>
  <c r="K93" i="78"/>
  <c r="K161" i="78"/>
  <c r="F75" i="78"/>
  <c r="F143" i="78"/>
  <c r="N172" i="78"/>
  <c r="K96" i="78"/>
  <c r="G163" i="78"/>
  <c r="F78" i="78"/>
  <c r="L144" i="78"/>
  <c r="M96" i="78"/>
  <c r="M164" i="78"/>
  <c r="H78" i="78"/>
  <c r="F149" i="78"/>
  <c r="K75" i="78"/>
  <c r="K143" i="78"/>
  <c r="G78" i="78"/>
  <c r="J98" i="78"/>
  <c r="F172" i="78"/>
  <c r="K139" i="78"/>
  <c r="K92" i="78"/>
  <c r="E64" i="78"/>
  <c r="L83" i="78"/>
  <c r="G61" i="78"/>
  <c r="I67" i="78"/>
  <c r="M62" i="78"/>
  <c r="J61" i="78"/>
  <c r="N167" i="78"/>
  <c r="L61" i="78"/>
  <c r="H63" i="78"/>
  <c r="M64" i="78"/>
  <c r="N64" i="78"/>
  <c r="K74" i="78"/>
  <c r="K67" i="78"/>
  <c r="M63" i="78"/>
  <c r="E156" i="78"/>
  <c r="G158" i="81"/>
  <c r="J155" i="81"/>
  <c r="K133" i="81"/>
  <c r="F84" i="81"/>
  <c r="K85" i="81"/>
  <c r="H64" i="81"/>
  <c r="E63" i="81"/>
  <c r="N168" i="81"/>
  <c r="M61" i="81"/>
  <c r="I146" i="81"/>
  <c r="N165" i="81"/>
  <c r="E155" i="81"/>
  <c r="F133" i="81"/>
  <c r="K134" i="81"/>
  <c r="H133" i="81"/>
  <c r="N68" i="78"/>
  <c r="L98" i="78"/>
  <c r="H165" i="78"/>
  <c r="K94" i="78"/>
  <c r="K162" i="78"/>
  <c r="F76" i="78"/>
  <c r="L142" i="78"/>
  <c r="J172" i="78"/>
  <c r="I168" i="78"/>
  <c r="J73" i="78"/>
  <c r="J141" i="78"/>
  <c r="H171" i="78"/>
  <c r="E95" i="78"/>
  <c r="E163" i="78"/>
  <c r="J76" i="78"/>
  <c r="J144" i="78"/>
  <c r="G68" i="78"/>
  <c r="E98" i="78"/>
  <c r="K164" i="78"/>
  <c r="L89" i="78"/>
  <c r="F146" i="78"/>
  <c r="G98" i="78"/>
  <c r="G166" i="78"/>
  <c r="N89" i="78"/>
  <c r="J150" i="78"/>
  <c r="E77" i="78"/>
  <c r="E145" i="78"/>
  <c r="H67" i="78"/>
  <c r="J139" i="78"/>
  <c r="H67" i="81"/>
  <c r="E168" i="78"/>
  <c r="I135" i="78"/>
  <c r="M61" i="78"/>
  <c r="G145" i="78"/>
  <c r="J28" i="83"/>
  <c r="G64" i="78"/>
  <c r="I156" i="78"/>
  <c r="I134" i="78"/>
  <c r="H85" i="78"/>
  <c r="F84" i="78"/>
  <c r="E161" i="78"/>
  <c r="K86" i="81"/>
  <c r="N73" i="81"/>
  <c r="J85" i="81"/>
  <c r="I166" i="81"/>
  <c r="M136" i="81"/>
  <c r="G83" i="81"/>
  <c r="G67" i="81"/>
  <c r="J83" i="81"/>
  <c r="H62" i="81"/>
  <c r="L71" i="78"/>
  <c r="J162" i="78"/>
  <c r="I145" i="78"/>
  <c r="J90" i="78"/>
  <c r="I141" i="78"/>
  <c r="M94" i="78"/>
  <c r="N142" i="78"/>
  <c r="G72" i="78"/>
  <c r="K148" i="78"/>
  <c r="N90" i="78"/>
  <c r="N165" i="78"/>
  <c r="G95" i="78"/>
  <c r="M168" i="78"/>
  <c r="F98" i="78"/>
  <c r="H170" i="78"/>
  <c r="K167" i="78"/>
  <c r="J95" i="78"/>
  <c r="K68" i="78"/>
  <c r="M140" i="78"/>
  <c r="F70" i="78"/>
  <c r="H149" i="78"/>
  <c r="F90" i="81"/>
  <c r="H149" i="81"/>
  <c r="I74" i="81"/>
  <c r="M143" i="81"/>
  <c r="J67" i="81"/>
  <c r="L98" i="81"/>
  <c r="H165" i="81"/>
  <c r="M78" i="81"/>
  <c r="I145" i="81"/>
  <c r="F69" i="81"/>
  <c r="J97" i="81"/>
  <c r="J165" i="81"/>
  <c r="K77" i="81"/>
  <c r="K145" i="81"/>
  <c r="H69" i="81"/>
  <c r="F99" i="81"/>
  <c r="F167" i="81"/>
  <c r="M90" i="81"/>
  <c r="N89" i="81"/>
  <c r="N69" i="81"/>
  <c r="H135" i="78"/>
  <c r="E83" i="78"/>
  <c r="I169" i="78"/>
  <c r="K28" i="83"/>
  <c r="M69" i="78"/>
  <c r="M157" i="78"/>
  <c r="M135" i="78"/>
  <c r="L86" i="78"/>
  <c r="J85" i="78"/>
  <c r="E61" i="78"/>
  <c r="I133" i="81"/>
  <c r="E97" i="81"/>
  <c r="N86" i="81"/>
  <c r="J61" i="81"/>
  <c r="E156" i="81"/>
  <c r="K84" i="81"/>
  <c r="I91" i="81"/>
  <c r="N84" i="81"/>
  <c r="L63" i="81"/>
  <c r="F73" i="78"/>
  <c r="L166" i="78"/>
  <c r="G148" i="78"/>
  <c r="F96" i="78"/>
  <c r="M142" i="78"/>
  <c r="E99" i="78"/>
  <c r="H144" i="78"/>
  <c r="K73" i="78"/>
  <c r="E150" i="78"/>
  <c r="H92" i="78"/>
  <c r="H167" i="78"/>
  <c r="I99" i="78"/>
  <c r="G170" i="78"/>
  <c r="N100" i="78"/>
  <c r="L171" i="78"/>
  <c r="E169" i="78"/>
  <c r="H98" i="78"/>
  <c r="E70" i="78"/>
  <c r="G142" i="78"/>
  <c r="J71" i="78"/>
  <c r="L150" i="78"/>
  <c r="J91" i="81"/>
  <c r="L150" i="81"/>
  <c r="M75" i="81"/>
  <c r="G145" i="81"/>
  <c r="N68" i="81"/>
  <c r="F100" i="81"/>
  <c r="L166" i="81"/>
  <c r="E89" i="81"/>
  <c r="M146" i="81"/>
  <c r="J70" i="81"/>
  <c r="N98" i="81"/>
  <c r="N166" i="81"/>
  <c r="G89" i="81"/>
  <c r="E147" i="81"/>
  <c r="L70" i="81"/>
  <c r="J100" i="81"/>
  <c r="J168" i="81"/>
  <c r="G92" i="81"/>
  <c r="E150" i="81"/>
  <c r="H147" i="81"/>
  <c r="M73" i="81"/>
  <c r="I140" i="81"/>
  <c r="G170" i="81"/>
  <c r="F98" i="81"/>
  <c r="L171" i="81"/>
  <c r="E94" i="81"/>
  <c r="E162" i="81"/>
  <c r="H78" i="81"/>
  <c r="J150" i="81"/>
  <c r="M76" i="78"/>
  <c r="I68" i="78"/>
  <c r="N63" i="78"/>
  <c r="F156" i="78"/>
  <c r="L84" i="78"/>
  <c r="E63" i="78"/>
  <c r="E158" i="78"/>
  <c r="N156" i="78"/>
  <c r="J133" i="78"/>
  <c r="I75" i="78"/>
  <c r="I155" i="81"/>
  <c r="E64" i="81"/>
  <c r="F135" i="81"/>
  <c r="H84" i="81"/>
  <c r="I78" i="81"/>
  <c r="L141" i="81"/>
  <c r="N171" i="81"/>
  <c r="N135" i="81"/>
  <c r="F85" i="81"/>
  <c r="H90" i="78"/>
  <c r="J169" i="78"/>
  <c r="E164" i="78"/>
  <c r="H100" i="78"/>
  <c r="E147" i="78"/>
  <c r="L70" i="78"/>
  <c r="F147" i="78"/>
  <c r="M77" i="78"/>
  <c r="M165" i="78"/>
  <c r="F95" i="78"/>
  <c r="J171" i="78"/>
  <c r="E139" i="78"/>
  <c r="H68" i="78"/>
  <c r="J140" i="78"/>
  <c r="K99" i="78"/>
  <c r="M171" i="78"/>
  <c r="L140" i="78"/>
  <c r="M72" i="78"/>
  <c r="M147" i="78"/>
  <c r="L75" i="78"/>
  <c r="F165" i="78"/>
  <c r="H94" i="81"/>
  <c r="L163" i="81"/>
  <c r="K78" i="81"/>
  <c r="E148" i="81"/>
  <c r="L71" i="81"/>
  <c r="F141" i="81"/>
  <c r="J169" i="81"/>
  <c r="M91" i="81"/>
  <c r="K149" i="81"/>
  <c r="H73" i="81"/>
  <c r="N139" i="81"/>
  <c r="L169" i="81"/>
  <c r="E92" i="81"/>
  <c r="N164" i="78"/>
  <c r="E92" i="78"/>
  <c r="E180" i="78"/>
  <c r="F61" i="78"/>
  <c r="J135" i="78"/>
  <c r="I64" i="78"/>
  <c r="L64" i="78"/>
  <c r="G172" i="78"/>
  <c r="F157" i="78"/>
  <c r="H84" i="78"/>
  <c r="M72" i="81"/>
  <c r="E84" i="81"/>
  <c r="J158" i="81"/>
  <c r="L85" i="81"/>
  <c r="L61" i="81"/>
  <c r="K157" i="81"/>
  <c r="I83" i="81"/>
  <c r="F155" i="81"/>
  <c r="L134" i="81"/>
  <c r="L91" i="78"/>
  <c r="N170" i="78"/>
  <c r="I165" i="78"/>
  <c r="N139" i="78"/>
  <c r="M149" i="78"/>
  <c r="N74" i="78"/>
  <c r="J148" i="78"/>
  <c r="M90" i="78"/>
  <c r="G167" i="78"/>
  <c r="N97" i="78"/>
  <c r="K69" i="78"/>
  <c r="I140" i="78"/>
  <c r="F71" i="78"/>
  <c r="N141" i="78"/>
  <c r="G139" i="78"/>
  <c r="G71" i="78"/>
  <c r="F142" i="78"/>
  <c r="G74" i="78"/>
  <c r="G149" i="78"/>
  <c r="F77" i="78"/>
  <c r="J166" i="78"/>
  <c r="L95" i="81"/>
  <c r="F165" i="81"/>
  <c r="G90" i="81"/>
  <c r="I149" i="81"/>
  <c r="F73" i="81"/>
  <c r="J142" i="81"/>
  <c r="N170" i="81"/>
  <c r="G93" i="81"/>
  <c r="G161" i="81"/>
  <c r="L74" i="81"/>
  <c r="H141" i="81"/>
  <c r="F171" i="81"/>
  <c r="I93" i="81"/>
  <c r="I161" i="81"/>
  <c r="N74" i="81"/>
  <c r="N142" i="81"/>
  <c r="L172" i="81"/>
  <c r="I96" i="81"/>
  <c r="I164" i="81"/>
  <c r="L161" i="81"/>
  <c r="E78" i="81"/>
  <c r="K144" i="81"/>
  <c r="L69" i="81"/>
  <c r="J140" i="81"/>
  <c r="I68" i="81"/>
  <c r="G98" i="81"/>
  <c r="G166" i="81"/>
  <c r="F94" i="81"/>
  <c r="H166" i="81"/>
  <c r="E100" i="78"/>
  <c r="N147" i="78"/>
  <c r="F158" i="78"/>
  <c r="M95" i="78"/>
  <c r="N62" i="78"/>
  <c r="F155" i="78"/>
  <c r="E136" i="78"/>
  <c r="I85" i="78"/>
  <c r="M74" i="78"/>
  <c r="L158" i="78"/>
  <c r="N83" i="81"/>
  <c r="K155" i="81"/>
  <c r="H92" i="81"/>
  <c r="K143" i="81"/>
  <c r="F134" i="81"/>
  <c r="H63" i="81"/>
  <c r="I156" i="81"/>
  <c r="E85" i="81"/>
  <c r="L139" i="78"/>
  <c r="M91" i="78"/>
  <c r="F69" i="78"/>
  <c r="H148" i="78"/>
  <c r="M169" i="78"/>
  <c r="L90" i="78"/>
  <c r="F167" i="78"/>
  <c r="G99" i="78"/>
  <c r="F68" i="78"/>
  <c r="N145" i="78"/>
  <c r="G75" i="78"/>
  <c r="I147" i="78"/>
  <c r="L76" i="78"/>
  <c r="H150" i="78"/>
  <c r="M144" i="78"/>
  <c r="F74" i="78"/>
  <c r="F162" i="78"/>
  <c r="M92" i="78"/>
  <c r="I166" i="78"/>
  <c r="L95" i="78"/>
  <c r="F70" i="81"/>
  <c r="J139" i="81"/>
  <c r="L170" i="81"/>
  <c r="M95" i="81"/>
  <c r="M163" i="81"/>
  <c r="H90" i="81"/>
  <c r="F148" i="81"/>
  <c r="I70" i="81"/>
  <c r="M98" i="81"/>
  <c r="M166" i="81"/>
  <c r="F89" i="81"/>
  <c r="N146" i="81"/>
  <c r="G69" i="81"/>
  <c r="E99" i="81"/>
  <c r="E167" i="81"/>
  <c r="L90" i="81"/>
  <c r="J148" i="81"/>
  <c r="G72" i="81"/>
  <c r="G140" i="81"/>
  <c r="E170" i="81"/>
  <c r="F170" i="81"/>
  <c r="M93" i="81"/>
  <c r="G150" i="81"/>
  <c r="L76" i="81"/>
  <c r="J147" i="81"/>
  <c r="E74" i="81"/>
  <c r="E142" i="81"/>
  <c r="M171" i="81"/>
  <c r="H139" i="81"/>
  <c r="M99" i="81"/>
  <c r="N171" i="78"/>
  <c r="K62" i="78"/>
  <c r="F158" i="81"/>
  <c r="H64" i="78"/>
  <c r="J156" i="78"/>
  <c r="I155" i="78"/>
  <c r="M86" i="78"/>
  <c r="G84" i="78"/>
  <c r="G135" i="78"/>
  <c r="H85" i="81"/>
  <c r="E157" i="81"/>
  <c r="M133" i="81"/>
  <c r="M167" i="81"/>
  <c r="J135" i="81"/>
  <c r="L64" i="81"/>
  <c r="M157" i="81"/>
  <c r="I86" i="81"/>
  <c r="E28" i="83"/>
  <c r="F141" i="78"/>
  <c r="E96" i="78"/>
  <c r="N71" i="78"/>
  <c r="F164" i="78"/>
  <c r="G171" i="78"/>
  <c r="F92" i="78"/>
  <c r="J168" i="78"/>
  <c r="K100" i="78"/>
  <c r="J69" i="78"/>
  <c r="H147" i="78"/>
  <c r="K76" i="78"/>
  <c r="M148" i="78"/>
  <c r="F91" i="78"/>
  <c r="N161" i="78"/>
  <c r="K147" i="78"/>
  <c r="J75" i="78"/>
  <c r="J163" i="78"/>
  <c r="G94" i="78"/>
  <c r="M167" i="78"/>
  <c r="F97" i="78"/>
  <c r="J71" i="81"/>
  <c r="N140" i="81"/>
  <c r="F172" i="81"/>
  <c r="G97" i="81"/>
  <c r="K166" i="81"/>
  <c r="L91" i="81"/>
  <c r="J149" i="81"/>
  <c r="M71" i="81"/>
  <c r="G100" i="81"/>
  <c r="G168" i="81"/>
  <c r="J90" i="81"/>
  <c r="H148" i="81"/>
  <c r="K70" i="81"/>
  <c r="I100" i="81"/>
  <c r="I168" i="81"/>
  <c r="F92" i="81"/>
  <c r="N149" i="81"/>
  <c r="K73" i="81"/>
  <c r="K141" i="81"/>
  <c r="I171" i="81"/>
  <c r="J171" i="81"/>
  <c r="G95" i="81"/>
  <c r="M161" i="81"/>
  <c r="F78" i="81"/>
  <c r="H150" i="81"/>
  <c r="I75" i="81"/>
  <c r="K146" i="78"/>
  <c r="N135" i="78"/>
  <c r="L28" i="83"/>
  <c r="N136" i="78"/>
  <c r="K83" i="78"/>
  <c r="E157" i="78"/>
  <c r="N155" i="78"/>
  <c r="I85" i="81"/>
  <c r="N100" i="81"/>
  <c r="J157" i="81"/>
  <c r="I134" i="81"/>
  <c r="F136" i="81"/>
  <c r="J149" i="78"/>
  <c r="H73" i="78"/>
  <c r="G164" i="78"/>
  <c r="L145" i="78"/>
  <c r="I144" i="78"/>
  <c r="L148" i="78"/>
  <c r="G143" i="78"/>
  <c r="F139" i="78"/>
  <c r="E162" i="78"/>
  <c r="H166" i="78"/>
  <c r="G162" i="78"/>
  <c r="L163" i="78"/>
  <c r="J146" i="81"/>
  <c r="E100" i="81"/>
  <c r="N75" i="81"/>
  <c r="F168" i="81"/>
  <c r="K142" i="81"/>
  <c r="N91" i="81"/>
  <c r="N90" i="81"/>
  <c r="I148" i="81"/>
  <c r="J93" i="81"/>
  <c r="H171" i="81"/>
  <c r="I144" i="81"/>
  <c r="L148" i="81"/>
  <c r="I92" i="81"/>
  <c r="I167" i="81"/>
  <c r="H143" i="81"/>
  <c r="G78" i="81"/>
  <c r="I150" i="81"/>
  <c r="J95" i="81"/>
  <c r="E171" i="82"/>
  <c r="M170" i="78"/>
  <c r="F64" i="78"/>
  <c r="K91" i="78"/>
  <c r="L157" i="78"/>
  <c r="K156" i="78"/>
  <c r="G62" i="78"/>
  <c r="I157" i="78"/>
  <c r="E135" i="81"/>
  <c r="N77" i="81"/>
  <c r="G63" i="81"/>
  <c r="E180" i="81"/>
  <c r="E165" i="82" s="1"/>
  <c r="H155" i="81"/>
  <c r="F161" i="78"/>
  <c r="J77" i="78"/>
  <c r="K165" i="78"/>
  <c r="N149" i="78"/>
  <c r="M145" i="78"/>
  <c r="F150" i="78"/>
  <c r="E146" i="78"/>
  <c r="H143" i="78"/>
  <c r="I163" i="78"/>
  <c r="L167" i="78"/>
  <c r="K163" i="78"/>
  <c r="H169" i="78"/>
  <c r="N147" i="81"/>
  <c r="K139" i="81"/>
  <c r="H77" i="81"/>
  <c r="H172" i="81"/>
  <c r="E144" i="81"/>
  <c r="H93" i="81"/>
  <c r="M67" i="81"/>
  <c r="M149" i="81"/>
  <c r="N94" i="81"/>
  <c r="E68" i="81"/>
  <c r="M145" i="81"/>
  <c r="F150" i="81"/>
  <c r="K96" i="81"/>
  <c r="M168" i="81"/>
  <c r="L144" i="81"/>
  <c r="M89" i="81"/>
  <c r="I163" i="81"/>
  <c r="H98" i="81"/>
  <c r="M133" i="78"/>
  <c r="I73" i="78"/>
  <c r="I84" i="81"/>
  <c r="H70" i="78"/>
  <c r="E172" i="82"/>
  <c r="G90" i="78"/>
  <c r="N69" i="78"/>
  <c r="K84" i="78"/>
  <c r="E181" i="78"/>
  <c r="G73" i="78"/>
  <c r="K63" i="78"/>
  <c r="E61" i="81"/>
  <c r="I136" i="81"/>
  <c r="L93" i="81"/>
  <c r="K64" i="81"/>
  <c r="K68" i="81"/>
  <c r="L156" i="81"/>
  <c r="F168" i="78"/>
  <c r="N78" i="78"/>
  <c r="K172" i="78"/>
  <c r="N162" i="78"/>
  <c r="I164" i="78"/>
  <c r="L161" i="78"/>
  <c r="G150" i="78"/>
  <c r="J147" i="78"/>
  <c r="I170" i="78"/>
  <c r="F169" i="78"/>
  <c r="G169" i="78"/>
  <c r="L170" i="78"/>
  <c r="H162" i="81"/>
  <c r="E141" i="81"/>
  <c r="F93" i="81"/>
  <c r="K67" i="81"/>
  <c r="G148" i="81"/>
  <c r="L94" i="81"/>
  <c r="E72" i="81"/>
  <c r="M162" i="81"/>
  <c r="H96" i="81"/>
  <c r="I69" i="81"/>
  <c r="G147" i="81"/>
  <c r="J164" i="81"/>
  <c r="E98" i="81"/>
  <c r="K171" i="81"/>
  <c r="F146" i="81"/>
  <c r="G91" i="81"/>
  <c r="M164" i="81"/>
  <c r="L99" i="81"/>
  <c r="N158" i="78"/>
  <c r="I71" i="81"/>
  <c r="I70" i="78"/>
  <c r="M83" i="78"/>
  <c r="N86" i="78"/>
  <c r="I62" i="81"/>
  <c r="M140" i="81"/>
  <c r="N155" i="81"/>
  <c r="K135" i="81"/>
  <c r="F62" i="81"/>
  <c r="I77" i="78"/>
  <c r="F89" i="78"/>
  <c r="G76" i="78"/>
  <c r="H164" i="78"/>
  <c r="K168" i="78"/>
  <c r="F163" i="78"/>
  <c r="M161" i="78"/>
  <c r="N148" i="78"/>
  <c r="F67" i="78"/>
  <c r="J170" i="78"/>
  <c r="K170" i="78"/>
  <c r="L68" i="81"/>
  <c r="J166" i="81"/>
  <c r="I142" i="81"/>
  <c r="J94" i="81"/>
  <c r="E69" i="81"/>
  <c r="K162" i="81"/>
  <c r="F96" i="81"/>
  <c r="I73" i="81"/>
  <c r="G164" i="81"/>
  <c r="L97" i="81"/>
  <c r="M70" i="81"/>
  <c r="K148" i="81"/>
  <c r="H167" i="81"/>
  <c r="I99" i="81"/>
  <c r="H68" i="81"/>
  <c r="H163" i="81"/>
  <c r="K92" i="81"/>
  <c r="K167" i="81"/>
  <c r="L140" i="81"/>
  <c r="K61" i="78"/>
  <c r="L133" i="81"/>
  <c r="H99" i="81"/>
  <c r="E134" i="78"/>
  <c r="I83" i="78"/>
  <c r="G85" i="78"/>
  <c r="J158" i="78"/>
  <c r="M63" i="81"/>
  <c r="N164" i="81"/>
  <c r="H157" i="81"/>
  <c r="F163" i="81"/>
  <c r="J63" i="81"/>
  <c r="F28" i="83"/>
  <c r="M78" i="78"/>
  <c r="J97" i="78"/>
  <c r="K77" i="78"/>
  <c r="L172" i="78"/>
  <c r="E170" i="78"/>
  <c r="F170" i="78"/>
  <c r="E166" i="78"/>
  <c r="H163" i="78"/>
  <c r="H71" i="78"/>
  <c r="I71" i="78"/>
  <c r="E172" i="78"/>
  <c r="N72" i="81"/>
  <c r="N167" i="81"/>
  <c r="K146" i="81"/>
  <c r="N95" i="81"/>
  <c r="G73" i="81"/>
  <c r="E164" i="81"/>
  <c r="H100" i="81"/>
  <c r="M74" i="81"/>
  <c r="K165" i="81"/>
  <c r="F140" i="81"/>
  <c r="E75" i="81"/>
  <c r="K161" i="81"/>
  <c r="L168" i="81"/>
  <c r="M100" i="81"/>
  <c r="F71" i="81"/>
  <c r="L164" i="81"/>
  <c r="I95" i="81"/>
  <c r="E169" i="81"/>
  <c r="F142" i="81"/>
  <c r="K85" i="78"/>
  <c r="K63" i="81"/>
  <c r="L62" i="78"/>
  <c r="G134" i="78"/>
  <c r="G158" i="78"/>
  <c r="M150" i="78"/>
  <c r="G136" i="81"/>
  <c r="L62" i="81"/>
  <c r="I64" i="81"/>
  <c r="K170" i="81"/>
  <c r="J134" i="81"/>
  <c r="H28" i="83"/>
  <c r="I90" i="78"/>
  <c r="F144" i="78"/>
  <c r="G89" i="78"/>
  <c r="E68" i="78"/>
  <c r="I171" i="78"/>
  <c r="E71" i="78"/>
  <c r="I167" i="78"/>
  <c r="L164" i="78"/>
  <c r="L72" i="78"/>
  <c r="I78" i="78"/>
  <c r="L68" i="78"/>
  <c r="H74" i="81"/>
  <c r="H169" i="81"/>
  <c r="M150" i="81"/>
  <c r="H97" i="81"/>
  <c r="K74" i="81"/>
  <c r="I165" i="81"/>
  <c r="L142" i="81"/>
  <c r="G76" i="81"/>
  <c r="M169" i="81"/>
  <c r="J141" i="81"/>
  <c r="I76" i="81"/>
  <c r="E163" i="81"/>
  <c r="N172" i="81"/>
  <c r="E139" i="81"/>
  <c r="J72" i="81"/>
  <c r="F166" i="81"/>
  <c r="M96" i="81"/>
  <c r="I170" i="81"/>
  <c r="J143" i="81"/>
  <c r="G162" i="81"/>
  <c r="K157" i="78"/>
  <c r="K135" i="78"/>
  <c r="E62" i="78"/>
  <c r="H62" i="78"/>
  <c r="N96" i="81"/>
  <c r="F64" i="81"/>
  <c r="E83" i="81"/>
  <c r="N61" i="81"/>
  <c r="J156" i="81"/>
  <c r="I28" i="83"/>
  <c r="I97" i="78"/>
  <c r="J145" i="78"/>
  <c r="H69" i="78"/>
  <c r="I69" i="78"/>
  <c r="H72" i="78"/>
  <c r="I72" i="78"/>
  <c r="K171" i="78"/>
  <c r="J167" i="78"/>
  <c r="N76" i="78"/>
  <c r="E90" i="78"/>
  <c r="H74" i="78"/>
  <c r="L75" i="81"/>
  <c r="I67" i="81"/>
  <c r="E161" i="81"/>
  <c r="L139" i="81"/>
  <c r="E76" i="81"/>
  <c r="K169" i="81"/>
  <c r="F144" i="81"/>
  <c r="K90" i="81"/>
  <c r="G171" i="81"/>
  <c r="H144" i="81"/>
  <c r="M77" i="81"/>
  <c r="M165" i="81"/>
  <c r="G68" i="81"/>
  <c r="M141" i="81"/>
  <c r="H75" i="81"/>
  <c r="J167" i="81"/>
  <c r="K99" i="81"/>
  <c r="F67" i="81"/>
  <c r="H146" i="81"/>
  <c r="N144" i="78"/>
  <c r="K78" i="78"/>
  <c r="G97" i="78"/>
  <c r="N93" i="81"/>
  <c r="N140" i="78"/>
  <c r="G83" i="78"/>
  <c r="K70" i="78"/>
  <c r="N83" i="78"/>
  <c r="K90" i="78"/>
  <c r="F61" i="81"/>
  <c r="I61" i="81"/>
  <c r="M85" i="81"/>
  <c r="H134" i="81"/>
  <c r="F68" i="81"/>
  <c r="J74" i="78"/>
  <c r="G100" i="78"/>
  <c r="J165" i="78"/>
  <c r="L77" i="78"/>
  <c r="I76" i="78"/>
  <c r="N77" i="78"/>
  <c r="K89" i="78"/>
  <c r="N73" i="78"/>
  <c r="I95" i="78"/>
  <c r="L92" i="78"/>
  <c r="K95" i="78"/>
  <c r="J91" i="78"/>
  <c r="N92" i="81"/>
  <c r="K71" i="81"/>
  <c r="E168" i="81"/>
  <c r="H145" i="81"/>
  <c r="I90" i="81"/>
  <c r="I172" i="81"/>
  <c r="L149" i="81"/>
  <c r="G96" i="81"/>
  <c r="N67" i="81"/>
  <c r="F147" i="81"/>
  <c r="K93" i="81"/>
  <c r="K168" i="81"/>
  <c r="E71" i="81"/>
  <c r="E146" i="81"/>
  <c r="F91" i="81"/>
  <c r="J89" i="81"/>
  <c r="K140" i="81"/>
  <c r="H71" i="81"/>
  <c r="F149" i="81"/>
  <c r="L169" i="78"/>
  <c r="I92" i="78"/>
  <c r="E142" i="78"/>
  <c r="H142" i="78"/>
  <c r="J98" i="81"/>
  <c r="N150" i="81"/>
  <c r="E96" i="81"/>
  <c r="E140" i="81"/>
  <c r="N162" i="81"/>
  <c r="L100" i="81"/>
  <c r="H95" i="81"/>
  <c r="F83" i="78"/>
  <c r="I100" i="78"/>
  <c r="J155" i="78"/>
  <c r="M155" i="78"/>
  <c r="J133" i="81"/>
  <c r="G64" i="81"/>
  <c r="M158" i="81"/>
  <c r="F143" i="81"/>
  <c r="E136" i="81"/>
  <c r="J94" i="78"/>
  <c r="E144" i="78"/>
  <c r="H168" i="78"/>
  <c r="H89" i="78"/>
  <c r="G92" i="78"/>
  <c r="J89" i="78"/>
  <c r="E91" i="78"/>
  <c r="H75" i="78"/>
  <c r="K140" i="78"/>
  <c r="F94" i="78"/>
  <c r="I98" i="78"/>
  <c r="H94" i="78"/>
  <c r="F97" i="81"/>
  <c r="E73" i="81"/>
  <c r="I169" i="81"/>
  <c r="L146" i="81"/>
  <c r="K94" i="81"/>
  <c r="L67" i="81"/>
  <c r="H161" i="81"/>
  <c r="K97" i="81"/>
  <c r="F72" i="81"/>
  <c r="J161" i="81"/>
  <c r="E95" i="81"/>
  <c r="M172" i="81"/>
  <c r="I72" i="81"/>
  <c r="I147" i="81"/>
  <c r="J92" i="81"/>
  <c r="E67" i="81"/>
  <c r="I143" i="81"/>
  <c r="L72" i="81"/>
  <c r="F162" i="81"/>
  <c r="N94" i="78"/>
  <c r="J92" i="78"/>
  <c r="M99" i="78"/>
  <c r="G77" i="81"/>
  <c r="L162" i="81"/>
  <c r="J73" i="81"/>
  <c r="M97" i="81"/>
  <c r="M148" i="81"/>
  <c r="M69" i="81"/>
  <c r="H61" i="78"/>
  <c r="H134" i="78"/>
  <c r="F62" i="78"/>
  <c r="G157" i="78"/>
  <c r="N134" i="81"/>
  <c r="J76" i="81"/>
  <c r="F63" i="81"/>
  <c r="H156" i="81"/>
  <c r="G155" i="81"/>
  <c r="N95" i="78"/>
  <c r="K149" i="78"/>
  <c r="I96" i="78"/>
  <c r="L93" i="78"/>
  <c r="L99" i="78"/>
  <c r="M170" i="81"/>
  <c r="N71" i="81"/>
  <c r="G75" i="81"/>
  <c r="M144" i="81"/>
  <c r="H155" i="78"/>
  <c r="E141" i="78"/>
  <c r="F63" i="78"/>
  <c r="E74" i="78"/>
  <c r="M67" i="78"/>
  <c r="J86" i="78"/>
  <c r="M89" i="78"/>
  <c r="G165" i="78"/>
  <c r="M68" i="78"/>
  <c r="E94" i="78"/>
  <c r="K64" i="78"/>
  <c r="K71" i="78"/>
  <c r="H83" i="78"/>
  <c r="E72" i="78"/>
  <c r="K155" i="78"/>
  <c r="J136" i="78"/>
  <c r="K62" i="81"/>
  <c r="N76" i="81"/>
  <c r="F156" i="81"/>
  <c r="E133" i="81"/>
  <c r="L83" i="81"/>
  <c r="F148" i="78"/>
  <c r="L67" i="78"/>
  <c r="I161" i="78"/>
  <c r="J100" i="78"/>
  <c r="K141" i="78"/>
  <c r="L141" i="78"/>
  <c r="M141" i="78"/>
  <c r="L96" i="78"/>
  <c r="I150" i="78"/>
  <c r="H158" i="81"/>
  <c r="G168" i="78"/>
  <c r="M93" i="78"/>
  <c r="I146" i="78"/>
  <c r="I162" i="81"/>
  <c r="J77" i="81"/>
  <c r="L145" i="81"/>
  <c r="K89" i="81"/>
  <c r="G139" i="81"/>
  <c r="G135" i="81"/>
  <c r="N146" i="78"/>
  <c r="M100" i="78"/>
  <c r="K150" i="78"/>
  <c r="G172" i="81"/>
  <c r="N78" i="81"/>
  <c r="H164" i="81"/>
  <c r="E91" i="81"/>
  <c r="G146" i="81"/>
  <c r="K136" i="81"/>
  <c r="E140" i="78"/>
  <c r="J72" i="78"/>
  <c r="F90" i="78"/>
  <c r="H70" i="81"/>
  <c r="J145" i="81"/>
  <c r="L165" i="81"/>
  <c r="G143" i="81"/>
  <c r="K147" i="81"/>
  <c r="J64" i="81"/>
  <c r="G144" i="78"/>
  <c r="N93" i="78"/>
  <c r="L143" i="78"/>
  <c r="J74" i="81"/>
  <c r="F164" i="81"/>
  <c r="N169" i="81"/>
  <c r="G163" i="81"/>
  <c r="E149" i="81"/>
  <c r="F83" i="81"/>
  <c r="H76" i="78"/>
  <c r="H95" i="78"/>
  <c r="F145" i="78"/>
  <c r="N143" i="81"/>
  <c r="K164" i="81"/>
  <c r="M147" i="81"/>
  <c r="H96" i="78"/>
  <c r="N168" i="78"/>
  <c r="J146" i="78"/>
  <c r="F161" i="81"/>
  <c r="J172" i="81"/>
  <c r="G99" i="81"/>
  <c r="E166" i="81"/>
  <c r="F74" i="81"/>
  <c r="M84" i="81"/>
  <c r="F99" i="78"/>
  <c r="I143" i="78"/>
  <c r="J78" i="81"/>
  <c r="J162" i="81"/>
  <c r="M94" i="81"/>
  <c r="K100" i="81"/>
  <c r="L89" i="81"/>
  <c r="J75" i="81"/>
  <c r="K156" i="81"/>
  <c r="M70" i="78"/>
  <c r="E149" i="78"/>
  <c r="N99" i="81"/>
  <c r="N163" i="81"/>
  <c r="I141" i="81"/>
  <c r="E143" i="81"/>
  <c r="L96" i="81"/>
  <c r="H91" i="81"/>
  <c r="E158" i="81"/>
  <c r="M97" i="78"/>
  <c r="H91" i="78"/>
  <c r="H142" i="81"/>
  <c r="I77" i="81"/>
  <c r="M142" i="81"/>
  <c r="G167" i="81"/>
  <c r="J99" i="81"/>
  <c r="L92" i="81"/>
  <c r="G140" i="78"/>
  <c r="J143" i="78"/>
  <c r="L143" i="81"/>
  <c r="I97" i="81"/>
  <c r="G144" i="81"/>
  <c r="H140" i="81"/>
  <c r="F139" i="81"/>
  <c r="L147" i="81"/>
  <c r="I89" i="81"/>
  <c r="J64" i="78"/>
  <c r="F100" i="78"/>
  <c r="L73" i="78"/>
  <c r="H146" i="78"/>
  <c r="G70" i="81"/>
  <c r="M139" i="81"/>
  <c r="K172" i="81"/>
  <c r="J144" i="81"/>
  <c r="H170" i="81"/>
  <c r="J163" i="81"/>
  <c r="E84" i="78"/>
  <c r="H99" i="78"/>
  <c r="H76" i="81"/>
  <c r="N145" i="81"/>
  <c r="L167" i="81"/>
  <c r="L85" i="78"/>
  <c r="M98" i="78"/>
  <c r="J142" i="78"/>
  <c r="L147" i="78"/>
  <c r="K91" i="81"/>
  <c r="G141" i="81"/>
  <c r="G71" i="81"/>
  <c r="H140" i="78"/>
  <c r="E93" i="81"/>
  <c r="E171" i="81"/>
  <c r="K69" i="81"/>
  <c r="K72" i="81"/>
  <c r="H168" i="81"/>
  <c r="I91" i="78"/>
  <c r="L77" i="81"/>
  <c r="F169" i="81"/>
  <c r="N156" i="81"/>
  <c r="M166" i="78"/>
  <c r="M73" i="78"/>
  <c r="I139" i="78"/>
  <c r="I94" i="81"/>
  <c r="F76" i="81"/>
  <c r="H89" i="81"/>
  <c r="K76" i="81"/>
  <c r="M76" i="81"/>
  <c r="J170" i="81"/>
  <c r="J68" i="81"/>
  <c r="Z279" i="82"/>
  <c r="G97" i="92"/>
  <c r="Q38" i="84"/>
  <c r="G38" i="84"/>
  <c r="G53" i="89"/>
  <c r="P91" i="87"/>
  <c r="X164" i="79"/>
  <c r="G83" i="87"/>
  <c r="X270" i="83"/>
  <c r="G131" i="79"/>
  <c r="Q51" i="106"/>
  <c r="G232" i="83"/>
  <c r="O576" i="112"/>
  <c r="G51" i="106"/>
  <c r="G576" i="112"/>
  <c r="G82" i="91"/>
  <c r="G149" i="91"/>
  <c r="Q43" i="105"/>
  <c r="G43" i="105"/>
  <c r="P39" i="85"/>
  <c r="G247" i="82"/>
  <c r="G39" i="85"/>
  <c r="F225" i="112" a="1"/>
  <c r="F225" i="112" s="1"/>
  <c r="G225" i="112" s="1" a="1"/>
  <c r="G225" i="112" s="1"/>
  <c r="P50" i="87"/>
  <c r="U51" i="87"/>
  <c r="U52" i="87"/>
  <c r="I25" i="106" a="1"/>
  <c r="I25" i="106" s="1"/>
  <c r="D46" i="106" s="1"/>
  <c r="F221" i="112" a="1"/>
  <c r="F221" i="112" s="1"/>
  <c r="W50" i="87"/>
  <c r="T50" i="87"/>
  <c r="Q50" i="87"/>
  <c r="S50" i="87" a="1"/>
  <c r="S50" i="87" s="1"/>
  <c r="R50" i="87" a="1"/>
  <c r="R50" i="87" s="1"/>
  <c r="E237" i="112"/>
  <c r="J239" i="112" a="1"/>
  <c r="J239" i="112" s="1"/>
  <c r="J238" i="112" a="1"/>
  <c r="J238" i="112" s="1"/>
  <c r="J246" i="112" a="1"/>
  <c r="J246" i="112" s="1"/>
  <c r="J244" i="112" a="1"/>
  <c r="J244" i="112" s="1"/>
  <c r="J245" i="112" a="1"/>
  <c r="J245" i="112" s="1"/>
  <c r="J243" i="112" a="1"/>
  <c r="J243" i="112" s="1"/>
  <c r="J242" i="112" a="1"/>
  <c r="J242" i="112" s="1"/>
  <c r="J240" i="112" a="1"/>
  <c r="J240" i="112" s="1"/>
  <c r="J241" i="112" a="1"/>
  <c r="J241" i="112" s="1"/>
  <c r="K239" i="112" a="1"/>
  <c r="K239" i="112" s="1"/>
  <c r="K244" i="112" a="1"/>
  <c r="K244" i="112" s="1"/>
  <c r="K246" i="112" a="1"/>
  <c r="K246" i="112" s="1"/>
  <c r="H244" i="112" a="1"/>
  <c r="H244" i="112" s="1"/>
  <c r="K241" i="112" a="1"/>
  <c r="K241" i="112" s="1"/>
  <c r="K240" i="112" a="1"/>
  <c r="K240" i="112" s="1"/>
  <c r="H241" i="112" a="1"/>
  <c r="H241" i="112" s="1"/>
  <c r="H245" i="112" a="1"/>
  <c r="H245" i="112" s="1"/>
  <c r="K245" i="112" a="1"/>
  <c r="K245" i="112" s="1"/>
  <c r="H243" i="112" a="1"/>
  <c r="H243" i="112" s="1"/>
  <c r="H239" i="112" a="1"/>
  <c r="H239" i="112" s="1"/>
  <c r="K243" i="112" a="1"/>
  <c r="K243" i="112" s="1"/>
  <c r="H240" i="112" a="1"/>
  <c r="H240" i="112" s="1"/>
  <c r="H246" i="112" a="1"/>
  <c r="H246" i="112" s="1"/>
  <c r="H238" i="112" a="1"/>
  <c r="H238" i="112" s="1"/>
  <c r="K242" i="112" a="1"/>
  <c r="K242" i="112" s="1"/>
  <c r="K238" i="112" a="1"/>
  <c r="K238" i="112" s="1"/>
  <c r="H242" i="112" a="1"/>
  <c r="H242" i="112" s="1"/>
  <c r="E19" i="91"/>
  <c r="H19" i="91" s="1" a="1"/>
  <c r="H19" i="91" s="1"/>
  <c r="E59" i="91" s="1"/>
  <c r="E23" i="92"/>
  <c r="F23" i="92" s="1" a="1"/>
  <c r="F23" i="92" s="1"/>
  <c r="E131" i="112"/>
  <c r="E145" i="112" s="1"/>
  <c r="E130" i="112"/>
  <c r="E144" i="112" s="1"/>
  <c r="E192" i="102"/>
  <c r="E588" i="112" s="1"/>
  <c r="E58" i="99"/>
  <c r="I516" i="112" s="1"/>
  <c r="E151" i="102"/>
  <c r="E57" i="99"/>
  <c r="E25" i="13" s="1" a="1"/>
  <c r="E25" i="13" s="1"/>
  <c r="H25" i="13" s="1" a="1"/>
  <c r="H25" i="13" s="1"/>
  <c r="E70" i="98"/>
  <c r="I515" i="112" s="1"/>
  <c r="E67" i="98"/>
  <c r="E20" i="13" s="1" a="1"/>
  <c r="E20" i="13" s="1"/>
  <c r="H20" i="13" s="1"/>
  <c r="E56" i="99"/>
  <c r="E24" i="13" s="1" a="1"/>
  <c r="E24" i="13" s="1"/>
  <c r="F24" i="13" s="1"/>
  <c r="I24" i="13" s="1" a="1"/>
  <c r="I24" i="13" s="1"/>
  <c r="E68" i="98"/>
  <c r="E21" i="13" s="1" a="1"/>
  <c r="E21" i="13" s="1"/>
  <c r="F21" i="13" s="1"/>
  <c r="I21" i="13" s="1" a="1"/>
  <c r="I21" i="13" s="1"/>
  <c r="E69" i="98"/>
  <c r="E22" i="13" s="1" a="1"/>
  <c r="E22" i="13" s="1"/>
  <c r="F22" i="13" s="1"/>
  <c r="I22" i="13" s="1" a="1"/>
  <c r="I22" i="13" s="1"/>
  <c r="E55" i="99"/>
  <c r="E23" i="13" s="1" a="1"/>
  <c r="E23" i="13" s="1"/>
  <c r="H23" i="13" s="1"/>
  <c r="F26" i="13"/>
  <c r="I26" i="13" s="1"/>
  <c r="D48" i="13"/>
  <c r="E48" i="13" s="1"/>
  <c r="E49" i="13"/>
  <c r="E50" i="13"/>
  <c r="E22" i="75"/>
  <c r="H27" i="13"/>
  <c r="F27" i="13"/>
  <c r="I27" i="13" s="1"/>
  <c r="E19" i="75"/>
  <c r="E20" i="75"/>
  <c r="E21" i="75" s="1"/>
  <c r="E37" i="13"/>
  <c r="E39" i="13"/>
  <c r="F39" i="13"/>
  <c r="H54" i="74"/>
  <c r="H51" i="74"/>
  <c r="H49" i="74"/>
  <c r="H53" i="74"/>
  <c r="H48" i="74"/>
  <c r="I20" i="90" s="1"/>
  <c r="H52" i="74"/>
  <c r="H50" i="74"/>
  <c r="I34" i="85" s="1"/>
  <c r="H29" i="90" l="1" a="1"/>
  <c r="H29" i="90" s="1"/>
  <c r="H28" i="90" a="1"/>
  <c r="H28" i="90" s="1"/>
  <c r="H27" i="90" a="1"/>
  <c r="H27" i="90" s="1"/>
  <c r="H26" i="90" a="1"/>
  <c r="H26" i="90" s="1"/>
  <c r="J35" i="105"/>
  <c r="J15" i="113"/>
  <c r="G222" i="112" a="1"/>
  <c r="G222" i="112" s="1"/>
  <c r="G230" i="112" a="1"/>
  <c r="G230" i="112" s="1"/>
  <c r="F142" i="91" a="1"/>
  <c r="F142" i="91" s="1"/>
  <c r="E24" i="92"/>
  <c r="F24" i="92" s="1" a="1"/>
  <c r="F24" i="92" s="1"/>
  <c r="E43" i="92" s="1"/>
  <c r="J89" i="92" s="1"/>
  <c r="E94" i="92" s="1" a="1"/>
  <c r="E94" i="92" s="1"/>
  <c r="E20" i="91"/>
  <c r="H20" i="91" s="1" a="1"/>
  <c r="H20" i="91" s="1"/>
  <c r="E60" i="91" s="1"/>
  <c r="I51" i="87"/>
  <c r="E60" i="87" s="1" a="1"/>
  <c r="E60" i="87" s="1"/>
  <c r="E32" i="89"/>
  <c r="K44" i="89" s="1"/>
  <c r="E65" i="92"/>
  <c r="F65" i="92" s="1" a="1"/>
  <c r="F65" i="92" s="1"/>
  <c r="E77" i="92" s="1"/>
  <c r="J90" i="92" s="1"/>
  <c r="E102" i="91"/>
  <c r="F102" i="91" s="1" a="1"/>
  <c r="F102" i="91" s="1"/>
  <c r="E134" i="91" s="1"/>
  <c r="E33" i="92"/>
  <c r="F33" i="92" s="1" a="1"/>
  <c r="F33" i="92" s="1"/>
  <c r="E29" i="91"/>
  <c r="H29" i="91" s="1" a="1"/>
  <c r="H29" i="91" s="1"/>
  <c r="E69" i="91" s="1"/>
  <c r="E74" i="87" a="1"/>
  <c r="E74" i="87" s="1"/>
  <c r="E37" i="92"/>
  <c r="F37" i="92" s="1" a="1"/>
  <c r="F37" i="92" s="1"/>
  <c r="E33" i="91"/>
  <c r="H33" i="91" s="1" a="1"/>
  <c r="H33" i="91" s="1"/>
  <c r="E73" i="91" s="1"/>
  <c r="F73" i="91" s="1" a="1"/>
  <c r="F73" i="91" s="1"/>
  <c r="I126" i="91"/>
  <c r="F140" i="91" s="1" a="1"/>
  <c r="F140" i="91" s="1"/>
  <c r="G224" i="112" a="1"/>
  <c r="G224" i="112" s="1"/>
  <c r="E103" i="91"/>
  <c r="F103" i="91" s="1" a="1"/>
  <c r="F103" i="91" s="1"/>
  <c r="E135" i="91" s="1"/>
  <c r="E66" i="92"/>
  <c r="F66" i="92" s="1" a="1"/>
  <c r="F66" i="92" s="1"/>
  <c r="U50" i="87"/>
  <c r="V50" i="87" a="1"/>
  <c r="V50" i="87" s="1"/>
  <c r="I50" i="113"/>
  <c r="G227" i="112" a="1"/>
  <c r="G227" i="112" s="1"/>
  <c r="E67" i="92"/>
  <c r="F67" i="92" s="1" a="1"/>
  <c r="F67" i="92" s="1"/>
  <c r="E104" i="91"/>
  <c r="F104" i="91" s="1" a="1"/>
  <c r="F104" i="91" s="1"/>
  <c r="E136" i="91" s="1"/>
  <c r="E68" i="87" a="1"/>
  <c r="E68" i="87" s="1"/>
  <c r="E31" i="92"/>
  <c r="F31" i="92" s="1" a="1"/>
  <c r="F31" i="92" s="1"/>
  <c r="E27" i="91"/>
  <c r="H27" i="91" s="1" a="1"/>
  <c r="H27" i="91" s="1"/>
  <c r="E67" i="91" s="1"/>
  <c r="F67" i="91" s="1" a="1"/>
  <c r="F67" i="91" s="1"/>
  <c r="H227" i="83"/>
  <c r="H225" i="83" s="1"/>
  <c r="K48" i="89"/>
  <c r="K45" i="89" s="1"/>
  <c r="J17" i="113"/>
  <c r="J14" i="113" s="1"/>
  <c r="J37" i="105"/>
  <c r="J34" i="105" s="1" a="1"/>
  <c r="J34" i="105" s="1"/>
  <c r="E115" i="82" a="1"/>
  <c r="E115" i="82" s="1"/>
  <c r="J51" i="91"/>
  <c r="F59" i="91" s="1" a="1"/>
  <c r="F59" i="91" s="1"/>
  <c r="E77" i="87" a="1"/>
  <c r="E77" i="87" s="1"/>
  <c r="E40" i="92"/>
  <c r="F40" i="92" s="1" a="1"/>
  <c r="F40" i="92" s="1"/>
  <c r="E36" i="91"/>
  <c r="H36" i="91" s="1" a="1"/>
  <c r="H36" i="91" s="1"/>
  <c r="E76" i="91" s="1"/>
  <c r="F76" i="91" s="1" a="1"/>
  <c r="F76" i="91" s="1"/>
  <c r="E62" i="87" a="1"/>
  <c r="E62" i="87" s="1"/>
  <c r="E25" i="92"/>
  <c r="F25" i="92" s="1" a="1"/>
  <c r="F25" i="92" s="1"/>
  <c r="E21" i="91"/>
  <c r="H21" i="91" s="1" a="1"/>
  <c r="H21" i="91" s="1"/>
  <c r="E61" i="91" s="1"/>
  <c r="F61" i="91" s="1" a="1"/>
  <c r="F61" i="91" s="1"/>
  <c r="I51" i="88"/>
  <c r="E60" i="88" s="1" a="1"/>
  <c r="E60" i="88" s="1"/>
  <c r="O74" i="113" a="1"/>
  <c r="O74" i="113" s="1"/>
  <c r="T86" i="113" s="1"/>
  <c r="E74" i="113" a="1"/>
  <c r="E74" i="113" s="1"/>
  <c r="J86" i="113" s="1"/>
  <c r="F305" i="112"/>
  <c r="J313" i="112" a="1"/>
  <c r="J313" i="112" s="1"/>
  <c r="J311" i="112" a="1"/>
  <c r="J311" i="112" s="1"/>
  <c r="I309" i="112" a="1"/>
  <c r="I309" i="112" s="1"/>
  <c r="J314" i="112" a="1"/>
  <c r="J314" i="112" s="1"/>
  <c r="I308" i="112" a="1"/>
  <c r="I308" i="112" s="1"/>
  <c r="I311" i="112" a="1"/>
  <c r="I311" i="112" s="1"/>
  <c r="J312" i="112" a="1"/>
  <c r="J312" i="112" s="1"/>
  <c r="J307" i="112" a="1"/>
  <c r="J307" i="112" s="1"/>
  <c r="I312" i="112" a="1"/>
  <c r="I312" i="112" s="1"/>
  <c r="J309" i="112" a="1"/>
  <c r="J309" i="112" s="1"/>
  <c r="I314" i="112" a="1"/>
  <c r="I314" i="112" s="1"/>
  <c r="J310" i="112" a="1"/>
  <c r="J310" i="112" s="1"/>
  <c r="J306" i="112" a="1"/>
  <c r="J306" i="112" s="1"/>
  <c r="J308" i="112" a="1"/>
  <c r="J308" i="112" s="1"/>
  <c r="I307" i="112" a="1"/>
  <c r="I307" i="112" s="1"/>
  <c r="I310" i="112" a="1"/>
  <c r="I310" i="112" s="1"/>
  <c r="I306" i="112" a="1"/>
  <c r="I306" i="112" s="1"/>
  <c r="I313" i="112" a="1"/>
  <c r="I313" i="112" s="1"/>
  <c r="E66" i="87" a="1"/>
  <c r="E66" i="87" s="1"/>
  <c r="E29" i="92"/>
  <c r="F29" i="92" s="1" a="1"/>
  <c r="F29" i="92" s="1"/>
  <c r="E25" i="91"/>
  <c r="H25" i="91" s="1" a="1"/>
  <c r="H25" i="91" s="1"/>
  <c r="E65" i="91" s="1"/>
  <c r="F65" i="91" s="1" a="1"/>
  <c r="F65" i="91" s="1"/>
  <c r="E64" i="87" a="1"/>
  <c r="E64" i="87" s="1"/>
  <c r="E27" i="92"/>
  <c r="F27" i="92" s="1" a="1"/>
  <c r="F27" i="92" s="1"/>
  <c r="E23" i="91"/>
  <c r="H23" i="91" s="1" a="1"/>
  <c r="H23" i="91" s="1"/>
  <c r="E63" i="91" s="1"/>
  <c r="F63" i="91" s="1" a="1"/>
  <c r="F63" i="91" s="1"/>
  <c r="V60" i="79" a="1"/>
  <c r="V60" i="79" s="1"/>
  <c r="V120" i="83" a="1"/>
  <c r="V120" i="83" s="1"/>
  <c r="X60" i="82" a="1"/>
  <c r="X60" i="82" s="1"/>
  <c r="E24" i="72"/>
  <c r="F81" i="13" s="1"/>
  <c r="J88" i="113"/>
  <c r="E75" i="87" a="1"/>
  <c r="E75" i="87" s="1"/>
  <c r="E38" i="92"/>
  <c r="F38" i="92" s="1" a="1"/>
  <c r="F38" i="92" s="1"/>
  <c r="E34" i="91"/>
  <c r="H34" i="91" s="1" a="1"/>
  <c r="H34" i="91" s="1"/>
  <c r="E74" i="91" s="1"/>
  <c r="F74" i="91" s="1" a="1"/>
  <c r="F74" i="91" s="1"/>
  <c r="J54" i="91"/>
  <c r="I33" i="84"/>
  <c r="I129" i="91"/>
  <c r="I53" i="113"/>
  <c r="I55" i="87"/>
  <c r="S74" i="87"/>
  <c r="S68" i="87" s="1" a="1"/>
  <c r="S68" i="87" s="1"/>
  <c r="S69" i="87"/>
  <c r="K226" i="112" a="1"/>
  <c r="K226" i="112" s="1"/>
  <c r="H223" i="112" a="1"/>
  <c r="H223" i="112" s="1"/>
  <c r="H227" i="112" a="1"/>
  <c r="H227" i="112" s="1"/>
  <c r="K224" i="112" a="1"/>
  <c r="K224" i="112" s="1"/>
  <c r="K223" i="112" a="1"/>
  <c r="K223" i="112" s="1"/>
  <c r="K228" i="112" a="1"/>
  <c r="K228" i="112" s="1"/>
  <c r="K229" i="112" a="1"/>
  <c r="K229" i="112" s="1"/>
  <c r="H225" i="112" a="1"/>
  <c r="H225" i="112" s="1"/>
  <c r="H222" i="112" a="1"/>
  <c r="H222" i="112" s="1"/>
  <c r="K225" i="112" a="1"/>
  <c r="K225" i="112" s="1"/>
  <c r="H229" i="112" a="1"/>
  <c r="H229" i="112" s="1"/>
  <c r="K230" i="112" a="1"/>
  <c r="K230" i="112" s="1"/>
  <c r="K227" i="112" a="1"/>
  <c r="K227" i="112" s="1"/>
  <c r="H230" i="112" a="1"/>
  <c r="H230" i="112" s="1"/>
  <c r="H226" i="112" a="1"/>
  <c r="H226" i="112" s="1"/>
  <c r="H224" i="112" a="1"/>
  <c r="H224" i="112" s="1"/>
  <c r="K222" i="112" a="1"/>
  <c r="K222" i="112" s="1"/>
  <c r="H228" i="112" a="1"/>
  <c r="H228" i="112" s="1"/>
  <c r="J228" i="112" a="1"/>
  <c r="J228" i="112" s="1"/>
  <c r="J222" i="112" a="1"/>
  <c r="J222" i="112" s="1"/>
  <c r="J225" i="112" a="1"/>
  <c r="J225" i="112" s="1"/>
  <c r="J230" i="112" a="1"/>
  <c r="J230" i="112" s="1"/>
  <c r="J227" i="112" a="1"/>
  <c r="J227" i="112" s="1"/>
  <c r="J224" i="112" a="1"/>
  <c r="J224" i="112" s="1"/>
  <c r="E221" i="112"/>
  <c r="J229" i="112" a="1"/>
  <c r="J229" i="112" s="1"/>
  <c r="J226" i="112" a="1"/>
  <c r="J226" i="112" s="1"/>
  <c r="J223" i="112" a="1"/>
  <c r="J223" i="112" s="1"/>
  <c r="E28" i="91"/>
  <c r="H28" i="91" s="1" a="1"/>
  <c r="H28" i="91" s="1"/>
  <c r="E68" i="91" s="1"/>
  <c r="F68" i="91" s="1" a="1"/>
  <c r="F68" i="91" s="1"/>
  <c r="E69" i="87" a="1"/>
  <c r="E69" i="87" s="1"/>
  <c r="E32" i="92"/>
  <c r="F32" i="92" s="1" a="1"/>
  <c r="F32" i="92" s="1"/>
  <c r="E153" i="83" a="1"/>
  <c r="E153" i="83" s="1"/>
  <c r="J38" i="106"/>
  <c r="E46" i="106" s="1" a="1"/>
  <c r="E46" i="106" s="1"/>
  <c r="E48" i="106" s="1"/>
  <c r="O55" i="113" a="1"/>
  <c r="O55" i="113" s="1"/>
  <c r="R570" i="112" s="1"/>
  <c r="E55" i="113" a="1"/>
  <c r="E55" i="113" s="1"/>
  <c r="J570" i="112" s="1"/>
  <c r="V48" i="87" a="1"/>
  <c r="V48" i="87" s="1"/>
  <c r="G226" i="112" a="1"/>
  <c r="G226" i="112" s="1"/>
  <c r="E73" i="87" a="1"/>
  <c r="E73" i="87" s="1"/>
  <c r="E36" i="92"/>
  <c r="F36" i="92" s="1" a="1"/>
  <c r="F36" i="92" s="1"/>
  <c r="E32" i="91"/>
  <c r="H32" i="91" s="1" a="1"/>
  <c r="H32" i="91" s="1"/>
  <c r="E72" i="91" s="1"/>
  <c r="F72" i="91" s="1" a="1"/>
  <c r="F72" i="91" s="1"/>
  <c r="E71" i="87" a="1"/>
  <c r="E71" i="87" s="1"/>
  <c r="E34" i="92"/>
  <c r="F34" i="92" s="1" a="1"/>
  <c r="F34" i="92" s="1"/>
  <c r="E30" i="91"/>
  <c r="H30" i="91" s="1" a="1"/>
  <c r="H30" i="91" s="1"/>
  <c r="E70" i="91" s="1"/>
  <c r="F70" i="91" s="1" a="1"/>
  <c r="F70" i="91" s="1"/>
  <c r="V164" i="83" a="1"/>
  <c r="V164" i="83" s="1"/>
  <c r="H226" i="83"/>
  <c r="U49" i="87"/>
  <c r="K46" i="89"/>
  <c r="E65" i="87" a="1"/>
  <c r="E65" i="87" s="1"/>
  <c r="E28" i="92"/>
  <c r="F28" i="92" s="1" a="1"/>
  <c r="F28" i="92" s="1"/>
  <c r="E24" i="91"/>
  <c r="H24" i="91" s="1" a="1"/>
  <c r="H24" i="91" s="1"/>
  <c r="E64" i="91" s="1"/>
  <c r="F64" i="91" s="1" a="1"/>
  <c r="F64" i="91" s="1"/>
  <c r="E76" i="87" a="1"/>
  <c r="E76" i="87" s="1"/>
  <c r="E39" i="92"/>
  <c r="F39" i="92" s="1" a="1"/>
  <c r="F39" i="92" s="1"/>
  <c r="E35" i="91"/>
  <c r="H35" i="91" s="1" a="1"/>
  <c r="H35" i="91" s="1"/>
  <c r="E75" i="91" s="1"/>
  <c r="F75" i="91" s="1" a="1"/>
  <c r="F75" i="91" s="1"/>
  <c r="X115" i="82" a="1"/>
  <c r="X115" i="82" s="1"/>
  <c r="I30" i="84"/>
  <c r="H25" i="90" a="1"/>
  <c r="H25" i="90" s="1"/>
  <c r="E31" i="90" s="1"/>
  <c r="E15" i="13" s="1" a="1"/>
  <c r="E15" i="13" s="1"/>
  <c r="E78" i="87" a="1"/>
  <c r="E78" i="87" s="1"/>
  <c r="E41" i="92"/>
  <c r="F41" i="92" s="1" a="1"/>
  <c r="F41" i="92" s="1"/>
  <c r="E37" i="91"/>
  <c r="H37" i="91" s="1" a="1"/>
  <c r="H37" i="91" s="1"/>
  <c r="E77" i="91" s="1"/>
  <c r="F77" i="91" s="1" a="1"/>
  <c r="F77" i="91" s="1"/>
  <c r="J237" i="112" a="1"/>
  <c r="J237" i="112" s="1"/>
  <c r="K237" i="112" a="1"/>
  <c r="K237" i="112" s="1"/>
  <c r="H237" i="112" a="1"/>
  <c r="H237" i="112" s="1"/>
  <c r="G237" i="112" a="1"/>
  <c r="G237" i="112" s="1"/>
  <c r="X44" i="82" a="1"/>
  <c r="V44" i="79" a="1"/>
  <c r="V20" i="83" a="1"/>
  <c r="E119" i="83" a="1"/>
  <c r="E119" i="83" s="1"/>
  <c r="E56" i="79" a="1"/>
  <c r="E56" i="79" s="1"/>
  <c r="E68" i="82" a="1"/>
  <c r="E68" i="82" s="1"/>
  <c r="E23" i="72"/>
  <c r="F80" i="13" s="1"/>
  <c r="E52" i="82" a="1"/>
  <c r="E20" i="83" a="1"/>
  <c r="E48" i="79" a="1"/>
  <c r="J92" i="92"/>
  <c r="R45" i="87" a="1"/>
  <c r="R45" i="87" s="1"/>
  <c r="W45" i="87"/>
  <c r="Q45" i="87"/>
  <c r="S45" i="87" a="1"/>
  <c r="S45" i="87" s="1"/>
  <c r="T45" i="87"/>
  <c r="V45" i="87" s="1" a="1"/>
  <c r="V45" i="87" s="1"/>
  <c r="G228" i="112" a="1"/>
  <c r="G228" i="112" s="1"/>
  <c r="E26" i="92"/>
  <c r="F26" i="92" s="1" a="1"/>
  <c r="F26" i="92" s="1"/>
  <c r="E22" i="91"/>
  <c r="H22" i="91" s="1" a="1"/>
  <c r="H22" i="91" s="1"/>
  <c r="E62" i="91" s="1"/>
  <c r="F62" i="91" s="1" a="1"/>
  <c r="F62" i="91" s="1"/>
  <c r="E63" i="87" a="1"/>
  <c r="E63" i="87" s="1"/>
  <c r="E26" i="91"/>
  <c r="H26" i="91" s="1" a="1"/>
  <c r="H26" i="91" s="1"/>
  <c r="E66" i="91" s="1"/>
  <c r="F66" i="91" s="1" a="1"/>
  <c r="F66" i="91" s="1"/>
  <c r="E67" i="87" a="1"/>
  <c r="E67" i="87" s="1"/>
  <c r="E30" i="92"/>
  <c r="F30" i="92" s="1" a="1"/>
  <c r="F30" i="92" s="1"/>
  <c r="E72" i="87" a="1"/>
  <c r="E72" i="87" s="1"/>
  <c r="E31" i="91"/>
  <c r="H31" i="91" s="1" a="1"/>
  <c r="H31" i="91" s="1"/>
  <c r="E71" i="91" s="1"/>
  <c r="F71" i="91" s="1" a="1"/>
  <c r="F71" i="91" s="1"/>
  <c r="E35" i="92"/>
  <c r="F35" i="92" s="1" a="1"/>
  <c r="F35" i="92" s="1"/>
  <c r="E518" i="112" a="1"/>
  <c r="E518" i="112" s="1"/>
  <c r="H21" i="13" a="1"/>
  <c r="H21" i="13" s="1"/>
  <c r="F25" i="13"/>
  <c r="I25" i="13" s="1" a="1"/>
  <c r="I25" i="13" s="1"/>
  <c r="H24" i="13" a="1"/>
  <c r="H24" i="13" s="1"/>
  <c r="F23" i="13"/>
  <c r="I23" i="13" s="1"/>
  <c r="H22" i="13" a="1"/>
  <c r="H22" i="13" s="1"/>
  <c r="F20" i="13"/>
  <c r="I20" i="13" s="1"/>
  <c r="E53" i="13"/>
  <c r="G96" i="92" l="1"/>
  <c r="E99" i="92" s="1" a="1"/>
  <c r="E99" i="92" s="1"/>
  <c r="E17" i="13" a="1"/>
  <c r="E17" i="13" s="1"/>
  <c r="G50" i="106"/>
  <c r="E53" i="106" s="1" a="1"/>
  <c r="E53" i="106" s="1"/>
  <c r="E19" i="13" a="1"/>
  <c r="E19" i="13" s="1"/>
  <c r="H19" i="13" s="1" a="1"/>
  <c r="H19" i="13" s="1"/>
  <c r="F15" i="13"/>
  <c r="I15" i="13" s="1"/>
  <c r="H15" i="13"/>
  <c r="X77" i="79" a="1"/>
  <c r="X77" i="79" s="1"/>
  <c r="X98" i="79" s="1" a="1"/>
  <c r="X98" i="79" s="1"/>
  <c r="X150" i="79" s="1" a="1"/>
  <c r="X150" i="79" s="1"/>
  <c r="AC81" i="79" a="1"/>
  <c r="AC81" i="79" s="1"/>
  <c r="AC102" i="79" s="1" a="1"/>
  <c r="AC102" i="79" s="1"/>
  <c r="AC154" i="79" s="1" a="1"/>
  <c r="AC154" i="79" s="1"/>
  <c r="V83" i="79" a="1"/>
  <c r="V83" i="79" s="1"/>
  <c r="V104" i="79" s="1" a="1"/>
  <c r="V104" i="79" s="1"/>
  <c r="V156" i="79" s="1" a="1"/>
  <c r="V156" i="79" s="1"/>
  <c r="AA76" i="79" a="1"/>
  <c r="AA76" i="79" s="1"/>
  <c r="AA97" i="79" s="1" a="1"/>
  <c r="AA97" i="79" s="1"/>
  <c r="AA149" i="79" s="1" a="1"/>
  <c r="AA149" i="79" s="1"/>
  <c r="X80" i="79" a="1"/>
  <c r="X80" i="79" s="1"/>
  <c r="X101" i="79" s="1" a="1"/>
  <c r="X101" i="79" s="1"/>
  <c r="X153" i="79" s="1" a="1"/>
  <c r="X153" i="79" s="1"/>
  <c r="AB81" i="79" a="1"/>
  <c r="AB81" i="79" s="1"/>
  <c r="AB102" i="79" s="1" a="1"/>
  <c r="AB102" i="79" s="1"/>
  <c r="AB154" i="79" s="1" a="1"/>
  <c r="AB154" i="79" s="1"/>
  <c r="AD83" i="79" a="1"/>
  <c r="AD83" i="79" s="1"/>
  <c r="AD104" i="79" s="1" a="1"/>
  <c r="AD104" i="79" s="1"/>
  <c r="AD156" i="79" s="1" a="1"/>
  <c r="AD156" i="79" s="1"/>
  <c r="X81" i="79" a="1"/>
  <c r="X81" i="79" s="1"/>
  <c r="X102" i="79" s="1" a="1"/>
  <c r="X102" i="79" s="1"/>
  <c r="X154" i="79" s="1" a="1"/>
  <c r="X154" i="79" s="1"/>
  <c r="AE79" i="79" a="1"/>
  <c r="AE79" i="79" s="1"/>
  <c r="AE100" i="79" s="1" a="1"/>
  <c r="AE100" i="79" s="1"/>
  <c r="AE152" i="79" s="1" a="1"/>
  <c r="AE152" i="79" s="1"/>
  <c r="AB79" i="79" a="1"/>
  <c r="AB79" i="79" s="1"/>
  <c r="AB100" i="79" s="1" a="1"/>
  <c r="AB100" i="79" s="1"/>
  <c r="AB152" i="79" s="1" a="1"/>
  <c r="AB152" i="79" s="1"/>
  <c r="AC82" i="79" a="1"/>
  <c r="AC82" i="79" s="1"/>
  <c r="AC103" i="79" s="1" a="1"/>
  <c r="AC103" i="79" s="1"/>
  <c r="AC155" i="79" s="1" a="1"/>
  <c r="AC155" i="79" s="1"/>
  <c r="X84" i="79" a="1"/>
  <c r="X84" i="79" s="1"/>
  <c r="X105" i="79" s="1" a="1"/>
  <c r="X105" i="79" s="1"/>
  <c r="X157" i="79" s="1" a="1"/>
  <c r="X157" i="79" s="1"/>
  <c r="W79" i="79" a="1"/>
  <c r="W79" i="79" s="1"/>
  <c r="W100" i="79" s="1" a="1"/>
  <c r="W100" i="79" s="1"/>
  <c r="W152" i="79" s="1" a="1"/>
  <c r="W152" i="79" s="1"/>
  <c r="AE85" i="79" a="1"/>
  <c r="AE85" i="79" s="1"/>
  <c r="AE106" i="79" s="1" a="1"/>
  <c r="AE106" i="79" s="1"/>
  <c r="AE158" i="79" s="1" a="1"/>
  <c r="AE158" i="79" s="1"/>
  <c r="AE78" i="79" a="1"/>
  <c r="AE78" i="79" s="1"/>
  <c r="AE99" i="79" s="1" a="1"/>
  <c r="AE99" i="79" s="1"/>
  <c r="AE151" i="79" s="1" a="1"/>
  <c r="AE151" i="79" s="1"/>
  <c r="AD86" i="79" a="1"/>
  <c r="AD86" i="79" s="1"/>
  <c r="AD107" i="79" s="1" a="1"/>
  <c r="AD107" i="79" s="1"/>
  <c r="AD159" i="79" s="1" a="1"/>
  <c r="AD159" i="79" s="1"/>
  <c r="AD87" i="79" a="1"/>
  <c r="AD87" i="79" s="1"/>
  <c r="AD108" i="79" s="1" a="1"/>
  <c r="AD108" i="79" s="1"/>
  <c r="AD160" i="79" s="1" a="1"/>
  <c r="AD160" i="79" s="1"/>
  <c r="AC80" i="79" a="1"/>
  <c r="AC80" i="79" s="1"/>
  <c r="AC101" i="79" s="1" a="1"/>
  <c r="AC101" i="79" s="1"/>
  <c r="AC153" i="79" s="1" a="1"/>
  <c r="AC153" i="79" s="1"/>
  <c r="AC85" i="79" a="1"/>
  <c r="AC85" i="79" s="1"/>
  <c r="AC106" i="79" s="1" a="1"/>
  <c r="AC106" i="79" s="1"/>
  <c r="AC158" i="79" s="1" a="1"/>
  <c r="AC158" i="79" s="1"/>
  <c r="AE86" i="79" a="1"/>
  <c r="AE86" i="79" s="1"/>
  <c r="AE107" i="79" s="1" a="1"/>
  <c r="AE107" i="79" s="1"/>
  <c r="AE159" i="79" s="1" a="1"/>
  <c r="AE159" i="79" s="1"/>
  <c r="AB77" i="79" a="1"/>
  <c r="AB77" i="79" s="1"/>
  <c r="AB98" i="79" s="1" a="1"/>
  <c r="AB98" i="79" s="1"/>
  <c r="AB150" i="79" s="1" a="1"/>
  <c r="AB150" i="79" s="1"/>
  <c r="W76" i="79" a="1"/>
  <c r="W76" i="79" s="1"/>
  <c r="W97" i="79" s="1" a="1"/>
  <c r="W97" i="79" s="1"/>
  <c r="W149" i="79" s="1" a="1"/>
  <c r="W149" i="79" s="1"/>
  <c r="W81" i="79" a="1"/>
  <c r="W81" i="79" s="1"/>
  <c r="W102" i="79" s="1" a="1"/>
  <c r="W102" i="79" s="1"/>
  <c r="W154" i="79" s="1" a="1"/>
  <c r="W154" i="79" s="1"/>
  <c r="X85" i="79" a="1"/>
  <c r="X85" i="79" s="1"/>
  <c r="X106" i="79" s="1" a="1"/>
  <c r="X106" i="79" s="1"/>
  <c r="X158" i="79" s="1" a="1"/>
  <c r="X158" i="79" s="1"/>
  <c r="W80" i="79" a="1"/>
  <c r="W80" i="79" s="1"/>
  <c r="W101" i="79" s="1" a="1"/>
  <c r="W101" i="79" s="1"/>
  <c r="W153" i="79" s="1" a="1"/>
  <c r="W153" i="79" s="1"/>
  <c r="AC84" i="79" a="1"/>
  <c r="AC84" i="79" s="1"/>
  <c r="AC105" i="79" s="1" a="1"/>
  <c r="AC105" i="79" s="1"/>
  <c r="AC157" i="79" s="1" a="1"/>
  <c r="AC157" i="79" s="1"/>
  <c r="AD78" i="79" a="1"/>
  <c r="AD78" i="79" s="1"/>
  <c r="AD99" i="79" s="1" a="1"/>
  <c r="AD99" i="79" s="1"/>
  <c r="AD151" i="79" s="1" a="1"/>
  <c r="AD151" i="79" s="1"/>
  <c r="V44" i="79"/>
  <c r="V76" i="79" s="1" a="1"/>
  <c r="V76" i="79" s="1"/>
  <c r="V97" i="79" s="1" a="1"/>
  <c r="V97" i="79" s="1"/>
  <c r="V149" i="79" s="1" a="1"/>
  <c r="V149" i="79" s="1"/>
  <c r="AC86" i="79" a="1"/>
  <c r="AC86" i="79" s="1"/>
  <c r="AC107" i="79" s="1" a="1"/>
  <c r="AC107" i="79" s="1"/>
  <c r="AC159" i="79" s="1" a="1"/>
  <c r="AC159" i="79" s="1"/>
  <c r="AE87" i="79" a="1"/>
  <c r="AE87" i="79" s="1"/>
  <c r="AE108" i="79" s="1" a="1"/>
  <c r="AE108" i="79" s="1"/>
  <c r="AE160" i="79" s="1" a="1"/>
  <c r="AE160" i="79" s="1"/>
  <c r="AB82" i="79" a="1"/>
  <c r="AB82" i="79" s="1"/>
  <c r="AB103" i="79" s="1" a="1"/>
  <c r="AB103" i="79" s="1"/>
  <c r="AB155" i="79" s="1" a="1"/>
  <c r="AB155" i="79" s="1"/>
  <c r="AD77" i="79" a="1"/>
  <c r="AD77" i="79" s="1"/>
  <c r="AD98" i="79" s="1" a="1"/>
  <c r="AD98" i="79" s="1"/>
  <c r="AD150" i="79" s="1" a="1"/>
  <c r="AD150" i="79" s="1"/>
  <c r="AE84" i="79" a="1"/>
  <c r="AE84" i="79" s="1"/>
  <c r="AE105" i="79" s="1" a="1"/>
  <c r="AE105" i="79" s="1"/>
  <c r="AE157" i="79" s="1" a="1"/>
  <c r="AE157" i="79" s="1"/>
  <c r="W78" i="79" a="1"/>
  <c r="W78" i="79" s="1"/>
  <c r="W99" i="79" s="1" a="1"/>
  <c r="W99" i="79" s="1"/>
  <c r="W151" i="79" s="1" a="1"/>
  <c r="W151" i="79" s="1"/>
  <c r="V78" i="79" a="1"/>
  <c r="V78" i="79" s="1"/>
  <c r="V99" i="79" s="1" a="1"/>
  <c r="V99" i="79" s="1"/>
  <c r="V151" i="79" s="1" a="1"/>
  <c r="V151" i="79" s="1"/>
  <c r="AD81" i="79" a="1"/>
  <c r="AD81" i="79" s="1"/>
  <c r="AD102" i="79" s="1" a="1"/>
  <c r="AD102" i="79" s="1"/>
  <c r="AD154" i="79" s="1" a="1"/>
  <c r="AD154" i="79" s="1"/>
  <c r="AE76" i="79" a="1"/>
  <c r="AE76" i="79" s="1"/>
  <c r="AE97" i="79" s="1" a="1"/>
  <c r="AE97" i="79" s="1"/>
  <c r="AE149" i="79" s="1" a="1"/>
  <c r="AE149" i="79" s="1"/>
  <c r="V81" i="79" a="1"/>
  <c r="V81" i="79" s="1"/>
  <c r="V102" i="79" s="1" a="1"/>
  <c r="V102" i="79" s="1"/>
  <c r="V154" i="79" s="1" a="1"/>
  <c r="V154" i="79" s="1"/>
  <c r="X87" i="79" a="1"/>
  <c r="X87" i="79" s="1"/>
  <c r="X108" i="79" s="1" a="1"/>
  <c r="X108" i="79" s="1"/>
  <c r="X160" i="79" s="1" a="1"/>
  <c r="X160" i="79" s="1"/>
  <c r="W86" i="79" a="1"/>
  <c r="W86" i="79" s="1"/>
  <c r="W107" i="79" s="1" a="1"/>
  <c r="W107" i="79" s="1"/>
  <c r="W159" i="79" s="1" a="1"/>
  <c r="W159" i="79" s="1"/>
  <c r="X78" i="79" a="1"/>
  <c r="X78" i="79" s="1"/>
  <c r="X99" i="79" s="1" a="1"/>
  <c r="X99" i="79" s="1"/>
  <c r="X151" i="79" s="1" a="1"/>
  <c r="X151" i="79" s="1"/>
  <c r="AD76" i="79" a="1"/>
  <c r="AD76" i="79" s="1"/>
  <c r="AD97" i="79" s="1" a="1"/>
  <c r="AD97" i="79" s="1"/>
  <c r="AD149" i="79" s="1" a="1"/>
  <c r="AD149" i="79" s="1"/>
  <c r="AE82" i="79" a="1"/>
  <c r="AE82" i="79" s="1"/>
  <c r="AE103" i="79" s="1" a="1"/>
  <c r="AE103" i="79" s="1"/>
  <c r="AE155" i="79" s="1" a="1"/>
  <c r="AE155" i="79" s="1"/>
  <c r="V85" i="79" a="1"/>
  <c r="V85" i="79" s="1"/>
  <c r="V106" i="79" s="1" a="1"/>
  <c r="V106" i="79" s="1"/>
  <c r="V158" i="79" s="1" a="1"/>
  <c r="V158" i="79" s="1"/>
  <c r="W84" i="79" a="1"/>
  <c r="W84" i="79" s="1"/>
  <c r="W105" i="79" s="1" a="1"/>
  <c r="W105" i="79" s="1"/>
  <c r="W157" i="79" s="1" a="1"/>
  <c r="W157" i="79" s="1"/>
  <c r="W77" i="79" a="1"/>
  <c r="W77" i="79" s="1"/>
  <c r="W98" i="79" s="1" a="1"/>
  <c r="W98" i="79" s="1"/>
  <c r="W150" i="79" s="1" a="1"/>
  <c r="W150" i="79" s="1"/>
  <c r="W83" i="79" a="1"/>
  <c r="W83" i="79" s="1"/>
  <c r="W104" i="79" s="1" a="1"/>
  <c r="W104" i="79" s="1"/>
  <c r="W156" i="79" s="1" a="1"/>
  <c r="W156" i="79" s="1"/>
  <c r="W87" i="79" a="1"/>
  <c r="W87" i="79" s="1"/>
  <c r="W108" i="79" s="1" a="1"/>
  <c r="W108" i="79" s="1"/>
  <c r="W160" i="79" s="1" a="1"/>
  <c r="W160" i="79" s="1"/>
  <c r="AB84" i="79" a="1"/>
  <c r="AB84" i="79" s="1"/>
  <c r="AB105" i="79" s="1" a="1"/>
  <c r="AB105" i="79" s="1"/>
  <c r="AB157" i="79" s="1" a="1"/>
  <c r="AB157" i="79" s="1"/>
  <c r="X82" i="79" a="1"/>
  <c r="X82" i="79" s="1"/>
  <c r="X103" i="79" s="1" a="1"/>
  <c r="X103" i="79" s="1"/>
  <c r="X155" i="79" s="1" a="1"/>
  <c r="X155" i="79" s="1"/>
  <c r="AE83" i="79" a="1"/>
  <c r="AE83" i="79" s="1"/>
  <c r="AE104" i="79" s="1" a="1"/>
  <c r="AE104" i="79" s="1"/>
  <c r="AE156" i="79" s="1" a="1"/>
  <c r="AE156" i="79" s="1"/>
  <c r="AB87" i="79" a="1"/>
  <c r="AB87" i="79" s="1"/>
  <c r="AB108" i="79" s="1" a="1"/>
  <c r="AB108" i="79" s="1"/>
  <c r="AB160" i="79" s="1" a="1"/>
  <c r="AB160" i="79" s="1"/>
  <c r="AC77" i="79" a="1"/>
  <c r="AC77" i="79" s="1"/>
  <c r="AC98" i="79" s="1" a="1"/>
  <c r="AC98" i="79" s="1"/>
  <c r="AC150" i="79" s="1" a="1"/>
  <c r="AC150" i="79" s="1"/>
  <c r="AB83" i="79" a="1"/>
  <c r="AB83" i="79" s="1"/>
  <c r="AB104" i="79" s="1" a="1"/>
  <c r="AB104" i="79" s="1"/>
  <c r="AB156" i="79" s="1" a="1"/>
  <c r="AB156" i="79" s="1"/>
  <c r="X83" i="79" a="1"/>
  <c r="X83" i="79" s="1"/>
  <c r="X104" i="79" s="1" a="1"/>
  <c r="X104" i="79" s="1"/>
  <c r="X156" i="79" s="1" a="1"/>
  <c r="X156" i="79" s="1"/>
  <c r="AC87" i="79" a="1"/>
  <c r="AC87" i="79" s="1"/>
  <c r="AC108" i="79" s="1" a="1"/>
  <c r="AC108" i="79" s="1"/>
  <c r="AC160" i="79" s="1" a="1"/>
  <c r="AC160" i="79" s="1"/>
  <c r="V77" i="79" a="1"/>
  <c r="V77" i="79" s="1"/>
  <c r="V98" i="79" s="1" a="1"/>
  <c r="V98" i="79" s="1"/>
  <c r="V150" i="79" s="1" a="1"/>
  <c r="V150" i="79" s="1"/>
  <c r="AD80" i="79" a="1"/>
  <c r="AD80" i="79" s="1"/>
  <c r="AD101" i="79" s="1" a="1"/>
  <c r="AD101" i="79" s="1"/>
  <c r="AD153" i="79" s="1" a="1"/>
  <c r="AD153" i="79" s="1"/>
  <c r="V80" i="79" a="1"/>
  <c r="V80" i="79" s="1"/>
  <c r="V101" i="79" s="1" a="1"/>
  <c r="V101" i="79" s="1"/>
  <c r="V153" i="79" s="1" a="1"/>
  <c r="V153" i="79" s="1"/>
  <c r="AB80" i="79" a="1"/>
  <c r="AB80" i="79" s="1"/>
  <c r="AB101" i="79" s="1" a="1"/>
  <c r="AB101" i="79" s="1"/>
  <c r="AB153" i="79" s="1" a="1"/>
  <c r="AB153" i="79" s="1"/>
  <c r="AE81" i="79" a="1"/>
  <c r="AE81" i="79" s="1"/>
  <c r="AE102" i="79" s="1" a="1"/>
  <c r="AE102" i="79" s="1"/>
  <c r="AE154" i="79" s="1" a="1"/>
  <c r="AE154" i="79" s="1"/>
  <c r="AB78" i="79" a="1"/>
  <c r="AB78" i="79" s="1"/>
  <c r="AB99" i="79" s="1" a="1"/>
  <c r="AB99" i="79" s="1"/>
  <c r="AB151" i="79" s="1" a="1"/>
  <c r="AB151" i="79" s="1"/>
  <c r="AC79" i="79" a="1"/>
  <c r="AC79" i="79" s="1"/>
  <c r="AC100" i="79" s="1" a="1"/>
  <c r="AC100" i="79" s="1"/>
  <c r="AC152" i="79" s="1" a="1"/>
  <c r="AC152" i="79" s="1"/>
  <c r="AB76" i="79" a="1"/>
  <c r="AB76" i="79" s="1"/>
  <c r="AB97" i="79" s="1" a="1"/>
  <c r="AB97" i="79" s="1"/>
  <c r="AB149" i="79" s="1" a="1"/>
  <c r="AB149" i="79" s="1"/>
  <c r="X79" i="79" a="1"/>
  <c r="X79" i="79" s="1"/>
  <c r="X100" i="79" s="1" a="1"/>
  <c r="X100" i="79" s="1"/>
  <c r="X152" i="79" s="1" a="1"/>
  <c r="X152" i="79" s="1"/>
  <c r="X86" i="79" a="1"/>
  <c r="X86" i="79" s="1"/>
  <c r="X107" i="79" s="1" a="1"/>
  <c r="X107" i="79" s="1"/>
  <c r="X159" i="79" s="1" a="1"/>
  <c r="X159" i="79" s="1"/>
  <c r="AD85" i="79" a="1"/>
  <c r="AD85" i="79" s="1"/>
  <c r="AD106" i="79" s="1" a="1"/>
  <c r="AD106" i="79" s="1"/>
  <c r="AD158" i="79" s="1" a="1"/>
  <c r="AD158" i="79" s="1"/>
  <c r="W82" i="79" a="1"/>
  <c r="W82" i="79" s="1"/>
  <c r="W103" i="79" s="1" a="1"/>
  <c r="W103" i="79" s="1"/>
  <c r="W155" i="79" s="1" a="1"/>
  <c r="W155" i="79" s="1"/>
  <c r="AE77" i="79" a="1"/>
  <c r="AE77" i="79" s="1"/>
  <c r="AE98" i="79" s="1" a="1"/>
  <c r="AE98" i="79" s="1"/>
  <c r="AE150" i="79" s="1" a="1"/>
  <c r="AE150" i="79" s="1"/>
  <c r="AB85" i="79" a="1"/>
  <c r="AB85" i="79" s="1"/>
  <c r="AB106" i="79" s="1" a="1"/>
  <c r="AB106" i="79" s="1"/>
  <c r="AB158" i="79" s="1" a="1"/>
  <c r="AB158" i="79" s="1"/>
  <c r="W85" i="79" a="1"/>
  <c r="W85" i="79" s="1"/>
  <c r="W106" i="79" s="1" a="1"/>
  <c r="W106" i="79" s="1"/>
  <c r="W158" i="79" s="1" a="1"/>
  <c r="W158" i="79" s="1"/>
  <c r="V82" i="79" a="1"/>
  <c r="V82" i="79" s="1"/>
  <c r="V103" i="79" s="1" a="1"/>
  <c r="V103" i="79" s="1"/>
  <c r="V155" i="79" s="1" a="1"/>
  <c r="V155" i="79" s="1"/>
  <c r="V84" i="79" a="1"/>
  <c r="V84" i="79" s="1"/>
  <c r="V105" i="79" s="1" a="1"/>
  <c r="V105" i="79" s="1"/>
  <c r="V157" i="79" s="1" a="1"/>
  <c r="V157" i="79" s="1"/>
  <c r="AC78" i="79" a="1"/>
  <c r="AC78" i="79" s="1"/>
  <c r="AC99" i="79" s="1" a="1"/>
  <c r="AC99" i="79" s="1"/>
  <c r="AC151" i="79" s="1" a="1"/>
  <c r="AC151" i="79" s="1"/>
  <c r="AE80" i="79" a="1"/>
  <c r="AE80" i="79" s="1"/>
  <c r="AE101" i="79" s="1" a="1"/>
  <c r="AE101" i="79" s="1"/>
  <c r="AE153" i="79" s="1" a="1"/>
  <c r="AE153" i="79" s="1"/>
  <c r="AC76" i="79" a="1"/>
  <c r="AC76" i="79" s="1"/>
  <c r="AC97" i="79" s="1" a="1"/>
  <c r="AC97" i="79" s="1"/>
  <c r="AC149" i="79" s="1" a="1"/>
  <c r="AC149" i="79" s="1"/>
  <c r="AB86" i="79" a="1"/>
  <c r="AB86" i="79" s="1"/>
  <c r="AB107" i="79" s="1" a="1"/>
  <c r="AB107" i="79" s="1"/>
  <c r="AB159" i="79" s="1" a="1"/>
  <c r="AB159" i="79" s="1"/>
  <c r="AD79" i="79" a="1"/>
  <c r="AD79" i="79" s="1"/>
  <c r="AD100" i="79" s="1" a="1"/>
  <c r="AD100" i="79" s="1"/>
  <c r="AD152" i="79" s="1" a="1"/>
  <c r="AD152" i="79" s="1"/>
  <c r="V87" i="79" a="1"/>
  <c r="V87" i="79" s="1"/>
  <c r="V108" i="79" s="1" a="1"/>
  <c r="V108" i="79" s="1"/>
  <c r="V160" i="79" s="1" a="1"/>
  <c r="V160" i="79" s="1"/>
  <c r="AD82" i="79" a="1"/>
  <c r="AD82" i="79" s="1"/>
  <c r="AD103" i="79" s="1" a="1"/>
  <c r="AD103" i="79" s="1"/>
  <c r="AD155" i="79" s="1" a="1"/>
  <c r="AD155" i="79" s="1"/>
  <c r="V79" i="79" a="1"/>
  <c r="V79" i="79" s="1"/>
  <c r="V100" i="79" s="1" a="1"/>
  <c r="V100" i="79" s="1"/>
  <c r="V152" i="79" s="1" a="1"/>
  <c r="V152" i="79" s="1"/>
  <c r="AC83" i="79" a="1"/>
  <c r="AC83" i="79" s="1"/>
  <c r="AC104" i="79" s="1" a="1"/>
  <c r="AC104" i="79" s="1"/>
  <c r="AC156" i="79" s="1" a="1"/>
  <c r="AC156" i="79" s="1"/>
  <c r="AD84" i="79" a="1"/>
  <c r="AD84" i="79" s="1"/>
  <c r="AD105" i="79" s="1" a="1"/>
  <c r="AD105" i="79" s="1"/>
  <c r="AD157" i="79" s="1" a="1"/>
  <c r="AD157" i="79" s="1"/>
  <c r="V86" i="79" a="1"/>
  <c r="V86" i="79" s="1"/>
  <c r="V107" i="79" s="1" a="1"/>
  <c r="V107" i="79" s="1"/>
  <c r="V159" i="79" s="1" a="1"/>
  <c r="V159" i="79" s="1"/>
  <c r="X76" i="79" a="1"/>
  <c r="X76" i="79" s="1"/>
  <c r="X97" i="79" s="1" a="1"/>
  <c r="X97" i="79" s="1"/>
  <c r="X149" i="79" s="1" a="1"/>
  <c r="X149" i="79" s="1"/>
  <c r="Z87" i="79" a="1"/>
  <c r="Z87" i="79" s="1"/>
  <c r="Z108" i="79" s="1" a="1"/>
  <c r="Z108" i="79" s="1"/>
  <c r="Z160" i="79" s="1" a="1"/>
  <c r="Z160" i="79" s="1"/>
  <c r="Y86" i="79" a="1"/>
  <c r="Y86" i="79" s="1"/>
  <c r="Y107" i="79" s="1" a="1"/>
  <c r="Y107" i="79" s="1"/>
  <c r="Y159" i="79" s="1" a="1"/>
  <c r="Y159" i="79" s="1"/>
  <c r="Z76" i="79" a="1"/>
  <c r="Z76" i="79" s="1"/>
  <c r="Z97" i="79" s="1" a="1"/>
  <c r="Z97" i="79" s="1"/>
  <c r="Z149" i="79" s="1" a="1"/>
  <c r="Z149" i="79" s="1"/>
  <c r="Y76" i="79" a="1"/>
  <c r="Y76" i="79" s="1"/>
  <c r="Y97" i="79" s="1" a="1"/>
  <c r="Y97" i="79" s="1"/>
  <c r="Y149" i="79" s="1" a="1"/>
  <c r="Y149" i="79" s="1"/>
  <c r="AA77" i="79" a="1"/>
  <c r="AA77" i="79" s="1"/>
  <c r="AA98" i="79" s="1" a="1"/>
  <c r="AA98" i="79" s="1"/>
  <c r="AA150" i="79" s="1" a="1"/>
  <c r="AA150" i="79" s="1"/>
  <c r="Z84" i="79" a="1"/>
  <c r="Z84" i="79" s="1"/>
  <c r="Z105" i="79" s="1" a="1"/>
  <c r="Z105" i="79" s="1"/>
  <c r="Z157" i="79" s="1" a="1"/>
  <c r="Z157" i="79" s="1"/>
  <c r="AA79" i="79" a="1"/>
  <c r="AA79" i="79" s="1"/>
  <c r="AA100" i="79" s="1" a="1"/>
  <c r="AA100" i="79" s="1"/>
  <c r="AA152" i="79" s="1" a="1"/>
  <c r="AA152" i="79" s="1"/>
  <c r="AA85" i="79" a="1"/>
  <c r="AA85" i="79" s="1"/>
  <c r="AA106" i="79" s="1" a="1"/>
  <c r="AA106" i="79" s="1"/>
  <c r="AA158" i="79" s="1" a="1"/>
  <c r="AA158" i="79" s="1"/>
  <c r="AA81" i="79" a="1"/>
  <c r="AA81" i="79" s="1"/>
  <c r="AA102" i="79" s="1" a="1"/>
  <c r="AA102" i="79" s="1"/>
  <c r="AA154" i="79" s="1" a="1"/>
  <c r="AA154" i="79" s="1"/>
  <c r="Y83" i="79" a="1"/>
  <c r="Y83" i="79" s="1"/>
  <c r="Y104" i="79" s="1" a="1"/>
  <c r="Y104" i="79" s="1"/>
  <c r="Y156" i="79" s="1" a="1"/>
  <c r="Y156" i="79" s="1"/>
  <c r="AA80" i="79" a="1"/>
  <c r="AA80" i="79" s="1"/>
  <c r="AA101" i="79" s="1" a="1"/>
  <c r="AA101" i="79" s="1"/>
  <c r="AA153" i="79" s="1" a="1"/>
  <c r="AA153" i="79" s="1"/>
  <c r="Z78" i="79" a="1"/>
  <c r="Z78" i="79" s="1"/>
  <c r="Z99" i="79" s="1" a="1"/>
  <c r="Z99" i="79" s="1"/>
  <c r="Z151" i="79" s="1" a="1"/>
  <c r="Z151" i="79" s="1"/>
  <c r="Y82" i="79" a="1"/>
  <c r="Y82" i="79" s="1"/>
  <c r="Y103" i="79" s="1" a="1"/>
  <c r="Y103" i="79" s="1"/>
  <c r="Y155" i="79" s="1" a="1"/>
  <c r="Y155" i="79" s="1"/>
  <c r="Z85" i="79" a="1"/>
  <c r="Z85" i="79" s="1"/>
  <c r="Z106" i="79" s="1" a="1"/>
  <c r="Z106" i="79" s="1"/>
  <c r="Z158" i="79" s="1" a="1"/>
  <c r="Z158" i="79" s="1"/>
  <c r="Z82" i="79" a="1"/>
  <c r="Z82" i="79" s="1"/>
  <c r="Z103" i="79" s="1" a="1"/>
  <c r="Z103" i="79" s="1"/>
  <c r="Z155" i="79" s="1" a="1"/>
  <c r="Z155" i="79" s="1"/>
  <c r="Z86" i="79" a="1"/>
  <c r="Z86" i="79" s="1"/>
  <c r="Z107" i="79" s="1" a="1"/>
  <c r="Z107" i="79" s="1"/>
  <c r="Z159" i="79" s="1" a="1"/>
  <c r="Z159" i="79" s="1"/>
  <c r="Z83" i="79" a="1"/>
  <c r="Z83" i="79" s="1"/>
  <c r="Z104" i="79" s="1" a="1"/>
  <c r="Z104" i="79" s="1"/>
  <c r="Z156" i="79" s="1" a="1"/>
  <c r="Z156" i="79" s="1"/>
  <c r="Z80" i="79" a="1"/>
  <c r="Z80" i="79" s="1"/>
  <c r="Z101" i="79" s="1" a="1"/>
  <c r="Z101" i="79" s="1"/>
  <c r="Z153" i="79" s="1" a="1"/>
  <c r="Z153" i="79" s="1"/>
  <c r="Z77" i="79" a="1"/>
  <c r="Z77" i="79" s="1"/>
  <c r="Z98" i="79" s="1" a="1"/>
  <c r="Z98" i="79" s="1"/>
  <c r="Z150" i="79" s="1" a="1"/>
  <c r="Z150" i="79" s="1"/>
  <c r="Y85" i="79" a="1"/>
  <c r="Y85" i="79" s="1"/>
  <c r="Y106" i="79" s="1" a="1"/>
  <c r="Y106" i="79" s="1"/>
  <c r="Y158" i="79" s="1" a="1"/>
  <c r="Y158" i="79" s="1"/>
  <c r="Z81" i="79" a="1"/>
  <c r="Z81" i="79" s="1"/>
  <c r="Z102" i="79" s="1" a="1"/>
  <c r="Z102" i="79" s="1"/>
  <c r="Z154" i="79" s="1" a="1"/>
  <c r="Z154" i="79" s="1"/>
  <c r="Y77" i="79" a="1"/>
  <c r="Y77" i="79" s="1"/>
  <c r="Y98" i="79" s="1" a="1"/>
  <c r="Y98" i="79" s="1"/>
  <c r="Y150" i="79" s="1" a="1"/>
  <c r="Y150" i="79" s="1"/>
  <c r="Y78" i="79" a="1"/>
  <c r="Y78" i="79" s="1"/>
  <c r="Y99" i="79" s="1" a="1"/>
  <c r="Y99" i="79" s="1"/>
  <c r="Y151" i="79" s="1" a="1"/>
  <c r="Y151" i="79" s="1"/>
  <c r="Y84" i="79" a="1"/>
  <c r="Y84" i="79" s="1"/>
  <c r="Y105" i="79" s="1" a="1"/>
  <c r="Y105" i="79" s="1"/>
  <c r="Y157" i="79" s="1" a="1"/>
  <c r="Y157" i="79" s="1"/>
  <c r="AA82" i="79" a="1"/>
  <c r="AA82" i="79" s="1"/>
  <c r="AA103" i="79" s="1" a="1"/>
  <c r="AA103" i="79" s="1"/>
  <c r="AA155" i="79" s="1" a="1"/>
  <c r="AA155" i="79" s="1"/>
  <c r="AA84" i="79" a="1"/>
  <c r="AA84" i="79" s="1"/>
  <c r="AA105" i="79" s="1" a="1"/>
  <c r="AA105" i="79" s="1"/>
  <c r="AA157" i="79" s="1" a="1"/>
  <c r="AA157" i="79" s="1"/>
  <c r="Y80" i="79" a="1"/>
  <c r="Y80" i="79" s="1"/>
  <c r="Y101" i="79" s="1" a="1"/>
  <c r="Y101" i="79" s="1"/>
  <c r="Y153" i="79" s="1" a="1"/>
  <c r="Y153" i="79" s="1"/>
  <c r="Y81" i="79" a="1"/>
  <c r="Y81" i="79" s="1"/>
  <c r="Y102" i="79" s="1" a="1"/>
  <c r="Y102" i="79" s="1"/>
  <c r="Y154" i="79" s="1" a="1"/>
  <c r="Y154" i="79" s="1"/>
  <c r="AA78" i="79" a="1"/>
  <c r="AA78" i="79" s="1"/>
  <c r="AA99" i="79" s="1" a="1"/>
  <c r="AA99" i="79" s="1"/>
  <c r="AA151" i="79" s="1" a="1"/>
  <c r="AA151" i="79" s="1"/>
  <c r="AA83" i="79" a="1"/>
  <c r="AA83" i="79" s="1"/>
  <c r="AA104" i="79" s="1" a="1"/>
  <c r="AA104" i="79" s="1"/>
  <c r="AA156" i="79" s="1" a="1"/>
  <c r="AA156" i="79" s="1"/>
  <c r="Y79" i="79" a="1"/>
  <c r="Y79" i="79" s="1"/>
  <c r="Y100" i="79" s="1" a="1"/>
  <c r="Y100" i="79" s="1"/>
  <c r="Y152" i="79" s="1" a="1"/>
  <c r="Y152" i="79" s="1"/>
  <c r="AA86" i="79" a="1"/>
  <c r="AA86" i="79" s="1"/>
  <c r="AA107" i="79" s="1" a="1"/>
  <c r="AA107" i="79" s="1"/>
  <c r="AA159" i="79" s="1" a="1"/>
  <c r="AA159" i="79" s="1"/>
  <c r="Y87" i="79" a="1"/>
  <c r="Y87" i="79" s="1"/>
  <c r="Y108" i="79" s="1" a="1"/>
  <c r="Y108" i="79" s="1"/>
  <c r="Y160" i="79" s="1" a="1"/>
  <c r="Y160" i="79" s="1"/>
  <c r="AA87" i="79" a="1"/>
  <c r="AA87" i="79" s="1"/>
  <c r="AA108" i="79" s="1" a="1"/>
  <c r="AA108" i="79" s="1"/>
  <c r="AA160" i="79" s="1" a="1"/>
  <c r="AA160" i="79" s="1"/>
  <c r="Z79" i="79" a="1"/>
  <c r="Z79" i="79" s="1"/>
  <c r="Z100" i="79" s="1" a="1"/>
  <c r="Z100" i="79" s="1"/>
  <c r="Z152" i="79" s="1" a="1"/>
  <c r="Z152" i="79" s="1"/>
  <c r="E65" i="88" a="1"/>
  <c r="E65" i="88" s="1"/>
  <c r="I305" i="112" a="1"/>
  <c r="I305" i="112" s="1"/>
  <c r="E316" i="112" s="1"/>
  <c r="J305" i="112" a="1"/>
  <c r="J305" i="112" s="1"/>
  <c r="E317" i="112" s="1"/>
  <c r="F69" i="91" a="1"/>
  <c r="F69" i="91" s="1"/>
  <c r="F139" i="91" a="1"/>
  <c r="F139" i="91" s="1"/>
  <c r="E58" i="88" a="1"/>
  <c r="E58" i="88" s="1"/>
  <c r="O85" i="87" a="1"/>
  <c r="O85" i="87" s="1"/>
  <c r="P85" i="87" s="1" a="1"/>
  <c r="P85" i="87" s="1"/>
  <c r="O83" i="87" a="1"/>
  <c r="O83" i="87" s="1"/>
  <c r="P83" i="87" s="1" a="1"/>
  <c r="P83" i="87" s="1"/>
  <c r="O79" i="87" a="1"/>
  <c r="O79" i="87" s="1"/>
  <c r="P79" i="87" s="1" a="1"/>
  <c r="P79" i="87" s="1"/>
  <c r="O86" i="87" a="1"/>
  <c r="O86" i="87" s="1"/>
  <c r="P86" i="87" s="1" a="1"/>
  <c r="P86" i="87" s="1"/>
  <c r="O82" i="87" a="1"/>
  <c r="O82" i="87" s="1"/>
  <c r="P82" i="87" s="1" a="1"/>
  <c r="P82" i="87" s="1"/>
  <c r="O77" i="87" a="1"/>
  <c r="O77" i="87" s="1"/>
  <c r="P77" i="87" s="1" a="1"/>
  <c r="P77" i="87" s="1"/>
  <c r="O81" i="87" a="1"/>
  <c r="O81" i="87" s="1"/>
  <c r="P81" i="87" s="1" a="1"/>
  <c r="P81" i="87" s="1"/>
  <c r="O84" i="87" a="1"/>
  <c r="O84" i="87" s="1"/>
  <c r="P84" i="87" s="1" a="1"/>
  <c r="P84" i="87" s="1"/>
  <c r="O78" i="87" a="1"/>
  <c r="O78" i="87" s="1"/>
  <c r="P78" i="87" s="1" a="1"/>
  <c r="P78" i="87" s="1"/>
  <c r="O80" i="87" a="1"/>
  <c r="O80" i="87" s="1"/>
  <c r="P80" i="87" s="1" a="1"/>
  <c r="P80" i="87" s="1"/>
  <c r="N67" i="79" a="1"/>
  <c r="N67" i="79" s="1"/>
  <c r="N88" i="79" s="1" a="1"/>
  <c r="N88" i="79" s="1"/>
  <c r="N126" i="79" s="1" a="1"/>
  <c r="N126" i="79" s="1"/>
  <c r="F66" i="79" a="1"/>
  <c r="F66" i="79" s="1"/>
  <c r="F87" i="79" s="1" a="1"/>
  <c r="F87" i="79" s="1"/>
  <c r="F125" i="79" s="1" a="1"/>
  <c r="F125" i="79" s="1"/>
  <c r="G67" i="79" a="1"/>
  <c r="G67" i="79" s="1"/>
  <c r="G88" i="79" s="1" a="1"/>
  <c r="G88" i="79" s="1"/>
  <c r="G126" i="79" s="1" a="1"/>
  <c r="G126" i="79" s="1"/>
  <c r="N66" i="79" a="1"/>
  <c r="N66" i="79" s="1"/>
  <c r="N87" i="79" s="1" a="1"/>
  <c r="N87" i="79" s="1"/>
  <c r="N125" i="79" s="1" a="1"/>
  <c r="N125" i="79" s="1"/>
  <c r="M65" i="79" a="1"/>
  <c r="M65" i="79" s="1"/>
  <c r="M86" i="79" s="1" a="1"/>
  <c r="M86" i="79" s="1"/>
  <c r="M124" i="79" s="1" a="1"/>
  <c r="M124" i="79" s="1"/>
  <c r="K66" i="79" a="1"/>
  <c r="K66" i="79" s="1"/>
  <c r="K87" i="79" s="1" a="1"/>
  <c r="K87" i="79" s="1"/>
  <c r="K125" i="79" s="1" a="1"/>
  <c r="K125" i="79" s="1"/>
  <c r="K67" i="79" a="1"/>
  <c r="K67" i="79" s="1"/>
  <c r="K88" i="79" s="1" a="1"/>
  <c r="K88" i="79" s="1"/>
  <c r="K126" i="79" s="1" a="1"/>
  <c r="K126" i="79" s="1"/>
  <c r="F64" i="79" a="1"/>
  <c r="F64" i="79" s="1"/>
  <c r="F85" i="79" s="1" a="1"/>
  <c r="F85" i="79" s="1"/>
  <c r="F123" i="79" s="1" a="1"/>
  <c r="F123" i="79" s="1"/>
  <c r="K65" i="79" a="1"/>
  <c r="K65" i="79" s="1"/>
  <c r="K86" i="79" s="1" a="1"/>
  <c r="K86" i="79" s="1"/>
  <c r="K124" i="79" s="1" a="1"/>
  <c r="K124" i="79" s="1"/>
  <c r="L64" i="79" a="1"/>
  <c r="L64" i="79" s="1"/>
  <c r="L85" i="79" s="1" a="1"/>
  <c r="L85" i="79" s="1"/>
  <c r="L123" i="79" s="1" a="1"/>
  <c r="L123" i="79" s="1"/>
  <c r="L65" i="79" a="1"/>
  <c r="L65" i="79" s="1"/>
  <c r="L86" i="79" s="1" a="1"/>
  <c r="L86" i="79" s="1"/>
  <c r="L124" i="79" s="1" a="1"/>
  <c r="L124" i="79" s="1"/>
  <c r="G66" i="79" a="1"/>
  <c r="G66" i="79" s="1"/>
  <c r="G87" i="79" s="1" a="1"/>
  <c r="G87" i="79" s="1"/>
  <c r="G125" i="79" s="1" a="1"/>
  <c r="G125" i="79" s="1"/>
  <c r="G64" i="79" a="1"/>
  <c r="G64" i="79" s="1"/>
  <c r="G85" i="79" s="1" a="1"/>
  <c r="G85" i="79" s="1"/>
  <c r="G123" i="79" s="1" a="1"/>
  <c r="G123" i="79" s="1"/>
  <c r="L67" i="79" a="1"/>
  <c r="L67" i="79" s="1"/>
  <c r="L88" i="79" s="1" a="1"/>
  <c r="L88" i="79" s="1"/>
  <c r="L126" i="79" s="1" a="1"/>
  <c r="L126" i="79" s="1"/>
  <c r="E48" i="79"/>
  <c r="E64" i="79" s="1" a="1"/>
  <c r="E64" i="79" s="1"/>
  <c r="E85" i="79" s="1" a="1"/>
  <c r="E85" i="79" s="1"/>
  <c r="E123" i="79" s="1" a="1"/>
  <c r="E123" i="79" s="1"/>
  <c r="E65" i="79" a="1"/>
  <c r="E65" i="79" s="1"/>
  <c r="E86" i="79" s="1" a="1"/>
  <c r="E86" i="79" s="1"/>
  <c r="E124" i="79" s="1" a="1"/>
  <c r="E124" i="79" s="1"/>
  <c r="N64" i="79" a="1"/>
  <c r="N64" i="79" s="1"/>
  <c r="N85" i="79" s="1" a="1"/>
  <c r="N85" i="79" s="1"/>
  <c r="N123" i="79" s="1" a="1"/>
  <c r="N123" i="79" s="1"/>
  <c r="I64" i="79" a="1"/>
  <c r="I64" i="79" s="1"/>
  <c r="I85" i="79" s="1" a="1"/>
  <c r="I85" i="79" s="1"/>
  <c r="I123" i="79" s="1" a="1"/>
  <c r="I123" i="79" s="1"/>
  <c r="K64" i="79" a="1"/>
  <c r="K64" i="79" s="1"/>
  <c r="K85" i="79" s="1" a="1"/>
  <c r="K85" i="79" s="1"/>
  <c r="K123" i="79" s="1" a="1"/>
  <c r="K123" i="79" s="1"/>
  <c r="I66" i="79" a="1"/>
  <c r="I66" i="79" s="1"/>
  <c r="I87" i="79" s="1" a="1"/>
  <c r="I87" i="79" s="1"/>
  <c r="I125" i="79" s="1" a="1"/>
  <c r="I125" i="79" s="1"/>
  <c r="L66" i="79" a="1"/>
  <c r="L66" i="79" s="1"/>
  <c r="L87" i="79" s="1" a="1"/>
  <c r="L87" i="79" s="1"/>
  <c r="L125" i="79" s="1" a="1"/>
  <c r="L125" i="79" s="1"/>
  <c r="E67" i="79" a="1"/>
  <c r="E67" i="79" s="1"/>
  <c r="E88" i="79" s="1" a="1"/>
  <c r="E88" i="79" s="1"/>
  <c r="E126" i="79" s="1" a="1"/>
  <c r="E126" i="79" s="1"/>
  <c r="M66" i="79" a="1"/>
  <c r="M66" i="79" s="1"/>
  <c r="M87" i="79" s="1" a="1"/>
  <c r="M87" i="79" s="1"/>
  <c r="M125" i="79" s="1" a="1"/>
  <c r="M125" i="79" s="1"/>
  <c r="J67" i="79" a="1"/>
  <c r="J67" i="79" s="1"/>
  <c r="J88" i="79" s="1" a="1"/>
  <c r="J88" i="79" s="1"/>
  <c r="J126" i="79" s="1" a="1"/>
  <c r="J126" i="79" s="1"/>
  <c r="N65" i="79" a="1"/>
  <c r="N65" i="79" s="1"/>
  <c r="N86" i="79" s="1" a="1"/>
  <c r="N86" i="79" s="1"/>
  <c r="N124" i="79" s="1" a="1"/>
  <c r="N124" i="79" s="1"/>
  <c r="M64" i="79" a="1"/>
  <c r="M64" i="79" s="1"/>
  <c r="M85" i="79" s="1" a="1"/>
  <c r="M85" i="79" s="1"/>
  <c r="M123" i="79" s="1" a="1"/>
  <c r="M123" i="79" s="1"/>
  <c r="M67" i="79" a="1"/>
  <c r="M67" i="79" s="1"/>
  <c r="M88" i="79" s="1" a="1"/>
  <c r="M88" i="79" s="1"/>
  <c r="M126" i="79" s="1" a="1"/>
  <c r="M126" i="79" s="1"/>
  <c r="F67" i="79" a="1"/>
  <c r="F67" i="79" s="1"/>
  <c r="F88" i="79" s="1" a="1"/>
  <c r="F88" i="79" s="1"/>
  <c r="F126" i="79" s="1" a="1"/>
  <c r="F126" i="79" s="1"/>
  <c r="F65" i="79" a="1"/>
  <c r="F65" i="79" s="1"/>
  <c r="F86" i="79" s="1" a="1"/>
  <c r="F86" i="79" s="1"/>
  <c r="F124" i="79" s="1" a="1"/>
  <c r="F124" i="79" s="1"/>
  <c r="G65" i="79" a="1"/>
  <c r="G65" i="79" s="1"/>
  <c r="G86" i="79" s="1" a="1"/>
  <c r="G86" i="79" s="1"/>
  <c r="G124" i="79" s="1" a="1"/>
  <c r="G124" i="79" s="1"/>
  <c r="E66" i="79" a="1"/>
  <c r="E66" i="79" s="1"/>
  <c r="E87" i="79" s="1" a="1"/>
  <c r="E87" i="79" s="1"/>
  <c r="E125" i="79" s="1" a="1"/>
  <c r="E125" i="79" s="1"/>
  <c r="H66" i="79" a="1"/>
  <c r="H66" i="79" s="1"/>
  <c r="H87" i="79" s="1" a="1"/>
  <c r="H87" i="79" s="1"/>
  <c r="H125" i="79" s="1" a="1"/>
  <c r="H125" i="79" s="1"/>
  <c r="J66" i="79" a="1"/>
  <c r="J66" i="79" s="1"/>
  <c r="J87" i="79" s="1" a="1"/>
  <c r="J87" i="79" s="1"/>
  <c r="J125" i="79" s="1" a="1"/>
  <c r="J125" i="79" s="1"/>
  <c r="J64" i="79" a="1"/>
  <c r="J64" i="79" s="1"/>
  <c r="J85" i="79" s="1" a="1"/>
  <c r="J85" i="79" s="1"/>
  <c r="J123" i="79" s="1" a="1"/>
  <c r="J123" i="79" s="1"/>
  <c r="H64" i="79" a="1"/>
  <c r="H64" i="79" s="1"/>
  <c r="H85" i="79" s="1" a="1"/>
  <c r="H85" i="79" s="1"/>
  <c r="H123" i="79" s="1" a="1"/>
  <c r="H123" i="79" s="1"/>
  <c r="I67" i="79" a="1"/>
  <c r="I67" i="79" s="1"/>
  <c r="I88" i="79" s="1" a="1"/>
  <c r="I88" i="79" s="1"/>
  <c r="I126" i="79" s="1" a="1"/>
  <c r="I126" i="79" s="1"/>
  <c r="I65" i="79" a="1"/>
  <c r="I65" i="79" s="1"/>
  <c r="I86" i="79" s="1" a="1"/>
  <c r="I86" i="79" s="1"/>
  <c r="I124" i="79" s="1" a="1"/>
  <c r="I124" i="79" s="1"/>
  <c r="J65" i="79" a="1"/>
  <c r="J65" i="79" s="1"/>
  <c r="J86" i="79" s="1" a="1"/>
  <c r="J86" i="79" s="1"/>
  <c r="J124" i="79" s="1" a="1"/>
  <c r="J124" i="79" s="1"/>
  <c r="H65" i="79" a="1"/>
  <c r="H65" i="79" s="1"/>
  <c r="H86" i="79" s="1" a="1"/>
  <c r="H86" i="79" s="1"/>
  <c r="H124" i="79" s="1" a="1"/>
  <c r="H124" i="79" s="1"/>
  <c r="H67" i="79" a="1"/>
  <c r="H67" i="79" s="1"/>
  <c r="H88" i="79" s="1" a="1"/>
  <c r="H88" i="79" s="1"/>
  <c r="H126" i="79" s="1" a="1"/>
  <c r="H126" i="79" s="1"/>
  <c r="G221" i="112" a="1"/>
  <c r="G221" i="112" s="1"/>
  <c r="E248" i="112" s="1"/>
  <c r="H221" i="112" a="1"/>
  <c r="H221" i="112" s="1"/>
  <c r="E251" i="112" s="1"/>
  <c r="J221" i="112" a="1"/>
  <c r="J221" i="112" s="1"/>
  <c r="E249" i="112" s="1"/>
  <c r="K221" i="112" a="1"/>
  <c r="K221" i="112" s="1"/>
  <c r="E252" i="112" s="1"/>
  <c r="E90" i="113" a="1"/>
  <c r="E90" i="113" s="1"/>
  <c r="J571" i="112" s="1"/>
  <c r="F137" i="91" a="1"/>
  <c r="F137" i="91" s="1"/>
  <c r="K36" i="83" a="1"/>
  <c r="K36" i="83" s="1"/>
  <c r="E36" i="83" a="1"/>
  <c r="E36" i="83" s="1"/>
  <c r="E20" i="83"/>
  <c r="E33" i="83" s="1" a="1"/>
  <c r="E33" i="83" s="1"/>
  <c r="E35" i="83" a="1"/>
  <c r="E35" i="83" s="1"/>
  <c r="E34" i="83" a="1"/>
  <c r="E34" i="83" s="1"/>
  <c r="G33" i="83" a="1"/>
  <c r="G33" i="83" s="1"/>
  <c r="N33" i="83" a="1"/>
  <c r="N33" i="83" s="1"/>
  <c r="N35" i="83" a="1"/>
  <c r="N35" i="83" s="1"/>
  <c r="M34" i="83" a="1"/>
  <c r="M34" i="83" s="1"/>
  <c r="K35" i="83" a="1"/>
  <c r="K35" i="83" s="1"/>
  <c r="M33" i="83" a="1"/>
  <c r="M33" i="83" s="1"/>
  <c r="F35" i="83" a="1"/>
  <c r="F35" i="83" s="1"/>
  <c r="I35" i="83" a="1"/>
  <c r="I35" i="83" s="1"/>
  <c r="J35" i="83" a="1"/>
  <c r="J35" i="83" s="1"/>
  <c r="L34" i="83" a="1"/>
  <c r="L34" i="83" s="1"/>
  <c r="F36" i="83" a="1"/>
  <c r="F36" i="83" s="1"/>
  <c r="H33" i="83" a="1"/>
  <c r="H33" i="83" s="1"/>
  <c r="G35" i="83" a="1"/>
  <c r="G35" i="83" s="1"/>
  <c r="H34" i="83" a="1"/>
  <c r="H34" i="83" s="1"/>
  <c r="M36" i="83" a="1"/>
  <c r="M36" i="83" s="1"/>
  <c r="K34" i="83" a="1"/>
  <c r="K34" i="83" s="1"/>
  <c r="L36" i="83" a="1"/>
  <c r="L36" i="83" s="1"/>
  <c r="H35" i="83" a="1"/>
  <c r="H35" i="83" s="1"/>
  <c r="L33" i="83" a="1"/>
  <c r="L33" i="83" s="1"/>
  <c r="N34" i="83" a="1"/>
  <c r="N34" i="83" s="1"/>
  <c r="I36" i="83" a="1"/>
  <c r="I36" i="83" s="1"/>
  <c r="J33" i="83" a="1"/>
  <c r="J33" i="83" s="1"/>
  <c r="H36" i="83" a="1"/>
  <c r="H36" i="83" s="1"/>
  <c r="G36" i="83" a="1"/>
  <c r="G36" i="83" s="1"/>
  <c r="G34" i="83" a="1"/>
  <c r="G34" i="83" s="1"/>
  <c r="N36" i="83" a="1"/>
  <c r="N36" i="83" s="1"/>
  <c r="K33" i="83" a="1"/>
  <c r="K33" i="83" s="1"/>
  <c r="I33" i="83" a="1"/>
  <c r="I33" i="83" s="1"/>
  <c r="L35" i="83" a="1"/>
  <c r="L35" i="83" s="1"/>
  <c r="F34" i="83" a="1"/>
  <c r="F34" i="83" s="1"/>
  <c r="F33" i="83" a="1"/>
  <c r="F33" i="83" s="1"/>
  <c r="J36" i="83" a="1"/>
  <c r="J36" i="83" s="1"/>
  <c r="I34" i="83" a="1"/>
  <c r="I34" i="83" s="1"/>
  <c r="M35" i="83" a="1"/>
  <c r="M35" i="83" s="1"/>
  <c r="J34" i="83" a="1"/>
  <c r="J34" i="83" s="1"/>
  <c r="E73" i="88" a="1"/>
  <c r="E73" i="88" s="1"/>
  <c r="O90" i="113" a="1"/>
  <c r="O90" i="113" s="1"/>
  <c r="R571" i="112" s="1"/>
  <c r="E40" i="105" a="1"/>
  <c r="E40" i="105" s="1"/>
  <c r="O40" i="105" a="1"/>
  <c r="O40" i="105" s="1"/>
  <c r="E71" i="88" a="1"/>
  <c r="E71" i="88" s="1"/>
  <c r="F134" i="91" a="1"/>
  <c r="F134" i="91" s="1"/>
  <c r="F144" i="91" a="1"/>
  <c r="F144" i="91" s="1"/>
  <c r="L84" i="82" a="1"/>
  <c r="L84" i="82" s="1"/>
  <c r="L131" i="82" s="1" a="1"/>
  <c r="L131" i="82" s="1"/>
  <c r="G86" i="82" a="1"/>
  <c r="G86" i="82" s="1"/>
  <c r="G133" i="82" s="1" a="1"/>
  <c r="G133" i="82" s="1"/>
  <c r="L85" i="82" a="1"/>
  <c r="L85" i="82" s="1"/>
  <c r="L132" i="82" s="1" a="1"/>
  <c r="L132" i="82" s="1"/>
  <c r="E87" i="82" a="1"/>
  <c r="E87" i="82" s="1"/>
  <c r="E134" i="82" s="1" a="1"/>
  <c r="E134" i="82" s="1"/>
  <c r="L87" i="82" a="1"/>
  <c r="L87" i="82" s="1"/>
  <c r="L134" i="82" s="1" a="1"/>
  <c r="L134" i="82" s="1"/>
  <c r="G84" i="82" a="1"/>
  <c r="G84" i="82" s="1"/>
  <c r="G131" i="82" s="1" a="1"/>
  <c r="G131" i="82" s="1"/>
  <c r="N85" i="82" a="1"/>
  <c r="N85" i="82" s="1"/>
  <c r="N132" i="82" s="1" a="1"/>
  <c r="N132" i="82" s="1"/>
  <c r="M84" i="82" a="1"/>
  <c r="M84" i="82" s="1"/>
  <c r="M131" i="82" s="1" a="1"/>
  <c r="M131" i="82" s="1"/>
  <c r="K86" i="82" a="1"/>
  <c r="K86" i="82" s="1"/>
  <c r="K133" i="82" s="1" a="1"/>
  <c r="K133" i="82" s="1"/>
  <c r="F87" i="82" a="1"/>
  <c r="F87" i="82" s="1"/>
  <c r="F134" i="82" s="1" a="1"/>
  <c r="F134" i="82" s="1"/>
  <c r="N84" i="82" a="1"/>
  <c r="N84" i="82" s="1"/>
  <c r="N131" i="82" s="1" a="1"/>
  <c r="N131" i="82" s="1"/>
  <c r="N87" i="82" a="1"/>
  <c r="N87" i="82" s="1"/>
  <c r="N134" i="82" s="1" a="1"/>
  <c r="N134" i="82" s="1"/>
  <c r="G87" i="82" a="1"/>
  <c r="G87" i="82" s="1"/>
  <c r="G134" i="82" s="1" a="1"/>
  <c r="G134" i="82" s="1"/>
  <c r="E85" i="82" a="1"/>
  <c r="E85" i="82" s="1"/>
  <c r="E132" i="82" s="1" a="1"/>
  <c r="E132" i="82" s="1"/>
  <c r="M86" i="82" a="1"/>
  <c r="M86" i="82" s="1"/>
  <c r="M133" i="82" s="1" a="1"/>
  <c r="M133" i="82" s="1"/>
  <c r="K87" i="82" a="1"/>
  <c r="K87" i="82" s="1"/>
  <c r="K134" i="82" s="1" a="1"/>
  <c r="K134" i="82" s="1"/>
  <c r="E52" i="82"/>
  <c r="E84" i="82" s="1" a="1"/>
  <c r="E84" i="82" s="1"/>
  <c r="E131" i="82" s="1" a="1"/>
  <c r="E131" i="82" s="1"/>
  <c r="F84" i="82" a="1"/>
  <c r="F84" i="82" s="1"/>
  <c r="F131" i="82" s="1" a="1"/>
  <c r="F131" i="82" s="1"/>
  <c r="F86" i="82" a="1"/>
  <c r="F86" i="82" s="1"/>
  <c r="F133" i="82" s="1" a="1"/>
  <c r="F133" i="82" s="1"/>
  <c r="E86" i="82" a="1"/>
  <c r="E86" i="82" s="1"/>
  <c r="E133" i="82" s="1" a="1"/>
  <c r="E133" i="82" s="1"/>
  <c r="M87" i="82" a="1"/>
  <c r="M87" i="82" s="1"/>
  <c r="M134" i="82" s="1" a="1"/>
  <c r="M134" i="82" s="1"/>
  <c r="M85" i="82" a="1"/>
  <c r="M85" i="82" s="1"/>
  <c r="M132" i="82" s="1" a="1"/>
  <c r="M132" i="82" s="1"/>
  <c r="K85" i="82" a="1"/>
  <c r="K85" i="82" s="1"/>
  <c r="K132" i="82" s="1" a="1"/>
  <c r="K132" i="82" s="1"/>
  <c r="F85" i="82" a="1"/>
  <c r="F85" i="82" s="1"/>
  <c r="F132" i="82" s="1" a="1"/>
  <c r="F132" i="82" s="1"/>
  <c r="K84" i="82" a="1"/>
  <c r="K84" i="82" s="1"/>
  <c r="K131" i="82" s="1" a="1"/>
  <c r="K131" i="82" s="1"/>
  <c r="L86" i="82" a="1"/>
  <c r="L86" i="82" s="1"/>
  <c r="L133" i="82" s="1" a="1"/>
  <c r="L133" i="82" s="1"/>
  <c r="N86" i="82" a="1"/>
  <c r="N86" i="82" s="1"/>
  <c r="N133" i="82" s="1" a="1"/>
  <c r="N133" i="82" s="1"/>
  <c r="G85" i="82" a="1"/>
  <c r="G85" i="82" s="1"/>
  <c r="G132" i="82" s="1" a="1"/>
  <c r="G132" i="82" s="1"/>
  <c r="I86" i="82" a="1"/>
  <c r="I86" i="82" s="1"/>
  <c r="I133" i="82" s="1" a="1"/>
  <c r="I133" i="82" s="1"/>
  <c r="J86" i="82" a="1"/>
  <c r="J86" i="82" s="1"/>
  <c r="J133" i="82" s="1" a="1"/>
  <c r="J133" i="82" s="1"/>
  <c r="H86" i="82" a="1"/>
  <c r="H86" i="82" s="1"/>
  <c r="H133" i="82" s="1" a="1"/>
  <c r="H133" i="82" s="1"/>
  <c r="H85" i="82" a="1"/>
  <c r="H85" i="82" s="1"/>
  <c r="H132" i="82" s="1" a="1"/>
  <c r="H132" i="82" s="1"/>
  <c r="J85" i="82" a="1"/>
  <c r="J85" i="82" s="1"/>
  <c r="J132" i="82" s="1" a="1"/>
  <c r="J132" i="82" s="1"/>
  <c r="J84" i="82" a="1"/>
  <c r="J84" i="82" s="1"/>
  <c r="J131" i="82" s="1" a="1"/>
  <c r="J131" i="82" s="1"/>
  <c r="I85" i="82" a="1"/>
  <c r="I85" i="82" s="1"/>
  <c r="I132" i="82" s="1" a="1"/>
  <c r="I132" i="82" s="1"/>
  <c r="H87" i="82" a="1"/>
  <c r="H87" i="82" s="1"/>
  <c r="H134" i="82" s="1" a="1"/>
  <c r="H134" i="82" s="1"/>
  <c r="I84" i="82" a="1"/>
  <c r="I84" i="82" s="1"/>
  <c r="I131" i="82" s="1" a="1"/>
  <c r="I131" i="82" s="1"/>
  <c r="I87" i="82" a="1"/>
  <c r="I87" i="82" s="1"/>
  <c r="I134" i="82" s="1" a="1"/>
  <c r="I134" i="82" s="1"/>
  <c r="J87" i="82" a="1"/>
  <c r="J87" i="82" s="1"/>
  <c r="J134" i="82" s="1" a="1"/>
  <c r="J134" i="82" s="1"/>
  <c r="H84" i="82" a="1"/>
  <c r="H84" i="82" s="1"/>
  <c r="H131" i="82" s="1" a="1"/>
  <c r="H131" i="82" s="1"/>
  <c r="E61" i="88" a="1"/>
  <c r="E61" i="88" s="1"/>
  <c r="E67" i="88" a="1"/>
  <c r="E67" i="88" s="1"/>
  <c r="E50" i="89" a="1"/>
  <c r="E50" i="89" s="1"/>
  <c r="F138" i="91" a="1"/>
  <c r="F138" i="91" s="1"/>
  <c r="E19" i="113" a="1"/>
  <c r="E19" i="113" s="1"/>
  <c r="J569" i="112" s="1"/>
  <c r="O19" i="113" a="1"/>
  <c r="O19" i="113" s="1"/>
  <c r="R569" i="112" s="1"/>
  <c r="E72" i="88" a="1"/>
  <c r="E72" i="88" s="1"/>
  <c r="E70" i="88" a="1"/>
  <c r="E70" i="88" s="1"/>
  <c r="E76" i="88" a="1"/>
  <c r="E76" i="88" s="1"/>
  <c r="E63" i="88" a="1"/>
  <c r="E63" i="88" s="1"/>
  <c r="U45" i="87"/>
  <c r="E69" i="88" a="1"/>
  <c r="E69" i="88" s="1"/>
  <c r="E74" i="88" a="1"/>
  <c r="E74" i="88" s="1"/>
  <c r="E75" i="88" a="1"/>
  <c r="E75" i="88" s="1"/>
  <c r="F135" i="91" a="1"/>
  <c r="F135" i="91" s="1"/>
  <c r="E59" i="88" a="1"/>
  <c r="E59" i="88" s="1"/>
  <c r="E68" i="88" a="1"/>
  <c r="E68" i="88" s="1"/>
  <c r="V20" i="83"/>
  <c r="V36" i="83" s="1" a="1"/>
  <c r="V36" i="83" s="1"/>
  <c r="AC46" i="83" a="1"/>
  <c r="AC46" i="83" s="1"/>
  <c r="V46" i="83" a="1"/>
  <c r="V46" i="83" s="1"/>
  <c r="V43" i="83" a="1"/>
  <c r="V43" i="83" s="1"/>
  <c r="V40" i="83" a="1"/>
  <c r="V40" i="83" s="1"/>
  <c r="AD42" i="83" a="1"/>
  <c r="AD42" i="83" s="1"/>
  <c r="V37" i="83" a="1"/>
  <c r="V37" i="83" s="1"/>
  <c r="W43" i="83" a="1"/>
  <c r="W43" i="83" s="1"/>
  <c r="Y47" i="83" a="1"/>
  <c r="Y47" i="83" s="1"/>
  <c r="V41" i="83" a="1"/>
  <c r="V41" i="83" s="1"/>
  <c r="V47" i="83" a="1"/>
  <c r="V47" i="83" s="1"/>
  <c r="Z37" i="83" a="1"/>
  <c r="Z37" i="83" s="1"/>
  <c r="X39" i="83" a="1"/>
  <c r="X39" i="83" s="1"/>
  <c r="V42" i="83" a="1"/>
  <c r="V42" i="83" s="1"/>
  <c r="V44" i="83" a="1"/>
  <c r="V44" i="83" s="1"/>
  <c r="V45" i="83" a="1"/>
  <c r="V45" i="83" s="1"/>
  <c r="AA39" i="83" a="1"/>
  <c r="AA39" i="83" s="1"/>
  <c r="Z47" i="83" a="1"/>
  <c r="Z47" i="83" s="1"/>
  <c r="AA41" i="83" a="1"/>
  <c r="AA41" i="83" s="1"/>
  <c r="Y38" i="83" a="1"/>
  <c r="Y38" i="83" s="1"/>
  <c r="AC45" i="83" a="1"/>
  <c r="AC45" i="83" s="1"/>
  <c r="Z46" i="83" a="1"/>
  <c r="Z46" i="83" s="1"/>
  <c r="Z38" i="83" a="1"/>
  <c r="Z38" i="83" s="1"/>
  <c r="AD44" i="83" a="1"/>
  <c r="AD44" i="83" s="1"/>
  <c r="AD36" i="83" a="1"/>
  <c r="AD36" i="83" s="1"/>
  <c r="AD40" i="83" a="1"/>
  <c r="AD40" i="83" s="1"/>
  <c r="AC44" i="83" a="1"/>
  <c r="AC44" i="83" s="1"/>
  <c r="Y40" i="83" a="1"/>
  <c r="Y40" i="83" s="1"/>
  <c r="AB46" i="83" a="1"/>
  <c r="AB46" i="83" s="1"/>
  <c r="Z45" i="83" a="1"/>
  <c r="Z45" i="83" s="1"/>
  <c r="AB37" i="83" a="1"/>
  <c r="AB37" i="83" s="1"/>
  <c r="AC43" i="83" a="1"/>
  <c r="AC43" i="83" s="1"/>
  <c r="AD43" i="83" a="1"/>
  <c r="AD43" i="83" s="1"/>
  <c r="AB42" i="83" a="1"/>
  <c r="AB42" i="83" s="1"/>
  <c r="X37" i="83" a="1"/>
  <c r="X37" i="83" s="1"/>
  <c r="AE38" i="83" a="1"/>
  <c r="AE38" i="83" s="1"/>
  <c r="AA43" i="83" a="1"/>
  <c r="AA43" i="83" s="1"/>
  <c r="AB45" i="83" a="1"/>
  <c r="AB45" i="83" s="1"/>
  <c r="Z41" i="83" a="1"/>
  <c r="Z41" i="83" s="1"/>
  <c r="AD45" i="83" a="1"/>
  <c r="AD45" i="83" s="1"/>
  <c r="Y37" i="83" a="1"/>
  <c r="Y37" i="83" s="1"/>
  <c r="AA38" i="83" a="1"/>
  <c r="AA38" i="83" s="1"/>
  <c r="Y46" i="83" a="1"/>
  <c r="Y46" i="83" s="1"/>
  <c r="AC40" i="83" a="1"/>
  <c r="AC40" i="83" s="1"/>
  <c r="AB38" i="83" a="1"/>
  <c r="AB38" i="83" s="1"/>
  <c r="AD41" i="83" a="1"/>
  <c r="AD41" i="83" s="1"/>
  <c r="AC47" i="83" a="1"/>
  <c r="AC47" i="83" s="1"/>
  <c r="AD47" i="83" a="1"/>
  <c r="AD47" i="83" s="1"/>
  <c r="AB43" i="83" a="1"/>
  <c r="AB43" i="83" s="1"/>
  <c r="AB47" i="83" a="1"/>
  <c r="AB47" i="83" s="1"/>
  <c r="W39" i="83" a="1"/>
  <c r="W39" i="83" s="1"/>
  <c r="AB40" i="83" a="1"/>
  <c r="AB40" i="83" s="1"/>
  <c r="AE44" i="83" a="1"/>
  <c r="AE44" i="83" s="1"/>
  <c r="V38" i="83" a="1"/>
  <c r="V38" i="83" s="1"/>
  <c r="W46" i="83" a="1"/>
  <c r="W46" i="83" s="1"/>
  <c r="Y36" i="83" a="1"/>
  <c r="Y36" i="83" s="1"/>
  <c r="AA42" i="83" a="1"/>
  <c r="AA42" i="83" s="1"/>
  <c r="X44" i="83" a="1"/>
  <c r="X44" i="83" s="1"/>
  <c r="AA47" i="83" a="1"/>
  <c r="AA47" i="83" s="1"/>
  <c r="AC37" i="83" a="1"/>
  <c r="AC37" i="83" s="1"/>
  <c r="AD46" i="83" a="1"/>
  <c r="AD46" i="83" s="1"/>
  <c r="AB39" i="83" a="1"/>
  <c r="AB39" i="83" s="1"/>
  <c r="W36" i="83" a="1"/>
  <c r="W36" i="83" s="1"/>
  <c r="Y39" i="83" a="1"/>
  <c r="Y39" i="83" s="1"/>
  <c r="X43" i="83" a="1"/>
  <c r="X43" i="83" s="1"/>
  <c r="X47" i="83" a="1"/>
  <c r="X47" i="83" s="1"/>
  <c r="AE47" i="83" a="1"/>
  <c r="AE47" i="83" s="1"/>
  <c r="AC42" i="83" a="1"/>
  <c r="AC42" i="83" s="1"/>
  <c r="AD38" i="83" a="1"/>
  <c r="AD38" i="83" s="1"/>
  <c r="W41" i="83" a="1"/>
  <c r="W41" i="83" s="1"/>
  <c r="Y43" i="83" a="1"/>
  <c r="Y43" i="83" s="1"/>
  <c r="Y45" i="83" a="1"/>
  <c r="Y45" i="83" s="1"/>
  <c r="X38" i="83" a="1"/>
  <c r="X38" i="83" s="1"/>
  <c r="W44" i="83" a="1"/>
  <c r="W44" i="83" s="1"/>
  <c r="AC41" i="83" a="1"/>
  <c r="AC41" i="83" s="1"/>
  <c r="AE39" i="83" a="1"/>
  <c r="AE39" i="83" s="1"/>
  <c r="AB36" i="83" a="1"/>
  <c r="AB36" i="83" s="1"/>
  <c r="W45" i="83" a="1"/>
  <c r="W45" i="83" s="1"/>
  <c r="AA45" i="83" a="1"/>
  <c r="AA45" i="83" s="1"/>
  <c r="W37" i="83" a="1"/>
  <c r="W37" i="83" s="1"/>
  <c r="Y41" i="83" a="1"/>
  <c r="Y41" i="83" s="1"/>
  <c r="AE41" i="83" a="1"/>
  <c r="AE41" i="83" s="1"/>
  <c r="AE37" i="83" a="1"/>
  <c r="AE37" i="83" s="1"/>
  <c r="AC39" i="83" a="1"/>
  <c r="AC39" i="83" s="1"/>
  <c r="AE36" i="83" a="1"/>
  <c r="AE36" i="83" s="1"/>
  <c r="W38" i="83" a="1"/>
  <c r="W38" i="83" s="1"/>
  <c r="AE45" i="83" a="1"/>
  <c r="AE45" i="83" s="1"/>
  <c r="X36" i="83" a="1"/>
  <c r="X36" i="83" s="1"/>
  <c r="X46" i="83" a="1"/>
  <c r="X46" i="83" s="1"/>
  <c r="AA44" i="83" a="1"/>
  <c r="AA44" i="83" s="1"/>
  <c r="Z43" i="83" a="1"/>
  <c r="Z43" i="83" s="1"/>
  <c r="AC36" i="83" a="1"/>
  <c r="AC36" i="83" s="1"/>
  <c r="AE46" i="83" a="1"/>
  <c r="AE46" i="83" s="1"/>
  <c r="W47" i="83" a="1"/>
  <c r="W47" i="83" s="1"/>
  <c r="X41" i="83" a="1"/>
  <c r="X41" i="83" s="1"/>
  <c r="W42" i="83" a="1"/>
  <c r="W42" i="83" s="1"/>
  <c r="AA37" i="83" a="1"/>
  <c r="AA37" i="83" s="1"/>
  <c r="AA46" i="83" a="1"/>
  <c r="AA46" i="83" s="1"/>
  <c r="Z42" i="83" a="1"/>
  <c r="Z42" i="83" s="1"/>
  <c r="Z39" i="83" a="1"/>
  <c r="Z39" i="83" s="1"/>
  <c r="X45" i="83" a="1"/>
  <c r="X45" i="83" s="1"/>
  <c r="AC38" i="83" a="1"/>
  <c r="AC38" i="83" s="1"/>
  <c r="W40" i="83" a="1"/>
  <c r="W40" i="83" s="1"/>
  <c r="Y44" i="83" a="1"/>
  <c r="Y44" i="83" s="1"/>
  <c r="Z40" i="83" a="1"/>
  <c r="Z40" i="83" s="1"/>
  <c r="Z36" i="83" a="1"/>
  <c r="Z36" i="83" s="1"/>
  <c r="X40" i="83" a="1"/>
  <c r="X40" i="83" s="1"/>
  <c r="AD39" i="83" a="1"/>
  <c r="AD39" i="83" s="1"/>
  <c r="AE40" i="83" a="1"/>
  <c r="AE40" i="83" s="1"/>
  <c r="AB44" i="83" a="1"/>
  <c r="AB44" i="83" s="1"/>
  <c r="AA36" i="83" a="1"/>
  <c r="AA36" i="83" s="1"/>
  <c r="Z44" i="83" a="1"/>
  <c r="Z44" i="83" s="1"/>
  <c r="X42" i="83" a="1"/>
  <c r="X42" i="83" s="1"/>
  <c r="AE42" i="83" a="1"/>
  <c r="AE42" i="83" s="1"/>
  <c r="AD37" i="83" a="1"/>
  <c r="AD37" i="83" s="1"/>
  <c r="Y42" i="83" a="1"/>
  <c r="Y42" i="83" s="1"/>
  <c r="AB41" i="83" a="1"/>
  <c r="AB41" i="83" s="1"/>
  <c r="F60" i="91" a="1"/>
  <c r="F60" i="91" s="1"/>
  <c r="E79" i="91" s="1"/>
  <c r="G81" i="91" s="1"/>
  <c r="E84" i="91" s="1" a="1"/>
  <c r="E84" i="91" s="1"/>
  <c r="O46" i="106" a="1"/>
  <c r="O46" i="106" s="1"/>
  <c r="O48" i="106" s="1"/>
  <c r="E64" i="88" a="1"/>
  <c r="E64" i="88" s="1"/>
  <c r="AG76" i="82" a="1"/>
  <c r="AG76" i="82" s="1"/>
  <c r="AG131" i="82" s="1" a="1"/>
  <c r="AG131" i="82" s="1"/>
  <c r="AF87" i="82" a="1"/>
  <c r="AF87" i="82" s="1"/>
  <c r="AF142" i="82" s="1" a="1"/>
  <c r="AF142" i="82" s="1"/>
  <c r="Y85" i="82" a="1"/>
  <c r="Y85" i="82" s="1"/>
  <c r="Y140" i="82" s="1" a="1"/>
  <c r="Y140" i="82" s="1"/>
  <c r="AF77" i="82" a="1"/>
  <c r="AF77" i="82" s="1"/>
  <c r="AF132" i="82" s="1" a="1"/>
  <c r="AF132" i="82" s="1"/>
  <c r="Z79" i="82" a="1"/>
  <c r="Z79" i="82" s="1"/>
  <c r="Z134" i="82" s="1" a="1"/>
  <c r="Z134" i="82" s="1"/>
  <c r="Z87" i="82" a="1"/>
  <c r="Z87" i="82" s="1"/>
  <c r="Z142" i="82" s="1" a="1"/>
  <c r="Z142" i="82" s="1"/>
  <c r="AG80" i="82" a="1"/>
  <c r="AG80" i="82" s="1"/>
  <c r="AG135" i="82" s="1" a="1"/>
  <c r="AG135" i="82" s="1"/>
  <c r="Z76" i="82" a="1"/>
  <c r="Z76" i="82" s="1"/>
  <c r="Z131" i="82" s="1" a="1"/>
  <c r="Z131" i="82" s="1"/>
  <c r="X87" i="82" a="1"/>
  <c r="X87" i="82" s="1"/>
  <c r="X142" i="82" s="1" a="1"/>
  <c r="X142" i="82" s="1"/>
  <c r="AE84" i="82" a="1"/>
  <c r="AE84" i="82" s="1"/>
  <c r="AE139" i="82" s="1" a="1"/>
  <c r="AE139" i="82" s="1"/>
  <c r="AD83" i="82" a="1"/>
  <c r="AD83" i="82" s="1"/>
  <c r="AD138" i="82" s="1" a="1"/>
  <c r="AD138" i="82" s="1"/>
  <c r="Z86" i="82" a="1"/>
  <c r="Z86" i="82" s="1"/>
  <c r="Z141" i="82" s="1" a="1"/>
  <c r="Z141" i="82" s="1"/>
  <c r="AF86" i="82" a="1"/>
  <c r="AF86" i="82" s="1"/>
  <c r="AF141" i="82" s="1" a="1"/>
  <c r="AF141" i="82" s="1"/>
  <c r="X82" i="82" a="1"/>
  <c r="X82" i="82" s="1"/>
  <c r="X137" i="82" s="1" a="1"/>
  <c r="X137" i="82" s="1"/>
  <c r="AE86" i="82" a="1"/>
  <c r="AE86" i="82" s="1"/>
  <c r="AE141" i="82" s="1" a="1"/>
  <c r="AE141" i="82" s="1"/>
  <c r="AF84" i="82" a="1"/>
  <c r="AF84" i="82" s="1"/>
  <c r="AF139" i="82" s="1" a="1"/>
  <c r="AF139" i="82" s="1"/>
  <c r="AD87" i="82" a="1"/>
  <c r="AD87" i="82" s="1"/>
  <c r="AD142" i="82" s="1" a="1"/>
  <c r="AD142" i="82" s="1"/>
  <c r="AE85" i="82" a="1"/>
  <c r="AE85" i="82" s="1"/>
  <c r="AE140" i="82" s="1" a="1"/>
  <c r="AE140" i="82" s="1"/>
  <c r="Y83" i="82" a="1"/>
  <c r="Y83" i="82" s="1"/>
  <c r="Y138" i="82" s="1" a="1"/>
  <c r="Y138" i="82" s="1"/>
  <c r="AE83" i="82" a="1"/>
  <c r="AE83" i="82" s="1"/>
  <c r="AE138" i="82" s="1" a="1"/>
  <c r="AE138" i="82" s="1"/>
  <c r="AF85" i="82" a="1"/>
  <c r="AF85" i="82" s="1"/>
  <c r="AF140" i="82" s="1" a="1"/>
  <c r="AF140" i="82" s="1"/>
  <c r="Y86" i="82" a="1"/>
  <c r="Y86" i="82" s="1"/>
  <c r="Y141" i="82" s="1" a="1"/>
  <c r="Y141" i="82" s="1"/>
  <c r="AF81" i="82" a="1"/>
  <c r="AF81" i="82" s="1"/>
  <c r="AF136" i="82" s="1" a="1"/>
  <c r="AF136" i="82" s="1"/>
  <c r="AD79" i="82" a="1"/>
  <c r="AD79" i="82" s="1"/>
  <c r="AD134" i="82" s="1" a="1"/>
  <c r="AD134" i="82" s="1"/>
  <c r="X85" i="82" a="1"/>
  <c r="X85" i="82" s="1"/>
  <c r="X140" i="82" s="1" a="1"/>
  <c r="X140" i="82" s="1"/>
  <c r="Z77" i="82" a="1"/>
  <c r="Z77" i="82" s="1"/>
  <c r="Z132" i="82" s="1" a="1"/>
  <c r="Z132" i="82" s="1"/>
  <c r="AF79" i="82" a="1"/>
  <c r="AF79" i="82" s="1"/>
  <c r="AF134" i="82" s="1" a="1"/>
  <c r="AF134" i="82" s="1"/>
  <c r="AG85" i="82" a="1"/>
  <c r="AG85" i="82" s="1"/>
  <c r="AG140" i="82" s="1" a="1"/>
  <c r="AG140" i="82" s="1"/>
  <c r="Y76" i="82" a="1"/>
  <c r="Y76" i="82" s="1"/>
  <c r="Y131" i="82" s="1" a="1"/>
  <c r="Y131" i="82" s="1"/>
  <c r="Y82" i="82" a="1"/>
  <c r="Y82" i="82" s="1"/>
  <c r="Y137" i="82" s="1" a="1"/>
  <c r="Y137" i="82" s="1"/>
  <c r="X79" i="82" a="1"/>
  <c r="X79" i="82" s="1"/>
  <c r="X134" i="82" s="1" a="1"/>
  <c r="X134" i="82" s="1"/>
  <c r="Z78" i="82" a="1"/>
  <c r="Z78" i="82" s="1"/>
  <c r="Z133" i="82" s="1" a="1"/>
  <c r="Z133" i="82" s="1"/>
  <c r="AD84" i="82" a="1"/>
  <c r="AD84" i="82" s="1"/>
  <c r="AD139" i="82" s="1" a="1"/>
  <c r="AD139" i="82" s="1"/>
  <c r="AG81" i="82" a="1"/>
  <c r="AG81" i="82" s="1"/>
  <c r="AG136" i="82" s="1" a="1"/>
  <c r="AG136" i="82" s="1"/>
  <c r="AE77" i="82" a="1"/>
  <c r="AE77" i="82" s="1"/>
  <c r="AE132" i="82" s="1" a="1"/>
  <c r="AE132" i="82" s="1"/>
  <c r="X44" i="82"/>
  <c r="X76" i="82" s="1" a="1"/>
  <c r="X76" i="82" s="1"/>
  <c r="X131" i="82" s="1" a="1"/>
  <c r="X131" i="82" s="1"/>
  <c r="Z83" i="82" a="1"/>
  <c r="Z83" i="82" s="1"/>
  <c r="Z138" i="82" s="1" a="1"/>
  <c r="Z138" i="82" s="1"/>
  <c r="AD86" i="82" a="1"/>
  <c r="AD86" i="82" s="1"/>
  <c r="AD141" i="82" s="1" a="1"/>
  <c r="AD141" i="82" s="1"/>
  <c r="X84" i="82" a="1"/>
  <c r="X84" i="82" s="1"/>
  <c r="X139" i="82" s="1" a="1"/>
  <c r="X139" i="82" s="1"/>
  <c r="AE78" i="82" a="1"/>
  <c r="AE78" i="82" s="1"/>
  <c r="AE133" i="82" s="1" a="1"/>
  <c r="AE133" i="82" s="1"/>
  <c r="AG77" i="82" a="1"/>
  <c r="AG77" i="82" s="1"/>
  <c r="AG132" i="82" s="1" a="1"/>
  <c r="AG132" i="82" s="1"/>
  <c r="Y79" i="82" a="1"/>
  <c r="Y79" i="82" s="1"/>
  <c r="Y134" i="82" s="1" a="1"/>
  <c r="Y134" i="82" s="1"/>
  <c r="AD80" i="82" a="1"/>
  <c r="AD80" i="82" s="1"/>
  <c r="AD135" i="82" s="1" a="1"/>
  <c r="AD135" i="82" s="1"/>
  <c r="X81" i="82" a="1"/>
  <c r="X81" i="82" s="1"/>
  <c r="X136" i="82" s="1" a="1"/>
  <c r="X136" i="82" s="1"/>
  <c r="AD82" i="82" a="1"/>
  <c r="AD82" i="82" s="1"/>
  <c r="AD137" i="82" s="1" a="1"/>
  <c r="AD137" i="82" s="1"/>
  <c r="AG84" i="82" a="1"/>
  <c r="AG84" i="82" s="1"/>
  <c r="AG139" i="82" s="1" a="1"/>
  <c r="AG139" i="82" s="1"/>
  <c r="AD81" i="82" a="1"/>
  <c r="AD81" i="82" s="1"/>
  <c r="AD136" i="82" s="1" a="1"/>
  <c r="AD136" i="82" s="1"/>
  <c r="AD85" i="82" a="1"/>
  <c r="AD85" i="82" s="1"/>
  <c r="AD140" i="82" s="1" a="1"/>
  <c r="AD140" i="82" s="1"/>
  <c r="Y80" i="82" a="1"/>
  <c r="Y80" i="82" s="1"/>
  <c r="Y135" i="82" s="1" a="1"/>
  <c r="Y135" i="82" s="1"/>
  <c r="AE82" i="82" a="1"/>
  <c r="AE82" i="82" s="1"/>
  <c r="AE137" i="82" s="1" a="1"/>
  <c r="AE137" i="82" s="1"/>
  <c r="X77" i="82" a="1"/>
  <c r="X77" i="82" s="1"/>
  <c r="X132" i="82" s="1" a="1"/>
  <c r="X132" i="82" s="1"/>
  <c r="AG82" i="82" a="1"/>
  <c r="AG82" i="82" s="1"/>
  <c r="AG137" i="82" s="1" a="1"/>
  <c r="AG137" i="82" s="1"/>
  <c r="AD78" i="82" a="1"/>
  <c r="AD78" i="82" s="1"/>
  <c r="AD133" i="82" s="1" a="1"/>
  <c r="AD133" i="82" s="1"/>
  <c r="AG83" i="82" a="1"/>
  <c r="AG83" i="82" s="1"/>
  <c r="AG138" i="82" s="1" a="1"/>
  <c r="AG138" i="82" s="1"/>
  <c r="AE87" i="82" a="1"/>
  <c r="AE87" i="82" s="1"/>
  <c r="AE142" i="82" s="1" a="1"/>
  <c r="AE142" i="82" s="1"/>
  <c r="Z81" i="82" a="1"/>
  <c r="Z81" i="82" s="1"/>
  <c r="Z136" i="82" s="1" a="1"/>
  <c r="Z136" i="82" s="1"/>
  <c r="AG86" i="82" a="1"/>
  <c r="AG86" i="82" s="1"/>
  <c r="AG141" i="82" s="1" a="1"/>
  <c r="AG141" i="82" s="1"/>
  <c r="AE80" i="82" a="1"/>
  <c r="AE80" i="82" s="1"/>
  <c r="AE135" i="82" s="1" a="1"/>
  <c r="AE135" i="82" s="1"/>
  <c r="AF80" i="82" a="1"/>
  <c r="AF80" i="82" s="1"/>
  <c r="AF135" i="82" s="1" a="1"/>
  <c r="AF135" i="82" s="1"/>
  <c r="AE79" i="82" a="1"/>
  <c r="AE79" i="82" s="1"/>
  <c r="AE134" i="82" s="1" a="1"/>
  <c r="AE134" i="82" s="1"/>
  <c r="X80" i="82" a="1"/>
  <c r="X80" i="82" s="1"/>
  <c r="X135" i="82" s="1" a="1"/>
  <c r="X135" i="82" s="1"/>
  <c r="AF78" i="82" a="1"/>
  <c r="AF78" i="82" s="1"/>
  <c r="AF133" i="82" s="1" a="1"/>
  <c r="AF133" i="82" s="1"/>
  <c r="AG79" i="82" a="1"/>
  <c r="AG79" i="82" s="1"/>
  <c r="AG134" i="82" s="1" a="1"/>
  <c r="AG134" i="82" s="1"/>
  <c r="AG87" i="82" a="1"/>
  <c r="AG87" i="82" s="1"/>
  <c r="AG142" i="82" s="1" a="1"/>
  <c r="AG142" i="82" s="1"/>
  <c r="AD76" i="82" a="1"/>
  <c r="AD76" i="82" s="1"/>
  <c r="AD131" i="82" s="1" a="1"/>
  <c r="AD131" i="82" s="1"/>
  <c r="AF82" i="82" a="1"/>
  <c r="AF82" i="82" s="1"/>
  <c r="AF137" i="82" s="1" a="1"/>
  <c r="AF137" i="82" s="1"/>
  <c r="Y84" i="82" a="1"/>
  <c r="Y84" i="82" s="1"/>
  <c r="Y139" i="82" s="1" a="1"/>
  <c r="Y139" i="82" s="1"/>
  <c r="Z84" i="82" a="1"/>
  <c r="Z84" i="82" s="1"/>
  <c r="Z139" i="82" s="1" a="1"/>
  <c r="Z139" i="82" s="1"/>
  <c r="AE81" i="82" a="1"/>
  <c r="AE81" i="82" s="1"/>
  <c r="AE136" i="82" s="1" a="1"/>
  <c r="AE136" i="82" s="1"/>
  <c r="AD77" i="82" a="1"/>
  <c r="AD77" i="82" s="1"/>
  <c r="AD132" i="82" s="1" a="1"/>
  <c r="AD132" i="82" s="1"/>
  <c r="AG78" i="82" a="1"/>
  <c r="AG78" i="82" s="1"/>
  <c r="AG133" i="82" s="1" a="1"/>
  <c r="AG133" i="82" s="1"/>
  <c r="Y77" i="82" a="1"/>
  <c r="Y77" i="82" s="1"/>
  <c r="Y132" i="82" s="1" a="1"/>
  <c r="Y132" i="82" s="1"/>
  <c r="AF83" i="82" a="1"/>
  <c r="AF83" i="82" s="1"/>
  <c r="AF138" i="82" s="1" a="1"/>
  <c r="AF138" i="82" s="1"/>
  <c r="Z85" i="82" a="1"/>
  <c r="Z85" i="82" s="1"/>
  <c r="Z140" i="82" s="1" a="1"/>
  <c r="Z140" i="82" s="1"/>
  <c r="Y87" i="82" a="1"/>
  <c r="Y87" i="82" s="1"/>
  <c r="Y142" i="82" s="1" a="1"/>
  <c r="Y142" i="82" s="1"/>
  <c r="Y81" i="82" a="1"/>
  <c r="Y81" i="82" s="1"/>
  <c r="Y136" i="82" s="1" a="1"/>
  <c r="Y136" i="82" s="1"/>
  <c r="Z80" i="82" a="1"/>
  <c r="Z80" i="82" s="1"/>
  <c r="Z135" i="82" s="1" a="1"/>
  <c r="Z135" i="82" s="1"/>
  <c r="AE76" i="82" a="1"/>
  <c r="AE76" i="82" s="1"/>
  <c r="AE131" i="82" s="1" a="1"/>
  <c r="AE131" i="82" s="1"/>
  <c r="Z82" i="82" a="1"/>
  <c r="Z82" i="82" s="1"/>
  <c r="Z137" i="82" s="1" a="1"/>
  <c r="Z137" i="82" s="1"/>
  <c r="Y78" i="82" a="1"/>
  <c r="Y78" i="82" s="1"/>
  <c r="Y133" i="82" s="1" a="1"/>
  <c r="Y133" i="82" s="1"/>
  <c r="X86" i="82" a="1"/>
  <c r="X86" i="82" s="1"/>
  <c r="X141" i="82" s="1" a="1"/>
  <c r="X141" i="82" s="1"/>
  <c r="X78" i="82" a="1"/>
  <c r="X78" i="82" s="1"/>
  <c r="X133" i="82" s="1" a="1"/>
  <c r="X133" i="82" s="1"/>
  <c r="AF76" i="82" a="1"/>
  <c r="AF76" i="82" s="1"/>
  <c r="AF131" i="82" s="1" a="1"/>
  <c r="AF131" i="82" s="1"/>
  <c r="X83" i="82" a="1"/>
  <c r="X83" i="82" s="1"/>
  <c r="X138" i="82" s="1" a="1"/>
  <c r="X138" i="82" s="1"/>
  <c r="AA82" i="82" a="1"/>
  <c r="AA82" i="82" s="1"/>
  <c r="AA137" i="82" s="1" a="1"/>
  <c r="AA137" i="82" s="1"/>
  <c r="AB78" i="82" a="1"/>
  <c r="AB78" i="82" s="1"/>
  <c r="AB133" i="82" s="1" a="1"/>
  <c r="AB133" i="82" s="1"/>
  <c r="AC77" i="82" a="1"/>
  <c r="AC77" i="82" s="1"/>
  <c r="AC132" i="82" s="1" a="1"/>
  <c r="AC132" i="82" s="1"/>
  <c r="AA80" i="82" a="1"/>
  <c r="AA80" i="82" s="1"/>
  <c r="AA135" i="82" s="1" a="1"/>
  <c r="AA135" i="82" s="1"/>
  <c r="AA79" i="82" a="1"/>
  <c r="AA79" i="82" s="1"/>
  <c r="AA134" i="82" s="1" a="1"/>
  <c r="AA134" i="82" s="1"/>
  <c r="AB87" i="82" a="1"/>
  <c r="AB87" i="82" s="1"/>
  <c r="AB142" i="82" s="1" a="1"/>
  <c r="AB142" i="82" s="1"/>
  <c r="AA76" i="82" a="1"/>
  <c r="AA76" i="82" s="1"/>
  <c r="AA131" i="82" s="1" a="1"/>
  <c r="AA131" i="82" s="1"/>
  <c r="AC86" i="82" a="1"/>
  <c r="AC86" i="82" s="1"/>
  <c r="AC141" i="82" s="1" a="1"/>
  <c r="AC141" i="82" s="1"/>
  <c r="AA81" i="82" a="1"/>
  <c r="AA81" i="82" s="1"/>
  <c r="AA136" i="82" s="1" a="1"/>
  <c r="AA136" i="82" s="1"/>
  <c r="AA77" i="82" a="1"/>
  <c r="AA77" i="82" s="1"/>
  <c r="AA132" i="82" s="1" a="1"/>
  <c r="AA132" i="82" s="1"/>
  <c r="AA87" i="82" a="1"/>
  <c r="AA87" i="82" s="1"/>
  <c r="AA142" i="82" s="1" a="1"/>
  <c r="AA142" i="82" s="1"/>
  <c r="AC87" i="82" a="1"/>
  <c r="AC87" i="82" s="1"/>
  <c r="AC142" i="82" s="1" a="1"/>
  <c r="AC142" i="82" s="1"/>
  <c r="AB86" i="82" a="1"/>
  <c r="AB86" i="82" s="1"/>
  <c r="AB141" i="82" s="1" a="1"/>
  <c r="AB141" i="82" s="1"/>
  <c r="AA83" i="82" a="1"/>
  <c r="AA83" i="82" s="1"/>
  <c r="AA138" i="82" s="1" a="1"/>
  <c r="AA138" i="82" s="1"/>
  <c r="AB81" i="82" a="1"/>
  <c r="AB81" i="82" s="1"/>
  <c r="AB136" i="82" s="1" a="1"/>
  <c r="AB136" i="82" s="1"/>
  <c r="AA78" i="82" a="1"/>
  <c r="AA78" i="82" s="1"/>
  <c r="AA133" i="82" s="1" a="1"/>
  <c r="AA133" i="82" s="1"/>
  <c r="AC79" i="82" a="1"/>
  <c r="AC79" i="82" s="1"/>
  <c r="AC134" i="82" s="1" a="1"/>
  <c r="AC134" i="82" s="1"/>
  <c r="AB79" i="82" a="1"/>
  <c r="AB79" i="82" s="1"/>
  <c r="AB134" i="82" s="1" a="1"/>
  <c r="AB134" i="82" s="1"/>
  <c r="AC76" i="82" a="1"/>
  <c r="AC76" i="82" s="1"/>
  <c r="AC131" i="82" s="1" a="1"/>
  <c r="AC131" i="82" s="1"/>
  <c r="AC80" i="82" a="1"/>
  <c r="AC80" i="82" s="1"/>
  <c r="AC135" i="82" s="1" a="1"/>
  <c r="AC135" i="82" s="1"/>
  <c r="AB76" i="82" a="1"/>
  <c r="AB76" i="82" s="1"/>
  <c r="AB131" i="82" s="1" a="1"/>
  <c r="AB131" i="82" s="1"/>
  <c r="AC82" i="82" a="1"/>
  <c r="AC82" i="82" s="1"/>
  <c r="AC137" i="82" s="1" a="1"/>
  <c r="AC137" i="82" s="1"/>
  <c r="AB77" i="82" a="1"/>
  <c r="AB77" i="82" s="1"/>
  <c r="AB132" i="82" s="1" a="1"/>
  <c r="AB132" i="82" s="1"/>
  <c r="AB82" i="82" a="1"/>
  <c r="AB82" i="82" s="1"/>
  <c r="AB137" i="82" s="1" a="1"/>
  <c r="AB137" i="82" s="1"/>
  <c r="AC81" i="82" a="1"/>
  <c r="AC81" i="82" s="1"/>
  <c r="AC136" i="82" s="1" a="1"/>
  <c r="AC136" i="82" s="1"/>
  <c r="AC85" i="82" a="1"/>
  <c r="AC85" i="82" s="1"/>
  <c r="AC140" i="82" s="1" a="1"/>
  <c r="AC140" i="82" s="1"/>
  <c r="AA86" i="82" a="1"/>
  <c r="AA86" i="82" s="1"/>
  <c r="AA141" i="82" s="1" a="1"/>
  <c r="AA141" i="82" s="1"/>
  <c r="AC78" i="82" a="1"/>
  <c r="AC78" i="82" s="1"/>
  <c r="AC133" i="82" s="1" a="1"/>
  <c r="AC133" i="82" s="1"/>
  <c r="AB80" i="82" a="1"/>
  <c r="AB80" i="82" s="1"/>
  <c r="AB135" i="82" s="1" a="1"/>
  <c r="AB135" i="82" s="1"/>
  <c r="AB83" i="82" a="1"/>
  <c r="AB83" i="82" s="1"/>
  <c r="AB138" i="82" s="1" a="1"/>
  <c r="AB138" i="82" s="1"/>
  <c r="AB84" i="82" a="1"/>
  <c r="AB84" i="82" s="1"/>
  <c r="AB139" i="82" s="1" a="1"/>
  <c r="AB139" i="82" s="1"/>
  <c r="AA85" i="82" a="1"/>
  <c r="AA85" i="82" s="1"/>
  <c r="AA140" i="82" s="1" a="1"/>
  <c r="AA140" i="82" s="1"/>
  <c r="AC84" i="82" a="1"/>
  <c r="AC84" i="82" s="1"/>
  <c r="AC139" i="82" s="1" a="1"/>
  <c r="AC139" i="82" s="1"/>
  <c r="AB85" i="82" a="1"/>
  <c r="AB85" i="82" s="1"/>
  <c r="AB140" i="82" s="1" a="1"/>
  <c r="AB140" i="82" s="1"/>
  <c r="AA84" i="82" a="1"/>
  <c r="AA84" i="82" s="1"/>
  <c r="AA139" i="82" s="1" a="1"/>
  <c r="AA139" i="82" s="1"/>
  <c r="AC83" i="82" a="1"/>
  <c r="AC83" i="82" s="1"/>
  <c r="AC138" i="82" s="1" a="1"/>
  <c r="AC138" i="82" s="1"/>
  <c r="AA40" i="83" a="1"/>
  <c r="AA40" i="83" s="1"/>
  <c r="E66" i="88" a="1"/>
  <c r="E66" i="88" s="1"/>
  <c r="F136" i="91" a="1"/>
  <c r="F136" i="91" s="1"/>
  <c r="E61" i="87" a="1"/>
  <c r="E61" i="87" s="1"/>
  <c r="E80" i="87" s="1"/>
  <c r="F143" i="91" a="1"/>
  <c r="F143" i="91" s="1"/>
  <c r="E62" i="88" a="1"/>
  <c r="E62" i="88" s="1"/>
  <c r="AE43" i="83" a="1"/>
  <c r="AE43" i="83" s="1"/>
  <c r="F141" i="91" a="1"/>
  <c r="F141" i="91" s="1"/>
  <c r="V39" i="83" a="1"/>
  <c r="V39" i="83" s="1"/>
  <c r="E70" i="87" a="1"/>
  <c r="E70" i="87" s="1"/>
  <c r="H17" i="13" a="1"/>
  <c r="H17" i="13" s="1"/>
  <c r="F17" i="13"/>
  <c r="I17" i="13" s="1" a="1"/>
  <c r="I17" i="13" s="1"/>
  <c r="G82" i="87" l="1"/>
  <c r="E85" i="87" s="1" a="1"/>
  <c r="E85" i="87" s="1"/>
  <c r="E12" i="13" a="1"/>
  <c r="E12" i="13" s="1"/>
  <c r="H12" i="13" s="1" a="1"/>
  <c r="H12" i="13" s="1"/>
  <c r="AH194" i="82" a="1"/>
  <c r="AH194" i="82" s="1"/>
  <c r="AH268" i="82" s="1" a="1"/>
  <c r="AH268" i="82" s="1"/>
  <c r="AH182" i="82" a="1"/>
  <c r="AH182" i="82" s="1"/>
  <c r="AH256" i="82" s="1" a="1"/>
  <c r="AH256" i="82" s="1"/>
  <c r="AF196" i="82" a="1"/>
  <c r="AF196" i="82" s="1"/>
  <c r="AF270" i="82" s="1" a="1"/>
  <c r="AF270" i="82" s="1"/>
  <c r="AF184" i="82" a="1"/>
  <c r="AF184" i="82" s="1"/>
  <c r="AF258" i="82" s="1" a="1"/>
  <c r="AF258" i="82" s="1"/>
  <c r="AA200" i="82" a="1"/>
  <c r="AA200" i="82" s="1"/>
  <c r="AA274" i="82" s="1" a="1"/>
  <c r="AA274" i="82" s="1"/>
  <c r="AA188" i="82" a="1"/>
  <c r="AA188" i="82" s="1"/>
  <c r="AA262" i="82" s="1" a="1"/>
  <c r="AA262" i="82" s="1"/>
  <c r="K179" i="82" a="1"/>
  <c r="K179" i="82" s="1"/>
  <c r="K237" i="82" s="1" a="1"/>
  <c r="K237" i="82" s="1"/>
  <c r="K183" i="82" a="1"/>
  <c r="K183" i="82" s="1"/>
  <c r="K241" i="82" s="1" a="1"/>
  <c r="K241" i="82" s="1"/>
  <c r="L180" i="82" a="1"/>
  <c r="L180" i="82" s="1"/>
  <c r="L238" i="82" s="1" a="1"/>
  <c r="L238" i="82" s="1"/>
  <c r="L184" i="82" a="1"/>
  <c r="L184" i="82" s="1"/>
  <c r="L242" i="82" s="1" a="1"/>
  <c r="L242" i="82" s="1"/>
  <c r="H183" i="82" a="1"/>
  <c r="H183" i="82" s="1"/>
  <c r="H241" i="82" s="1" a="1"/>
  <c r="H241" i="82" s="1"/>
  <c r="H179" i="82" a="1"/>
  <c r="H179" i="82" s="1"/>
  <c r="H237" i="82" s="1" a="1"/>
  <c r="H237" i="82" s="1"/>
  <c r="AE179" i="82" a="1"/>
  <c r="AE179" i="82" s="1"/>
  <c r="AE253" i="82" s="1" a="1"/>
  <c r="AE253" i="82" s="1"/>
  <c r="AE191" i="82" a="1"/>
  <c r="AE191" i="82" s="1"/>
  <c r="AE265" i="82" s="1" a="1"/>
  <c r="AE265" i="82" s="1"/>
  <c r="AD197" i="82" a="1"/>
  <c r="AD197" i="82" s="1"/>
  <c r="AD271" i="82" s="1" a="1"/>
  <c r="AD271" i="82" s="1"/>
  <c r="AD185" i="82" a="1"/>
  <c r="AD185" i="82" s="1"/>
  <c r="AD259" i="82" s="1" a="1"/>
  <c r="AD259" i="82" s="1"/>
  <c r="Y193" i="82" a="1"/>
  <c r="Y193" i="82" s="1"/>
  <c r="Y267" i="82" s="1" a="1"/>
  <c r="Y267" i="82" s="1"/>
  <c r="Y181" i="82" a="1"/>
  <c r="Y181" i="82" s="1"/>
  <c r="Y255" i="82" s="1" a="1"/>
  <c r="Y255" i="82" s="1"/>
  <c r="M181" i="82" a="1"/>
  <c r="M181" i="82" s="1"/>
  <c r="M239" i="82" s="1" a="1"/>
  <c r="M239" i="82" s="1"/>
  <c r="M177" i="82" a="1"/>
  <c r="M177" i="82" s="1"/>
  <c r="M235" i="82" s="1" a="1"/>
  <c r="M235" i="82" s="1"/>
  <c r="Y199" i="82" a="1"/>
  <c r="Y199" i="82" s="1"/>
  <c r="Y273" i="82" s="1" a="1"/>
  <c r="Y273" i="82" s="1"/>
  <c r="Y187" i="82" a="1"/>
  <c r="Y187" i="82" s="1"/>
  <c r="Y261" i="82" s="1" a="1"/>
  <c r="Y261" i="82" s="1"/>
  <c r="Y186" i="82" a="1"/>
  <c r="Y186" i="82" s="1"/>
  <c r="Y260" i="82" s="1" a="1"/>
  <c r="Y260" i="82" s="1"/>
  <c r="Y198" i="82" a="1"/>
  <c r="Y198" i="82" s="1"/>
  <c r="Y272" i="82" s="1" a="1"/>
  <c r="Y272" i="82" s="1"/>
  <c r="AC186" i="82" a="1"/>
  <c r="AC186" i="82" s="1"/>
  <c r="AC260" i="82" s="1" a="1"/>
  <c r="AC260" i="82" s="1"/>
  <c r="AC198" i="82" a="1"/>
  <c r="AC198" i="82" s="1"/>
  <c r="AC272" i="82" s="1" a="1"/>
  <c r="AC272" i="82" s="1"/>
  <c r="AG191" i="82" a="1"/>
  <c r="AG191" i="82" s="1"/>
  <c r="AG265" i="82" s="1" a="1"/>
  <c r="AG265" i="82" s="1"/>
  <c r="AG179" i="82" a="1"/>
  <c r="AG179" i="82" s="1"/>
  <c r="AG253" i="82" s="1" a="1"/>
  <c r="AG253" i="82" s="1"/>
  <c r="AD189" i="82" a="1"/>
  <c r="AD189" i="82" s="1"/>
  <c r="AD263" i="82" s="1" a="1"/>
  <c r="AD263" i="82" s="1"/>
  <c r="AD177" i="82" a="1"/>
  <c r="AD177" i="82" s="1"/>
  <c r="AD251" i="82" s="1" a="1"/>
  <c r="AD251" i="82" s="1"/>
  <c r="AB192" i="82" a="1"/>
  <c r="AB192" i="82" s="1"/>
  <c r="AB266" i="82" s="1" a="1"/>
  <c r="AB266" i="82" s="1"/>
  <c r="AB180" i="82" a="1"/>
  <c r="AB180" i="82" s="1"/>
  <c r="AB254" i="82" s="1" a="1"/>
  <c r="AB254" i="82" s="1"/>
  <c r="Z188" i="82" a="1"/>
  <c r="Z188" i="82" s="1"/>
  <c r="Z262" i="82" s="1" a="1"/>
  <c r="Z262" i="82" s="1"/>
  <c r="Z200" i="82" a="1"/>
  <c r="Z200" i="82" s="1"/>
  <c r="Z274" i="82" s="1" a="1"/>
  <c r="Z274" i="82" s="1"/>
  <c r="AE194" i="82" a="1"/>
  <c r="AE194" i="82" s="1"/>
  <c r="AE268" i="82" s="1" a="1"/>
  <c r="AE268" i="82" s="1"/>
  <c r="AE182" i="82" a="1"/>
  <c r="AE182" i="82" s="1"/>
  <c r="AE256" i="82" s="1" a="1"/>
  <c r="AE256" i="82" s="1"/>
  <c r="AE197" i="82" a="1"/>
  <c r="AE197" i="82" s="1"/>
  <c r="AE271" i="82" s="1" a="1"/>
  <c r="AE271" i="82" s="1"/>
  <c r="AE185" i="82" a="1"/>
  <c r="AE185" i="82" s="1"/>
  <c r="AE259" i="82" s="1" a="1"/>
  <c r="AE259" i="82" s="1"/>
  <c r="Z196" i="82" a="1"/>
  <c r="Z196" i="82" s="1"/>
  <c r="Z270" i="82" s="1" a="1"/>
  <c r="Z270" i="82" s="1"/>
  <c r="Z184" i="82" a="1"/>
  <c r="Z184" i="82" s="1"/>
  <c r="Z258" i="82" s="1" a="1"/>
  <c r="Z258" i="82" s="1"/>
  <c r="AA192" i="82" a="1"/>
  <c r="AA192" i="82" s="1"/>
  <c r="AA266" i="82" s="1" a="1"/>
  <c r="AA266" i="82" s="1"/>
  <c r="AA180" i="82" a="1"/>
  <c r="AA180" i="82" s="1"/>
  <c r="AA254" i="82" s="1" a="1"/>
  <c r="AA254" i="82" s="1"/>
  <c r="G52" i="89"/>
  <c r="E55" i="89" s="1" a="1"/>
  <c r="E55" i="89" s="1"/>
  <c r="E14" i="13" a="1"/>
  <c r="E14" i="13" s="1"/>
  <c r="J179" i="82" a="1"/>
  <c r="J179" i="82" s="1"/>
  <c r="J237" i="82" s="1" a="1"/>
  <c r="J237" i="82" s="1"/>
  <c r="J183" i="82" a="1"/>
  <c r="J183" i="82" s="1"/>
  <c r="J241" i="82" s="1" a="1"/>
  <c r="J241" i="82" s="1"/>
  <c r="N183" i="82" a="1"/>
  <c r="N183" i="82" s="1"/>
  <c r="N241" i="82" s="1" a="1"/>
  <c r="N241" i="82" s="1"/>
  <c r="N179" i="82" a="1"/>
  <c r="N179" i="82" s="1"/>
  <c r="N237" i="82" s="1" a="1"/>
  <c r="N237" i="82" s="1"/>
  <c r="AB198" i="82" a="1"/>
  <c r="AB198" i="82" s="1"/>
  <c r="AB272" i="82" s="1" a="1"/>
  <c r="AB272" i="82" s="1"/>
  <c r="AB186" i="82" a="1"/>
  <c r="AB186" i="82" s="1"/>
  <c r="AB260" i="82" s="1" a="1"/>
  <c r="AB260" i="82" s="1"/>
  <c r="AC192" i="82" a="1"/>
  <c r="AC192" i="82" s="1"/>
  <c r="AC266" i="82" s="1" a="1"/>
  <c r="AC266" i="82" s="1"/>
  <c r="AC180" i="82" a="1"/>
  <c r="AC180" i="82" s="1"/>
  <c r="AC254" i="82" s="1" a="1"/>
  <c r="AC254" i="82" s="1"/>
  <c r="AB193" i="82" a="1"/>
  <c r="AB193" i="82" s="1"/>
  <c r="AB267" i="82" s="1" a="1"/>
  <c r="AB267" i="82" s="1"/>
  <c r="AB181" i="82" a="1"/>
  <c r="AB181" i="82" s="1"/>
  <c r="AB255" i="82" s="1" a="1"/>
  <c r="AB255" i="82" s="1"/>
  <c r="AA198" i="82" a="1"/>
  <c r="AA198" i="82" s="1"/>
  <c r="AA272" i="82" s="1" a="1"/>
  <c r="AA272" i="82" s="1"/>
  <c r="AA186" i="82" a="1"/>
  <c r="AA186" i="82" s="1"/>
  <c r="AA260" i="82" s="1" a="1"/>
  <c r="AA260" i="82" s="1"/>
  <c r="AF192" i="82" a="1"/>
  <c r="AF192" i="82" s="1"/>
  <c r="AF266" i="82" s="1" a="1"/>
  <c r="AF266" i="82" s="1"/>
  <c r="AF180" i="82" a="1"/>
  <c r="AF180" i="82" s="1"/>
  <c r="AF254" i="82" s="1" a="1"/>
  <c r="AF254" i="82" s="1"/>
  <c r="AH197" i="82" a="1"/>
  <c r="AH197" i="82" s="1"/>
  <c r="AH271" i="82" s="1" a="1"/>
  <c r="AH271" i="82" s="1"/>
  <c r="AH185" i="82" a="1"/>
  <c r="AH185" i="82" s="1"/>
  <c r="AH259" i="82" s="1" a="1"/>
  <c r="AH259" i="82" s="1"/>
  <c r="AA191" i="82" a="1"/>
  <c r="AA191" i="82" s="1"/>
  <c r="AA265" i="82" s="1" a="1"/>
  <c r="AA265" i="82" s="1"/>
  <c r="AA179" i="82" a="1"/>
  <c r="AA179" i="82" s="1"/>
  <c r="AA253" i="82" s="1" a="1"/>
  <c r="AA253" i="82" s="1"/>
  <c r="AF186" i="82" a="1"/>
  <c r="AF186" i="82" s="1"/>
  <c r="AF260" i="82" s="1" a="1"/>
  <c r="AF260" i="82" s="1"/>
  <c r="AF198" i="82" a="1"/>
  <c r="AF198" i="82" s="1"/>
  <c r="AF272" i="82" s="1" a="1"/>
  <c r="AF272" i="82" s="1"/>
  <c r="AG178" i="82" a="1"/>
  <c r="AG178" i="82" s="1"/>
  <c r="AG252" i="82" s="1" a="1"/>
  <c r="AG252" i="82" s="1"/>
  <c r="AG190" i="82" a="1"/>
  <c r="AG190" i="82" s="1"/>
  <c r="AG264" i="82" s="1" a="1"/>
  <c r="AG264" i="82" s="1"/>
  <c r="H178" i="82" a="1"/>
  <c r="H178" i="82" s="1"/>
  <c r="H236" i="82" s="1" a="1"/>
  <c r="H236" i="82" s="1"/>
  <c r="H182" i="82" a="1"/>
  <c r="H182" i="82" s="1"/>
  <c r="H240" i="82" s="1" a="1"/>
  <c r="H240" i="82" s="1"/>
  <c r="F182" i="82" a="1"/>
  <c r="F182" i="82" s="1"/>
  <c r="F240" i="82" s="1" a="1"/>
  <c r="F240" i="82" s="1"/>
  <c r="F178" i="82" a="1"/>
  <c r="F178" i="82" s="1"/>
  <c r="F236" i="82" s="1" a="1"/>
  <c r="F236" i="82" s="1"/>
  <c r="N88" i="87"/>
  <c r="AE196" i="82" a="1"/>
  <c r="AE196" i="82" s="1"/>
  <c r="AE270" i="82" s="1" a="1"/>
  <c r="AE270" i="82" s="1"/>
  <c r="AE184" i="82" a="1"/>
  <c r="AE184" i="82" s="1"/>
  <c r="AE258" i="82" s="1" a="1"/>
  <c r="AE258" i="82" s="1"/>
  <c r="O182" i="82" a="1"/>
  <c r="O182" i="82" s="1"/>
  <c r="O240" i="82" s="1" a="1"/>
  <c r="O240" i="82" s="1"/>
  <c r="O178" i="82" a="1"/>
  <c r="O178" i="82" s="1"/>
  <c r="O236" i="82" s="1" a="1"/>
  <c r="O236" i="82" s="1"/>
  <c r="AD181" i="82" a="1"/>
  <c r="AD181" i="82" s="1"/>
  <c r="AD255" i="82" s="1" a="1"/>
  <c r="AD255" i="82" s="1"/>
  <c r="AD193" i="82" a="1"/>
  <c r="AD193" i="82" s="1"/>
  <c r="AD267" i="82" s="1" a="1"/>
  <c r="AD267" i="82" s="1"/>
  <c r="AC185" i="82" a="1"/>
  <c r="AC185" i="82" s="1"/>
  <c r="AC259" i="82" s="1" a="1"/>
  <c r="AC259" i="82" s="1"/>
  <c r="AC197" i="82" a="1"/>
  <c r="AC197" i="82" s="1"/>
  <c r="AC271" i="82" s="1" a="1"/>
  <c r="AC271" i="82" s="1"/>
  <c r="Y180" i="82" a="1"/>
  <c r="Y180" i="82" s="1"/>
  <c r="Y254" i="82" s="1" a="1"/>
  <c r="Y254" i="82" s="1"/>
  <c r="Y192" i="82" a="1"/>
  <c r="Y192" i="82" s="1"/>
  <c r="Y266" i="82" s="1" a="1"/>
  <c r="Y266" i="82" s="1"/>
  <c r="H184" i="82" a="1"/>
  <c r="H184" i="82" s="1"/>
  <c r="H242" i="82" s="1" a="1"/>
  <c r="H242" i="82" s="1"/>
  <c r="H180" i="82" a="1"/>
  <c r="H180" i="82" s="1"/>
  <c r="H238" i="82" s="1" a="1"/>
  <c r="H238" i="82" s="1"/>
  <c r="AB188" i="82" a="1"/>
  <c r="AB188" i="82" s="1"/>
  <c r="AB262" i="82" s="1" a="1"/>
  <c r="AB262" i="82" s="1"/>
  <c r="AB200" i="82" a="1"/>
  <c r="AB200" i="82" s="1"/>
  <c r="AB274" i="82" s="1" a="1"/>
  <c r="AB274" i="82" s="1"/>
  <c r="AG196" i="82" a="1"/>
  <c r="AG196" i="82" s="1"/>
  <c r="AG270" i="82" s="1" a="1"/>
  <c r="AG270" i="82" s="1"/>
  <c r="AG184" i="82" a="1"/>
  <c r="AG184" i="82" s="1"/>
  <c r="AG258" i="82" s="1" a="1"/>
  <c r="AG258" i="82" s="1"/>
  <c r="AE195" i="82" a="1"/>
  <c r="AE195" i="82" s="1"/>
  <c r="AE269" i="82" s="1" a="1"/>
  <c r="AE269" i="82" s="1"/>
  <c r="AE183" i="82" a="1"/>
  <c r="AE183" i="82" s="1"/>
  <c r="AE257" i="82" s="1" a="1"/>
  <c r="AE257" i="82" s="1"/>
  <c r="O179" i="82" a="1"/>
  <c r="O179" i="82" s="1"/>
  <c r="O237" i="82" s="1" a="1"/>
  <c r="O237" i="82" s="1"/>
  <c r="O183" i="82" a="1"/>
  <c r="O183" i="82" s="1"/>
  <c r="O241" i="82" s="1" a="1"/>
  <c r="O241" i="82" s="1"/>
  <c r="E146" i="91"/>
  <c r="AC191" i="82" a="1"/>
  <c r="AC191" i="82" s="1"/>
  <c r="AC265" i="82" s="1" a="1"/>
  <c r="AC265" i="82" s="1"/>
  <c r="AC179" i="82" a="1"/>
  <c r="AC179" i="82" s="1"/>
  <c r="AC253" i="82" s="1" a="1"/>
  <c r="AC253" i="82" s="1"/>
  <c r="AF193" i="82" a="1"/>
  <c r="AF193" i="82" s="1"/>
  <c r="AF267" i="82" s="1" a="1"/>
  <c r="AF267" i="82" s="1"/>
  <c r="AF181" i="82" a="1"/>
  <c r="AF181" i="82" s="1"/>
  <c r="AF255" i="82" s="1" a="1"/>
  <c r="AF255" i="82" s="1"/>
  <c r="Z195" i="82" a="1"/>
  <c r="Z195" i="82" s="1"/>
  <c r="Z269" i="82" s="1" a="1"/>
  <c r="Z269" i="82" s="1"/>
  <c r="Z183" i="82" a="1"/>
  <c r="Z183" i="82" s="1"/>
  <c r="Z257" i="82" s="1" a="1"/>
  <c r="Z257" i="82" s="1"/>
  <c r="I181" i="82" a="1"/>
  <c r="I181" i="82" s="1"/>
  <c r="I239" i="82" s="1" a="1"/>
  <c r="I239" i="82" s="1"/>
  <c r="I177" i="82" a="1"/>
  <c r="I177" i="82" s="1"/>
  <c r="I235" i="82" s="1" a="1"/>
  <c r="I235" i="82" s="1"/>
  <c r="M179" i="82" a="1"/>
  <c r="M179" i="82" s="1"/>
  <c r="M237" i="82" s="1" a="1"/>
  <c r="M237" i="82" s="1"/>
  <c r="M183" i="82" a="1"/>
  <c r="M183" i="82" s="1"/>
  <c r="M241" i="82" s="1" a="1"/>
  <c r="M241" i="82" s="1"/>
  <c r="O180" i="82" a="1"/>
  <c r="O180" i="82" s="1"/>
  <c r="O238" i="82" s="1" a="1"/>
  <c r="O238" i="82" s="1"/>
  <c r="O184" i="82" a="1"/>
  <c r="O184" i="82" s="1"/>
  <c r="O242" i="82" s="1" a="1"/>
  <c r="O242" i="82" s="1"/>
  <c r="Z197" i="82" a="1"/>
  <c r="Z197" i="82" s="1"/>
  <c r="Z271" i="82" s="1" a="1"/>
  <c r="Z271" i="82" s="1"/>
  <c r="Z185" i="82" a="1"/>
  <c r="Z185" i="82" s="1"/>
  <c r="Z259" i="82" s="1" a="1"/>
  <c r="Z259" i="82" s="1"/>
  <c r="AC200" i="82" a="1"/>
  <c r="AC200" i="82" s="1"/>
  <c r="AC274" i="82" s="1" a="1"/>
  <c r="AC274" i="82" s="1"/>
  <c r="AC188" i="82" a="1"/>
  <c r="AC188" i="82" s="1"/>
  <c r="AC262" i="82" s="1" a="1"/>
  <c r="AC262" i="82" s="1"/>
  <c r="AD192" i="82" a="1"/>
  <c r="AD192" i="82" s="1"/>
  <c r="AD266" i="82" s="1" a="1"/>
  <c r="AD266" i="82" s="1"/>
  <c r="AD180" i="82" a="1"/>
  <c r="AD180" i="82" s="1"/>
  <c r="AD254" i="82" s="1" a="1"/>
  <c r="AD254" i="82" s="1"/>
  <c r="AG181" i="82" a="1"/>
  <c r="AG181" i="82" s="1"/>
  <c r="AG255" i="82" s="1" a="1"/>
  <c r="AG255" i="82" s="1"/>
  <c r="AG193" i="82" a="1"/>
  <c r="AG193" i="82" s="1"/>
  <c r="AG267" i="82" s="1" a="1"/>
  <c r="AG267" i="82" s="1"/>
  <c r="AE188" i="82" a="1"/>
  <c r="AE188" i="82" s="1"/>
  <c r="AE262" i="82" s="1" a="1"/>
  <c r="AE262" i="82" s="1"/>
  <c r="AE200" i="82" a="1"/>
  <c r="AE200" i="82" s="1"/>
  <c r="AE274" i="82" s="1" a="1"/>
  <c r="AE274" i="82" s="1"/>
  <c r="AB179" i="82" a="1"/>
  <c r="AB179" i="82" s="1"/>
  <c r="AB253" i="82" s="1" a="1"/>
  <c r="AB253" i="82" s="1"/>
  <c r="AB191" i="82" a="1"/>
  <c r="AB191" i="82" s="1"/>
  <c r="AB265" i="82" s="1" a="1"/>
  <c r="AB265" i="82" s="1"/>
  <c r="Y194" i="82" a="1"/>
  <c r="Y194" i="82" s="1"/>
  <c r="Y268" i="82" s="1" a="1"/>
  <c r="Y268" i="82" s="1"/>
  <c r="Y182" i="82" a="1"/>
  <c r="Y182" i="82" s="1"/>
  <c r="Y256" i="82" s="1" a="1"/>
  <c r="Y256" i="82" s="1"/>
  <c r="AC193" i="82" a="1"/>
  <c r="AC193" i="82" s="1"/>
  <c r="AC267" i="82" s="1" a="1"/>
  <c r="AC267" i="82" s="1"/>
  <c r="AC181" i="82" a="1"/>
  <c r="AC181" i="82" s="1"/>
  <c r="AC255" i="82" s="1" a="1"/>
  <c r="AC255" i="82" s="1"/>
  <c r="AC182" i="82" a="1"/>
  <c r="AC182" i="82" s="1"/>
  <c r="AC256" i="82" s="1" a="1"/>
  <c r="AC256" i="82" s="1"/>
  <c r="AC194" i="82" a="1"/>
  <c r="AC194" i="82" s="1"/>
  <c r="AC268" i="82" s="1" a="1"/>
  <c r="AC268" i="82" s="1"/>
  <c r="AH191" i="82" a="1"/>
  <c r="AH191" i="82" s="1"/>
  <c r="AH265" i="82" s="1" a="1"/>
  <c r="AH265" i="82" s="1"/>
  <c r="AH179" i="82" a="1"/>
  <c r="AH179" i="82" s="1"/>
  <c r="AH253" i="82" s="1" a="1"/>
  <c r="AH253" i="82" s="1"/>
  <c r="AH199" i="82" a="1"/>
  <c r="AH199" i="82" s="1"/>
  <c r="AH273" i="82" s="1" a="1"/>
  <c r="AH273" i="82" s="1"/>
  <c r="AH187" i="82" a="1"/>
  <c r="AH187" i="82" s="1"/>
  <c r="AH261" i="82" s="1" a="1"/>
  <c r="AH261" i="82" s="1"/>
  <c r="AE181" i="82" a="1"/>
  <c r="AE181" i="82" s="1"/>
  <c r="AE255" i="82" s="1" a="1"/>
  <c r="AE255" i="82" s="1"/>
  <c r="AE193" i="82" a="1"/>
  <c r="AE193" i="82" s="1"/>
  <c r="AE267" i="82" s="1" a="1"/>
  <c r="AE267" i="82" s="1"/>
  <c r="Z177" i="82" a="1"/>
  <c r="Z177" i="82" s="1"/>
  <c r="Z251" i="82" s="1" a="1"/>
  <c r="Z251" i="82" s="1"/>
  <c r="Z189" i="82" a="1"/>
  <c r="Z189" i="82" s="1"/>
  <c r="Z263" i="82" s="1" a="1"/>
  <c r="Z263" i="82" s="1"/>
  <c r="K180" i="82" a="1"/>
  <c r="K180" i="82" s="1"/>
  <c r="K238" i="82" s="1" a="1"/>
  <c r="K238" i="82" s="1"/>
  <c r="K184" i="82" a="1"/>
  <c r="K184" i="82" s="1"/>
  <c r="K242" i="82" s="1" a="1"/>
  <c r="K242" i="82" s="1"/>
  <c r="O177" i="82" a="1"/>
  <c r="O177" i="82" s="1"/>
  <c r="O235" i="82" s="1" a="1"/>
  <c r="O235" i="82" s="1"/>
  <c r="O181" i="82" a="1"/>
  <c r="O181" i="82" s="1"/>
  <c r="O239" i="82" s="1" a="1"/>
  <c r="O239" i="82" s="1"/>
  <c r="AD179" i="82" a="1"/>
  <c r="AD179" i="82" s="1"/>
  <c r="AD253" i="82" s="1" a="1"/>
  <c r="AD253" i="82" s="1"/>
  <c r="AD191" i="82" a="1"/>
  <c r="AD191" i="82" s="1"/>
  <c r="AD265" i="82" s="1" a="1"/>
  <c r="AD265" i="82" s="1"/>
  <c r="AB184" i="82" a="1"/>
  <c r="AB184" i="82" s="1"/>
  <c r="AB258" i="82" s="1" a="1"/>
  <c r="AB258" i="82" s="1"/>
  <c r="AB196" i="82" a="1"/>
  <c r="AB196" i="82" s="1"/>
  <c r="AB270" i="82" s="1" a="1"/>
  <c r="AB270" i="82" s="1"/>
  <c r="Y184" i="82" a="1"/>
  <c r="Y184" i="82" s="1"/>
  <c r="Y258" i="82" s="1" a="1"/>
  <c r="Y258" i="82" s="1"/>
  <c r="Y196" i="82" a="1"/>
  <c r="Y196" i="82" s="1"/>
  <c r="Y270" i="82" s="1" a="1"/>
  <c r="Y270" i="82" s="1"/>
  <c r="AE178" i="82" a="1"/>
  <c r="AE178" i="82" s="1"/>
  <c r="AE252" i="82" s="1" a="1"/>
  <c r="AE252" i="82" s="1"/>
  <c r="AE190" i="82" a="1"/>
  <c r="AE190" i="82" s="1"/>
  <c r="AE264" i="82" s="1" a="1"/>
  <c r="AE264" i="82" s="1"/>
  <c r="AA182" i="82" a="1"/>
  <c r="AA182" i="82" s="1"/>
  <c r="AA256" i="82" s="1" a="1"/>
  <c r="AA256" i="82" s="1"/>
  <c r="AA194" i="82" a="1"/>
  <c r="AA194" i="82" s="1"/>
  <c r="AA268" i="82" s="1" a="1"/>
  <c r="AA268" i="82" s="1"/>
  <c r="Z180" i="82" a="1"/>
  <c r="Z180" i="82" s="1"/>
  <c r="Z254" i="82" s="1" a="1"/>
  <c r="Z254" i="82" s="1"/>
  <c r="Z192" i="82" a="1"/>
  <c r="Z192" i="82" s="1"/>
  <c r="Z266" i="82" s="1" a="1"/>
  <c r="Z266" i="82" s="1"/>
  <c r="AH186" i="82" a="1"/>
  <c r="AH186" i="82" s="1"/>
  <c r="AH260" i="82" s="1" a="1"/>
  <c r="AH260" i="82" s="1"/>
  <c r="AH198" i="82" a="1"/>
  <c r="AH198" i="82" s="1"/>
  <c r="AH272" i="82" s="1" a="1"/>
  <c r="AH272" i="82" s="1"/>
  <c r="Y195" i="82" a="1"/>
  <c r="Y195" i="82" s="1"/>
  <c r="Y269" i="82" s="1" a="1"/>
  <c r="Y269" i="82" s="1"/>
  <c r="Y183" i="82" a="1"/>
  <c r="Y183" i="82" s="1"/>
  <c r="Y257" i="82" s="1" a="1"/>
  <c r="Y257" i="82" s="1"/>
  <c r="J180" i="82" a="1"/>
  <c r="J180" i="82" s="1"/>
  <c r="J238" i="82" s="1" a="1"/>
  <c r="J238" i="82" s="1"/>
  <c r="J184" i="82" a="1"/>
  <c r="J184" i="82" s="1"/>
  <c r="J242" i="82" s="1" a="1"/>
  <c r="J242" i="82" s="1"/>
  <c r="G182" i="82" a="1"/>
  <c r="G182" i="82" s="1"/>
  <c r="G240" i="82" s="1" a="1"/>
  <c r="G240" i="82" s="1"/>
  <c r="G178" i="82" a="1"/>
  <c r="G178" i="82" s="1"/>
  <c r="G236" i="82" s="1" a="1"/>
  <c r="G236" i="82" s="1"/>
  <c r="G180" i="82" a="1"/>
  <c r="G180" i="82" s="1"/>
  <c r="G238" i="82" s="1" a="1"/>
  <c r="G238" i="82" s="1"/>
  <c r="G184" i="82" a="1"/>
  <c r="G184" i="82" s="1"/>
  <c r="G242" i="82" s="1" a="1"/>
  <c r="G242" i="82" s="1"/>
  <c r="G42" i="105"/>
  <c r="E45" i="105" s="1" a="1"/>
  <c r="E45" i="105" s="1"/>
  <c r="E18" i="13" a="1"/>
  <c r="E18" i="13" s="1"/>
  <c r="H18" i="13" s="1" a="1"/>
  <c r="H18" i="13" s="1"/>
  <c r="J178" i="82" a="1"/>
  <c r="J178" i="82" s="1"/>
  <c r="J236" i="82" s="1" a="1"/>
  <c r="J236" i="82" s="1"/>
  <c r="J182" i="82" a="1"/>
  <c r="J182" i="82" s="1"/>
  <c r="J240" i="82" s="1" a="1"/>
  <c r="J240" i="82" s="1"/>
  <c r="Z194" i="82" a="1"/>
  <c r="Z194" i="82" s="1"/>
  <c r="Z268" i="82" s="1" a="1"/>
  <c r="Z268" i="82" s="1"/>
  <c r="Z182" i="82" a="1"/>
  <c r="Z182" i="82" s="1"/>
  <c r="Z256" i="82" s="1" a="1"/>
  <c r="Z256" i="82" s="1"/>
  <c r="AD190" i="82" a="1"/>
  <c r="AD190" i="82" s="1"/>
  <c r="AD264" i="82" s="1" a="1"/>
  <c r="AD264" i="82" s="1"/>
  <c r="AD178" i="82" a="1"/>
  <c r="AD178" i="82" s="1"/>
  <c r="AD252" i="82" s="1" a="1"/>
  <c r="AD252" i="82" s="1"/>
  <c r="Z186" i="82" a="1"/>
  <c r="Z186" i="82" s="1"/>
  <c r="Z260" i="82" s="1" a="1"/>
  <c r="Z260" i="82" s="1"/>
  <c r="Z198" i="82" a="1"/>
  <c r="Z198" i="82" s="1"/>
  <c r="Z272" i="82" s="1" a="1"/>
  <c r="Z272" i="82" s="1"/>
  <c r="AG200" i="82" a="1"/>
  <c r="AG200" i="82" s="1"/>
  <c r="AG274" i="82" s="1" a="1"/>
  <c r="AG274" i="82" s="1"/>
  <c r="AG188" i="82" a="1"/>
  <c r="AG188" i="82" s="1"/>
  <c r="AG262" i="82" s="1" a="1"/>
  <c r="AG262" i="82" s="1"/>
  <c r="AB183" i="82" a="1"/>
  <c r="AB183" i="82" s="1"/>
  <c r="AB257" i="82" s="1" a="1"/>
  <c r="AB257" i="82" s="1"/>
  <c r="AB195" i="82" a="1"/>
  <c r="AB195" i="82" s="1"/>
  <c r="AB269" i="82" s="1" a="1"/>
  <c r="AB269" i="82" s="1"/>
  <c r="AF199" i="82" a="1"/>
  <c r="AF199" i="82" s="1"/>
  <c r="AF273" i="82" s="1" a="1"/>
  <c r="AF273" i="82" s="1"/>
  <c r="AF187" i="82" a="1"/>
  <c r="AF187" i="82" s="1"/>
  <c r="AF261" i="82" s="1" a="1"/>
  <c r="AF261" i="82" s="1"/>
  <c r="AB187" i="82" a="1"/>
  <c r="AB187" i="82" s="1"/>
  <c r="AB261" i="82" s="1" a="1"/>
  <c r="AB261" i="82" s="1"/>
  <c r="AB199" i="82" a="1"/>
  <c r="AB199" i="82" s="1"/>
  <c r="AB273" i="82" s="1" a="1"/>
  <c r="AB273" i="82" s="1"/>
  <c r="AG199" i="82" a="1"/>
  <c r="AG199" i="82" s="1"/>
  <c r="AG273" i="82" s="1" a="1"/>
  <c r="AG273" i="82" s="1"/>
  <c r="AG187" i="82" a="1"/>
  <c r="AG187" i="82" s="1"/>
  <c r="AG261" i="82" s="1" a="1"/>
  <c r="AG261" i="82" s="1"/>
  <c r="J181" i="82" a="1"/>
  <c r="J181" i="82" s="1"/>
  <c r="J239" i="82" s="1" a="1"/>
  <c r="J239" i="82" s="1"/>
  <c r="J177" i="82" a="1"/>
  <c r="J177" i="82" s="1"/>
  <c r="J235" i="82" s="1" a="1"/>
  <c r="J235" i="82" s="1"/>
  <c r="L178" i="82" a="1"/>
  <c r="L178" i="82" s="1"/>
  <c r="L236" i="82" s="1" a="1"/>
  <c r="L236" i="82" s="1"/>
  <c r="L182" i="82" a="1"/>
  <c r="L182" i="82" s="1"/>
  <c r="L240" i="82" s="1" a="1"/>
  <c r="L240" i="82" s="1"/>
  <c r="L183" i="82" a="1"/>
  <c r="L183" i="82" s="1"/>
  <c r="L241" i="82" s="1" a="1"/>
  <c r="L241" i="82" s="1"/>
  <c r="L179" i="82" a="1"/>
  <c r="L179" i="82" s="1"/>
  <c r="L237" i="82" s="1" a="1"/>
  <c r="L237" i="82" s="1"/>
  <c r="E78" i="88"/>
  <c r="E13" i="13" s="1" a="1"/>
  <c r="E13" i="13" s="1"/>
  <c r="V161" i="79"/>
  <c r="X163" i="79" s="1"/>
  <c r="V166" i="79" s="1" a="1"/>
  <c r="V166" i="79" s="1"/>
  <c r="Y197" i="82" a="1"/>
  <c r="Y197" i="82" s="1"/>
  <c r="Y271" i="82" s="1" a="1"/>
  <c r="Y271" i="82" s="1"/>
  <c r="Y185" i="82" a="1"/>
  <c r="Y185" i="82" s="1"/>
  <c r="Y259" i="82" s="1" a="1"/>
  <c r="Y259" i="82" s="1"/>
  <c r="AE186" i="82" a="1"/>
  <c r="AE186" i="82" s="1"/>
  <c r="AE260" i="82" s="1" a="1"/>
  <c r="AE260" i="82" s="1"/>
  <c r="AE198" i="82" a="1"/>
  <c r="AE198" i="82" s="1"/>
  <c r="AE272" i="82" s="1" a="1"/>
  <c r="AE272" i="82" s="1"/>
  <c r="AC196" i="82" a="1"/>
  <c r="AC196" i="82" s="1"/>
  <c r="AC270" i="82" s="1" a="1"/>
  <c r="AC270" i="82" s="1"/>
  <c r="AC184" i="82" a="1"/>
  <c r="AC184" i="82" s="1"/>
  <c r="AC258" i="82" s="1" a="1"/>
  <c r="AC258" i="82" s="1"/>
  <c r="Z178" i="82" a="1"/>
  <c r="Z178" i="82" s="1"/>
  <c r="Z252" i="82" s="1" a="1"/>
  <c r="Z252" i="82" s="1"/>
  <c r="Z190" i="82" a="1"/>
  <c r="Z190" i="82" s="1"/>
  <c r="Z264" i="82" s="1" a="1"/>
  <c r="Z264" i="82" s="1"/>
  <c r="AG185" i="82" a="1"/>
  <c r="AG185" i="82" s="1"/>
  <c r="AG259" i="82" s="1" a="1"/>
  <c r="AG259" i="82" s="1"/>
  <c r="AG197" i="82" a="1"/>
  <c r="AG197" i="82" s="1"/>
  <c r="AG271" i="82" s="1" a="1"/>
  <c r="AG271" i="82" s="1"/>
  <c r="AH189" i="82" a="1"/>
  <c r="AH189" i="82" s="1"/>
  <c r="AH263" i="82" s="1" a="1"/>
  <c r="AH263" i="82" s="1"/>
  <c r="AH177" i="82" a="1"/>
  <c r="AH177" i="82" s="1"/>
  <c r="AH251" i="82" s="1" a="1"/>
  <c r="AH251" i="82" s="1"/>
  <c r="L181" i="82" a="1"/>
  <c r="L181" i="82" s="1"/>
  <c r="L239" i="82" s="1" a="1"/>
  <c r="L239" i="82" s="1"/>
  <c r="L177" i="82" a="1"/>
  <c r="L177" i="82" s="1"/>
  <c r="L235" i="82" s="1" a="1"/>
  <c r="L235" i="82" s="1"/>
  <c r="Q42" i="105"/>
  <c r="O45" i="105" s="1" a="1"/>
  <c r="O45" i="105" s="1"/>
  <c r="F18" i="13" a="1"/>
  <c r="F18" i="13" s="1"/>
  <c r="I18" i="13" s="1" a="1"/>
  <c r="I18" i="13" s="1"/>
  <c r="AC187" i="82" a="1"/>
  <c r="AC187" i="82" s="1"/>
  <c r="AC261" i="82" s="1" a="1"/>
  <c r="AC261" i="82" s="1"/>
  <c r="AC199" i="82" a="1"/>
  <c r="AC199" i="82" s="1"/>
  <c r="AC273" i="82" s="1" a="1"/>
  <c r="AC273" i="82" s="1"/>
  <c r="AG177" i="82" a="1"/>
  <c r="AG177" i="82" s="1"/>
  <c r="AG251" i="82" s="1" a="1"/>
  <c r="AG251" i="82" s="1"/>
  <c r="AG189" i="82" a="1"/>
  <c r="AG189" i="82" s="1"/>
  <c r="AG263" i="82" s="1" a="1"/>
  <c r="AG263" i="82" s="1"/>
  <c r="AF194" i="82" a="1"/>
  <c r="AF194" i="82" s="1"/>
  <c r="AF268" i="82" s="1" a="1"/>
  <c r="AF268" i="82" s="1"/>
  <c r="AF182" i="82" a="1"/>
  <c r="AF182" i="82" s="1"/>
  <c r="AF256" i="82" s="1" a="1"/>
  <c r="AF256" i="82" s="1"/>
  <c r="AF200" i="82" a="1"/>
  <c r="AF200" i="82" s="1"/>
  <c r="AF274" i="82" s="1" a="1"/>
  <c r="AF274" i="82" s="1"/>
  <c r="AF188" i="82" a="1"/>
  <c r="AF188" i="82" s="1"/>
  <c r="AF262" i="82" s="1" a="1"/>
  <c r="AF262" i="82" s="1"/>
  <c r="AH178" i="82" a="1"/>
  <c r="AH178" i="82" s="1"/>
  <c r="AH252" i="82" s="1" a="1"/>
  <c r="AH252" i="82" s="1"/>
  <c r="AH190" i="82" a="1"/>
  <c r="AH190" i="82" s="1"/>
  <c r="AH264" i="82" s="1" a="1"/>
  <c r="AH264" i="82" s="1"/>
  <c r="AG192" i="82" a="1"/>
  <c r="AG192" i="82" s="1"/>
  <c r="AG266" i="82" s="1" a="1"/>
  <c r="AG266" i="82" s="1"/>
  <c r="AG180" i="82" a="1"/>
  <c r="AG180" i="82" s="1"/>
  <c r="AG254" i="82" s="1" a="1"/>
  <c r="AG254" i="82" s="1"/>
  <c r="Q50" i="106"/>
  <c r="O53" i="106" s="1" a="1"/>
  <c r="O53" i="106" s="1"/>
  <c r="F19" i="13" a="1"/>
  <c r="F19" i="13" s="1"/>
  <c r="I19" i="13" s="1" a="1"/>
  <c r="I19" i="13" s="1"/>
  <c r="AD186" i="82" a="1"/>
  <c r="AD186" i="82" s="1"/>
  <c r="AD260" i="82" s="1" a="1"/>
  <c r="AD260" i="82" s="1"/>
  <c r="AD198" i="82" a="1"/>
  <c r="AD198" i="82" s="1"/>
  <c r="AD272" i="82" s="1" a="1"/>
  <c r="AD272" i="82" s="1"/>
  <c r="AD188" i="82" a="1"/>
  <c r="AD188" i="82" s="1"/>
  <c r="AD262" i="82" s="1" a="1"/>
  <c r="AD262" i="82" s="1"/>
  <c r="AD200" i="82" a="1"/>
  <c r="AD200" i="82" s="1"/>
  <c r="AD274" i="82" s="1" a="1"/>
  <c r="AD274" i="82" s="1"/>
  <c r="Y191" i="82" a="1"/>
  <c r="Y191" i="82" s="1"/>
  <c r="Y265" i="82" s="1" a="1"/>
  <c r="Y265" i="82" s="1"/>
  <c r="Y179" i="82" a="1"/>
  <c r="Y179" i="82" s="1"/>
  <c r="Y253" i="82" s="1" a="1"/>
  <c r="Y253" i="82" s="1"/>
  <c r="AA197" i="82" a="1"/>
  <c r="AA197" i="82" s="1"/>
  <c r="AA271" i="82" s="1" a="1"/>
  <c r="AA271" i="82" s="1"/>
  <c r="AA185" i="82" a="1"/>
  <c r="AA185" i="82" s="1"/>
  <c r="AA259" i="82" s="1" a="1"/>
  <c r="AA259" i="82" s="1"/>
  <c r="AH184" i="82" a="1"/>
  <c r="AH184" i="82" s="1"/>
  <c r="AH258" i="82" s="1" a="1"/>
  <c r="AH258" i="82" s="1"/>
  <c r="AH196" i="82" a="1"/>
  <c r="AH196" i="82" s="1"/>
  <c r="AH270" i="82" s="1" a="1"/>
  <c r="AH270" i="82" s="1"/>
  <c r="AF191" i="82" a="1"/>
  <c r="AF191" i="82" s="1"/>
  <c r="AF265" i="82" s="1" a="1"/>
  <c r="AF265" i="82" s="1"/>
  <c r="AF179" i="82" a="1"/>
  <c r="AF179" i="82" s="1"/>
  <c r="AF253" i="82" s="1" a="1"/>
  <c r="AF253" i="82" s="1"/>
  <c r="AA190" i="82" a="1"/>
  <c r="AA190" i="82" s="1"/>
  <c r="AA264" i="82" s="1" a="1"/>
  <c r="AA264" i="82" s="1"/>
  <c r="AA178" i="82" a="1"/>
  <c r="AA178" i="82" s="1"/>
  <c r="AA252" i="82" s="1" a="1"/>
  <c r="AA252" i="82" s="1"/>
  <c r="AA199" i="82" a="1"/>
  <c r="AA199" i="82" s="1"/>
  <c r="AA273" i="82" s="1" a="1"/>
  <c r="AA273" i="82" s="1"/>
  <c r="AA187" i="82" a="1"/>
  <c r="AA187" i="82" s="1"/>
  <c r="AA261" i="82" s="1" a="1"/>
  <c r="AA261" i="82" s="1"/>
  <c r="I184" i="82" a="1"/>
  <c r="I184" i="82" s="1"/>
  <c r="I242" i="82" s="1" a="1"/>
  <c r="I242" i="82" s="1"/>
  <c r="I180" i="82" a="1"/>
  <c r="I180" i="82" s="1"/>
  <c r="I238" i="82" s="1" a="1"/>
  <c r="I238" i="82" s="1"/>
  <c r="N178" i="82" a="1"/>
  <c r="N178" i="82" s="1"/>
  <c r="N236" i="82" s="1" a="1"/>
  <c r="N236" i="82" s="1"/>
  <c r="N182" i="82" a="1"/>
  <c r="N182" i="82" s="1"/>
  <c r="N240" i="82" s="1" a="1"/>
  <c r="N240" i="82" s="1"/>
  <c r="N177" i="82" a="1"/>
  <c r="N177" i="82" s="1"/>
  <c r="N235" i="82" s="1" a="1"/>
  <c r="N235" i="82" s="1"/>
  <c r="N181" i="82" a="1"/>
  <c r="N181" i="82" s="1"/>
  <c r="N239" i="82" s="1" a="1"/>
  <c r="N239" i="82" s="1"/>
  <c r="E573" i="112" a="1"/>
  <c r="E573" i="112" s="1"/>
  <c r="G575" i="112" s="1"/>
  <c r="E578" i="112" s="1" a="1"/>
  <c r="E578" i="112" s="1"/>
  <c r="AD194" i="82" a="1"/>
  <c r="AD194" i="82" s="1"/>
  <c r="AD268" i="82" s="1" a="1"/>
  <c r="AD268" i="82" s="1"/>
  <c r="AD182" i="82" a="1"/>
  <c r="AD182" i="82" s="1"/>
  <c r="AD256" i="82" s="1" a="1"/>
  <c r="AD256" i="82" s="1"/>
  <c r="AC195" i="82" a="1"/>
  <c r="AC195" i="82" s="1"/>
  <c r="AC269" i="82" s="1" a="1"/>
  <c r="AC269" i="82" s="1"/>
  <c r="AC183" i="82" a="1"/>
  <c r="AC183" i="82" s="1"/>
  <c r="AC257" i="82" s="1" a="1"/>
  <c r="AC257" i="82" s="1"/>
  <c r="AB190" i="82" a="1"/>
  <c r="AB190" i="82" s="1"/>
  <c r="AB264" i="82" s="1" a="1"/>
  <c r="AB264" i="82" s="1"/>
  <c r="AB178" i="82" a="1"/>
  <c r="AB178" i="82" s="1"/>
  <c r="AB252" i="82" s="1" a="1"/>
  <c r="AB252" i="82" s="1"/>
  <c r="Z179" i="82" a="1"/>
  <c r="Z179" i="82" s="1"/>
  <c r="Z253" i="82" s="1" a="1"/>
  <c r="Z253" i="82" s="1"/>
  <c r="Z191" i="82" a="1"/>
  <c r="Z191" i="82" s="1"/>
  <c r="Z265" i="82" s="1" a="1"/>
  <c r="Z265" i="82" s="1"/>
  <c r="AG183" i="82" a="1"/>
  <c r="AG183" i="82" s="1"/>
  <c r="AG257" i="82" s="1" a="1"/>
  <c r="AG257" i="82" s="1"/>
  <c r="AG195" i="82" a="1"/>
  <c r="AG195" i="82" s="1"/>
  <c r="AG269" i="82" s="1" a="1"/>
  <c r="AG269" i="82" s="1"/>
  <c r="AH183" i="82" a="1"/>
  <c r="AH183" i="82" s="1"/>
  <c r="AH257" i="82" s="1" a="1"/>
  <c r="AH257" i="82" s="1"/>
  <c r="AH195" i="82" a="1"/>
  <c r="AH195" i="82" s="1"/>
  <c r="AH269" i="82" s="1" a="1"/>
  <c r="AH269" i="82" s="1"/>
  <c r="AE199" i="82" a="1"/>
  <c r="AE199" i="82" s="1"/>
  <c r="AE273" i="82" s="1" a="1"/>
  <c r="AE273" i="82" s="1"/>
  <c r="AE187" i="82" a="1"/>
  <c r="AE187" i="82" s="1"/>
  <c r="AE261" i="82" s="1" a="1"/>
  <c r="AE261" i="82" s="1"/>
  <c r="AE192" i="82" a="1"/>
  <c r="AE192" i="82" s="1"/>
  <c r="AE266" i="82" s="1" a="1"/>
  <c r="AE266" i="82" s="1"/>
  <c r="AE180" i="82" a="1"/>
  <c r="AE180" i="82" s="1"/>
  <c r="AE254" i="82" s="1" a="1"/>
  <c r="AE254" i="82" s="1"/>
  <c r="AF185" i="82" a="1"/>
  <c r="AF185" i="82" s="1"/>
  <c r="AF259" i="82" s="1" a="1"/>
  <c r="AF259" i="82" s="1"/>
  <c r="AF197" i="82" a="1"/>
  <c r="AF197" i="82" s="1"/>
  <c r="AF271" i="82" s="1" a="1"/>
  <c r="AF271" i="82" s="1"/>
  <c r="K177" i="82" a="1"/>
  <c r="K177" i="82" s="1"/>
  <c r="K235" i="82" s="1" a="1"/>
  <c r="K235" i="82" s="1"/>
  <c r="K181" i="82" a="1"/>
  <c r="K181" i="82" s="1"/>
  <c r="K239" i="82" s="1" a="1"/>
  <c r="K239" i="82" s="1"/>
  <c r="F179" i="82" a="1"/>
  <c r="F179" i="82" s="1"/>
  <c r="F237" i="82" s="1" a="1"/>
  <c r="F237" i="82" s="1"/>
  <c r="F183" i="82" a="1"/>
  <c r="F183" i="82" s="1"/>
  <c r="F241" i="82" s="1" a="1"/>
  <c r="F241" i="82" s="1"/>
  <c r="H177" i="82" a="1"/>
  <c r="H177" i="82" s="1"/>
  <c r="H235" i="82" s="1" a="1"/>
  <c r="H235" i="82" s="1"/>
  <c r="H181" i="82" a="1"/>
  <c r="H181" i="82" s="1"/>
  <c r="H239" i="82" s="1" a="1"/>
  <c r="H239" i="82" s="1"/>
  <c r="E128" i="79"/>
  <c r="M184" i="82" a="1"/>
  <c r="M184" i="82" s="1"/>
  <c r="M242" i="82" s="1" a="1"/>
  <c r="M242" i="82" s="1"/>
  <c r="M180" i="82" a="1"/>
  <c r="M180" i="82" s="1"/>
  <c r="M238" i="82" s="1" a="1"/>
  <c r="M238" i="82" s="1"/>
  <c r="N184" i="82" a="1"/>
  <c r="N184" i="82" s="1"/>
  <c r="N242" i="82" s="1" a="1"/>
  <c r="N242" i="82" s="1"/>
  <c r="N180" i="82" a="1"/>
  <c r="N180" i="82" s="1"/>
  <c r="N238" i="82" s="1" a="1"/>
  <c r="N238" i="82" s="1"/>
  <c r="AC178" i="82" a="1"/>
  <c r="AC178" i="82" s="1"/>
  <c r="AC252" i="82" s="1" a="1"/>
  <c r="AC252" i="82" s="1"/>
  <c r="AC190" i="82" a="1"/>
  <c r="AC190" i="82" s="1"/>
  <c r="AC264" i="82" s="1" a="1"/>
  <c r="AC264" i="82" s="1"/>
  <c r="AB194" i="82" a="1"/>
  <c r="AB194" i="82" s="1"/>
  <c r="AB268" i="82" s="1" a="1"/>
  <c r="AB268" i="82" s="1"/>
  <c r="AB182" i="82" a="1"/>
  <c r="AB182" i="82" s="1"/>
  <c r="AB256" i="82" s="1" a="1"/>
  <c r="AB256" i="82" s="1"/>
  <c r="AA195" i="82" a="1"/>
  <c r="AA195" i="82" s="1"/>
  <c r="AA269" i="82" s="1" a="1"/>
  <c r="AA269" i="82" s="1"/>
  <c r="AA183" i="82" a="1"/>
  <c r="AA183" i="82" s="1"/>
  <c r="AA257" i="82" s="1" a="1"/>
  <c r="AA257" i="82" s="1"/>
  <c r="AE177" i="82" a="1"/>
  <c r="AE177" i="82" s="1"/>
  <c r="AE251" i="82" s="1" a="1"/>
  <c r="AE251" i="82" s="1"/>
  <c r="AE189" i="82" a="1"/>
  <c r="AE189" i="82" s="1"/>
  <c r="AE263" i="82" s="1" a="1"/>
  <c r="AE263" i="82" s="1"/>
  <c r="Y190" i="82" a="1"/>
  <c r="Y190" i="82" s="1"/>
  <c r="Y264" i="82" s="1" a="1"/>
  <c r="Y264" i="82" s="1"/>
  <c r="Y178" i="82" a="1"/>
  <c r="Y178" i="82" s="1"/>
  <c r="Y252" i="82" s="1" a="1"/>
  <c r="Y252" i="82" s="1"/>
  <c r="AA184" i="82" a="1"/>
  <c r="AA184" i="82" s="1"/>
  <c r="AA258" i="82" s="1" a="1"/>
  <c r="AA258" i="82" s="1"/>
  <c r="AA196" i="82" a="1"/>
  <c r="AA196" i="82" s="1"/>
  <c r="AA270" i="82" s="1" a="1"/>
  <c r="AA270" i="82" s="1"/>
  <c r="AG194" i="82" a="1"/>
  <c r="AG194" i="82" s="1"/>
  <c r="AG268" i="82" s="1" a="1"/>
  <c r="AG268" i="82" s="1"/>
  <c r="AG182" i="82" a="1"/>
  <c r="AG182" i="82" s="1"/>
  <c r="AG256" i="82" s="1" a="1"/>
  <c r="AG256" i="82" s="1"/>
  <c r="Y200" i="82" a="1"/>
  <c r="Y200" i="82" s="1"/>
  <c r="Y274" i="82" s="1" a="1"/>
  <c r="Y274" i="82" s="1"/>
  <c r="Y188" i="82" a="1"/>
  <c r="Y188" i="82" s="1"/>
  <c r="Y262" i="82" s="1" a="1"/>
  <c r="Y262" i="82" s="1"/>
  <c r="K182" i="82" a="1"/>
  <c r="K182" i="82" s="1"/>
  <c r="K240" i="82" s="1" a="1"/>
  <c r="K240" i="82" s="1"/>
  <c r="K178" i="82" a="1"/>
  <c r="K178" i="82" s="1"/>
  <c r="K236" i="82" s="1" a="1"/>
  <c r="K236" i="82" s="1"/>
  <c r="G183" i="82" a="1"/>
  <c r="G183" i="82" s="1"/>
  <c r="G241" i="82" s="1" a="1"/>
  <c r="G241" i="82" s="1"/>
  <c r="G179" i="82" a="1"/>
  <c r="G179" i="82" s="1"/>
  <c r="G237" i="82" s="1" a="1"/>
  <c r="G237" i="82" s="1"/>
  <c r="AD196" i="82" a="1"/>
  <c r="AD196" i="82" s="1"/>
  <c r="AD270" i="82" s="1" a="1"/>
  <c r="AD270" i="82" s="1"/>
  <c r="AD184" i="82" a="1"/>
  <c r="AD184" i="82" s="1"/>
  <c r="AD258" i="82" s="1" a="1"/>
  <c r="AD258" i="82" s="1"/>
  <c r="AD195" i="82" a="1"/>
  <c r="AD195" i="82" s="1"/>
  <c r="AD269" i="82" s="1" a="1"/>
  <c r="AD269" i="82" s="1"/>
  <c r="AD183" i="82" a="1"/>
  <c r="AD183" i="82" s="1"/>
  <c r="AD257" i="82" s="1" a="1"/>
  <c r="AD257" i="82" s="1"/>
  <c r="AD199" i="82" a="1"/>
  <c r="AD199" i="82" s="1"/>
  <c r="AD273" i="82" s="1" a="1"/>
  <c r="AD273" i="82" s="1"/>
  <c r="AD187" i="82" a="1"/>
  <c r="AD187" i="82" s="1"/>
  <c r="AD261" i="82" s="1" a="1"/>
  <c r="AD261" i="82" s="1"/>
  <c r="AF189" i="82" a="1"/>
  <c r="AF189" i="82" s="1"/>
  <c r="AF263" i="82" s="1" a="1"/>
  <c r="AF263" i="82" s="1"/>
  <c r="AF177" i="82" a="1"/>
  <c r="AF177" i="82" s="1"/>
  <c r="AF251" i="82" s="1" a="1"/>
  <c r="AF251" i="82" s="1"/>
  <c r="AH188" i="82" a="1"/>
  <c r="AH188" i="82" s="1"/>
  <c r="AH262" i="82" s="1" a="1"/>
  <c r="AH262" i="82" s="1"/>
  <c r="AH200" i="82" a="1"/>
  <c r="AH200" i="82" s="1"/>
  <c r="AH274" i="82" s="1" a="1"/>
  <c r="AH274" i="82" s="1"/>
  <c r="AF183" i="82" a="1"/>
  <c r="AF183" i="82" s="1"/>
  <c r="AF257" i="82" s="1" a="1"/>
  <c r="AF257" i="82" s="1"/>
  <c r="AF195" i="82" a="1"/>
  <c r="AF195" i="82" s="1"/>
  <c r="AF269" i="82" s="1" a="1"/>
  <c r="AF269" i="82" s="1"/>
  <c r="Y189" i="82" a="1"/>
  <c r="Y189" i="82" s="1"/>
  <c r="Y263" i="82" s="1" a="1"/>
  <c r="Y263" i="82" s="1"/>
  <c r="Y177" i="82" a="1"/>
  <c r="Y177" i="82" s="1"/>
  <c r="Y251" i="82" s="1" a="1"/>
  <c r="Y251" i="82" s="1"/>
  <c r="E26" i="72"/>
  <c r="Z199" i="82" a="1"/>
  <c r="Z199" i="82" s="1"/>
  <c r="Z273" i="82" s="1" a="1"/>
  <c r="Z273" i="82" s="1"/>
  <c r="Z187" i="82" a="1"/>
  <c r="Z187" i="82" s="1"/>
  <c r="Z261" i="82" s="1" a="1"/>
  <c r="Z261" i="82" s="1"/>
  <c r="AA189" i="82" a="1"/>
  <c r="AA189" i="82" s="1"/>
  <c r="AA263" i="82" s="1" a="1"/>
  <c r="AA263" i="82" s="1"/>
  <c r="AA177" i="82" a="1"/>
  <c r="AA177" i="82" s="1"/>
  <c r="AA251" i="82" s="1" a="1"/>
  <c r="AA251" i="82" s="1"/>
  <c r="M573" i="112" a="1"/>
  <c r="M573" i="112" s="1"/>
  <c r="O575" i="112" s="1"/>
  <c r="M578" i="112" s="1" a="1"/>
  <c r="M578" i="112" s="1"/>
  <c r="I182" i="82" a="1"/>
  <c r="I182" i="82" s="1"/>
  <c r="I240" i="82" s="1" a="1"/>
  <c r="I240" i="82" s="1"/>
  <c r="I178" i="82" a="1"/>
  <c r="I178" i="82" s="1"/>
  <c r="I236" i="82" s="1" a="1"/>
  <c r="I236" i="82" s="1"/>
  <c r="G181" i="82" a="1"/>
  <c r="G181" i="82" s="1"/>
  <c r="G239" i="82" s="1" a="1"/>
  <c r="G239" i="82" s="1"/>
  <c r="G177" i="82" a="1"/>
  <c r="G177" i="82" s="1"/>
  <c r="G235" i="82" s="1" a="1"/>
  <c r="G235" i="82" s="1"/>
  <c r="F184" i="82" a="1"/>
  <c r="F184" i="82" s="1"/>
  <c r="F242" i="82" s="1" a="1"/>
  <c r="F242" i="82" s="1"/>
  <c r="F180" i="82" a="1"/>
  <c r="F180" i="82" s="1"/>
  <c r="F238" i="82" s="1" a="1"/>
  <c r="F238" i="82" s="1"/>
  <c r="AB185" i="82" a="1"/>
  <c r="AB185" i="82" s="1"/>
  <c r="AB259" i="82" s="1" a="1"/>
  <c r="AB259" i="82" s="1"/>
  <c r="AB197" i="82" a="1"/>
  <c r="AB197" i="82" s="1"/>
  <c r="AB271" i="82" s="1" a="1"/>
  <c r="AB271" i="82" s="1"/>
  <c r="AC189" i="82" a="1"/>
  <c r="AC189" i="82" s="1"/>
  <c r="AC263" i="82" s="1" a="1"/>
  <c r="AC263" i="82" s="1"/>
  <c r="AC177" i="82" a="1"/>
  <c r="AC177" i="82" s="1"/>
  <c r="AC251" i="82" s="1" a="1"/>
  <c r="AC251" i="82" s="1"/>
  <c r="AB189" i="82" a="1"/>
  <c r="AB189" i="82" s="1"/>
  <c r="AB263" i="82" s="1" a="1"/>
  <c r="AB263" i="82" s="1"/>
  <c r="AB177" i="82" a="1"/>
  <c r="AB177" i="82" s="1"/>
  <c r="AB251" i="82" s="1" a="1"/>
  <c r="AB251" i="82" s="1"/>
  <c r="AA181" i="82" a="1"/>
  <c r="AA181" i="82" s="1"/>
  <c r="AA255" i="82" s="1" a="1"/>
  <c r="AA255" i="82" s="1"/>
  <c r="AA193" i="82" a="1"/>
  <c r="AA193" i="82" s="1"/>
  <c r="AA267" i="82" s="1" a="1"/>
  <c r="AA267" i="82" s="1"/>
  <c r="AH180" i="82" a="1"/>
  <c r="AH180" i="82" s="1"/>
  <c r="AH254" i="82" s="1" a="1"/>
  <c r="AH254" i="82" s="1"/>
  <c r="AH192" i="82" a="1"/>
  <c r="AH192" i="82" s="1"/>
  <c r="AH266" i="82" s="1" a="1"/>
  <c r="AH266" i="82" s="1"/>
  <c r="Z193" i="82" a="1"/>
  <c r="Z193" i="82" s="1"/>
  <c r="Z267" i="82" s="1" a="1"/>
  <c r="Z267" i="82" s="1"/>
  <c r="Z181" i="82" a="1"/>
  <c r="Z181" i="82" s="1"/>
  <c r="Z255" i="82" s="1" a="1"/>
  <c r="Z255" i="82" s="1"/>
  <c r="AF190" i="82" a="1"/>
  <c r="AF190" i="82" s="1"/>
  <c r="AF264" i="82" s="1" a="1"/>
  <c r="AF264" i="82" s="1"/>
  <c r="AF178" i="82" a="1"/>
  <c r="AF178" i="82" s="1"/>
  <c r="AF252" i="82" s="1" a="1"/>
  <c r="AF252" i="82" s="1"/>
  <c r="AG186" i="82" a="1"/>
  <c r="AG186" i="82" s="1"/>
  <c r="AG260" i="82" s="1" a="1"/>
  <c r="AG260" i="82" s="1"/>
  <c r="AG198" i="82" a="1"/>
  <c r="AG198" i="82" s="1"/>
  <c r="AG272" i="82" s="1" a="1"/>
  <c r="AG272" i="82" s="1"/>
  <c r="AH193" i="82" a="1"/>
  <c r="AH193" i="82" s="1"/>
  <c r="AH267" i="82" s="1" a="1"/>
  <c r="AH267" i="82" s="1"/>
  <c r="AH181" i="82" a="1"/>
  <c r="AH181" i="82" s="1"/>
  <c r="AH255" i="82" s="1" a="1"/>
  <c r="AH255" i="82" s="1"/>
  <c r="I183" i="82" a="1"/>
  <c r="I183" i="82" s="1"/>
  <c r="I241" i="82" s="1" a="1"/>
  <c r="I241" i="82" s="1"/>
  <c r="I179" i="82" a="1"/>
  <c r="I179" i="82" s="1"/>
  <c r="I237" i="82" s="1" a="1"/>
  <c r="I237" i="82" s="1"/>
  <c r="F177" i="82" a="1"/>
  <c r="F177" i="82" s="1"/>
  <c r="F235" i="82" s="1" a="1"/>
  <c r="F235" i="82" s="1"/>
  <c r="F181" i="82" a="1"/>
  <c r="F181" i="82" s="1"/>
  <c r="F239" i="82" s="1" a="1"/>
  <c r="F239" i="82" s="1"/>
  <c r="E25" i="72"/>
  <c r="M182" i="82" a="1"/>
  <c r="M182" i="82" s="1"/>
  <c r="M240" i="82" s="1" a="1"/>
  <c r="M240" i="82" s="1"/>
  <c r="M178" i="82" a="1"/>
  <c r="M178" i="82" s="1"/>
  <c r="M236" i="82" s="1" a="1"/>
  <c r="M236" i="82" s="1"/>
  <c r="V63" i="83"/>
  <c r="V57" i="83"/>
  <c r="AC59" i="83"/>
  <c r="AC58" i="83"/>
  <c r="Y60" i="83"/>
  <c r="Z63" i="83"/>
  <c r="AC64" i="83"/>
  <c r="Z57" i="83"/>
  <c r="AE65" i="83"/>
  <c r="X67" i="83"/>
  <c r="Z58" i="83"/>
  <c r="Y58" i="83"/>
  <c r="AB58" i="83"/>
  <c r="AA66" i="83"/>
  <c r="AE59" i="83"/>
  <c r="Y56" i="83"/>
  <c r="Z66" i="83"/>
  <c r="AE60" i="83"/>
  <c r="AC67" i="83"/>
  <c r="W58" i="83"/>
  <c r="AB66" i="83"/>
  <c r="AA63" i="83"/>
  <c r="X66" i="83"/>
  <c r="AE63" i="83"/>
  <c r="Z65" i="83"/>
  <c r="AD66" i="83"/>
  <c r="AD64" i="83"/>
  <c r="W56" i="83"/>
  <c r="X63" i="83"/>
  <c r="AB67" i="83"/>
  <c r="AD60" i="83"/>
  <c r="V58" i="83"/>
  <c r="Y61" i="83"/>
  <c r="X62" i="83"/>
  <c r="AA56" i="83"/>
  <c r="Y67" i="83"/>
  <c r="AB64" i="83"/>
  <c r="W61" i="83"/>
  <c r="V66" i="83"/>
  <c r="AE58" i="83"/>
  <c r="X59" i="83"/>
  <c r="AE67" i="83"/>
  <c r="AA61" i="83"/>
  <c r="AC60" i="83"/>
  <c r="AB57" i="83"/>
  <c r="X58" i="83"/>
  <c r="X65" i="83"/>
  <c r="Y66" i="83"/>
  <c r="AE62" i="83"/>
  <c r="AC57" i="83"/>
  <c r="W62" i="83"/>
  <c r="AE64" i="83"/>
  <c r="AB65" i="83"/>
  <c r="V65" i="83"/>
  <c r="X61" i="83"/>
  <c r="X57" i="83"/>
  <c r="V67" i="83"/>
  <c r="AE61" i="83"/>
  <c r="AB63" i="83"/>
  <c r="W60" i="83"/>
  <c r="W64" i="83"/>
  <c r="AD56" i="83"/>
  <c r="AC62" i="83"/>
  <c r="X64" i="83"/>
  <c r="Y65" i="83"/>
  <c r="W65" i="83"/>
  <c r="AA64" i="83"/>
  <c r="AC66" i="83"/>
  <c r="V62" i="83"/>
  <c r="AD61" i="83"/>
  <c r="Z59" i="83"/>
  <c r="Z61" i="83"/>
  <c r="AA62" i="83"/>
  <c r="X56" i="83"/>
  <c r="V60" i="83"/>
  <c r="W63" i="83"/>
  <c r="AC56" i="83"/>
  <c r="H54" i="83"/>
  <c r="G54" i="83"/>
  <c r="J57" i="83"/>
  <c r="N54" i="83"/>
  <c r="I56" i="83"/>
  <c r="I55" i="83"/>
  <c r="L57" i="83"/>
  <c r="E55" i="83"/>
  <c r="E56" i="83"/>
  <c r="E57" i="83"/>
  <c r="M55" i="83"/>
  <c r="F55" i="83"/>
  <c r="H56" i="83"/>
  <c r="M54" i="83"/>
  <c r="N57" i="83"/>
  <c r="N55" i="83"/>
  <c r="L54" i="83"/>
  <c r="I54" i="83"/>
  <c r="M56" i="83"/>
  <c r="H57" i="83"/>
  <c r="F54" i="83"/>
  <c r="L55" i="83"/>
  <c r="J54" i="83"/>
  <c r="J55" i="83"/>
  <c r="G55" i="83"/>
  <c r="L56" i="83"/>
  <c r="N56" i="83"/>
  <c r="I57" i="83"/>
  <c r="F57" i="83"/>
  <c r="H55" i="83"/>
  <c r="M57" i="83"/>
  <c r="K54" i="83"/>
  <c r="K56" i="83"/>
  <c r="F56" i="83"/>
  <c r="E244" i="82" l="1"/>
  <c r="G246" i="82" s="1"/>
  <c r="E249" i="82" s="1" a="1"/>
  <c r="E249" i="82" s="1"/>
  <c r="G130" i="79"/>
  <c r="E133" i="79" s="1" a="1"/>
  <c r="E133" i="79" s="1"/>
  <c r="E7" i="13" a="1"/>
  <c r="E7" i="13" s="1"/>
  <c r="H7" i="13" s="1" a="1"/>
  <c r="H7" i="13" s="1"/>
  <c r="G148" i="91"/>
  <c r="E151" i="91" s="1" a="1"/>
  <c r="E151" i="91" s="1"/>
  <c r="E16" i="13" a="1"/>
  <c r="E16" i="13" s="1"/>
  <c r="X276" i="82"/>
  <c r="Z278" i="82" s="1"/>
  <c r="X281" i="82" s="1" a="1"/>
  <c r="X281" i="82" s="1"/>
  <c r="F14" i="13"/>
  <c r="I14" i="13" s="1" a="1"/>
  <c r="I14" i="13" s="1"/>
  <c r="H14" i="13" a="1"/>
  <c r="H14" i="13" s="1"/>
  <c r="F13" i="13"/>
  <c r="I13" i="13" s="1"/>
  <c r="H13" i="13"/>
  <c r="F12" i="13" a="1"/>
  <c r="F12" i="13" s="1"/>
  <c r="I12" i="13" s="1" a="1"/>
  <c r="I12" i="13" s="1"/>
  <c r="P90" i="87"/>
  <c r="N93" i="87" s="1" a="1"/>
  <c r="N93" i="87" s="1"/>
  <c r="F66" i="13"/>
  <c r="F68" i="13"/>
  <c r="F76" i="13" s="1"/>
  <c r="W81" i="83" a="1"/>
  <c r="W81" i="83" s="1"/>
  <c r="W145" i="83" s="1" a="1"/>
  <c r="W145" i="83" s="1"/>
  <c r="W205" i="83" s="1" a="1"/>
  <c r="W205" i="83" s="1"/>
  <c r="W257" i="83" s="1" a="1"/>
  <c r="W257" i="83" s="1"/>
  <c r="AE79" i="83" a="1"/>
  <c r="AE79" i="83" s="1"/>
  <c r="AE143" i="83" s="1" a="1"/>
  <c r="AE143" i="83" s="1"/>
  <c r="AE203" i="83" s="1" a="1"/>
  <c r="AE203" i="83" s="1"/>
  <c r="AE255" i="83" s="1" a="1"/>
  <c r="AE255" i="83" s="1"/>
  <c r="AA77" i="83" a="1"/>
  <c r="AA77" i="83" s="1"/>
  <c r="AA141" i="83" s="1" a="1"/>
  <c r="AA141" i="83" s="1"/>
  <c r="AA201" i="83" s="1" a="1"/>
  <c r="AA201" i="83" s="1"/>
  <c r="AA253" i="83" s="1" a="1"/>
  <c r="AA253" i="83" s="1"/>
  <c r="J63" i="83" a="1"/>
  <c r="J63" i="83" s="1"/>
  <c r="J128" i="83" s="1" a="1"/>
  <c r="J128" i="83" s="1"/>
  <c r="J170" i="83" s="1" a="1"/>
  <c r="J170" i="83" s="1"/>
  <c r="J208" i="83" s="1" a="1"/>
  <c r="J208" i="83" s="1"/>
  <c r="Y81" i="83" a="1"/>
  <c r="Y81" i="83" s="1"/>
  <c r="Y145" i="83" s="1" a="1"/>
  <c r="Y145" i="83" s="1"/>
  <c r="Y205" i="83" s="1" a="1"/>
  <c r="Y205" i="83" s="1"/>
  <c r="Y257" i="83" s="1" a="1"/>
  <c r="Y257" i="83" s="1"/>
  <c r="V74" i="83" a="1"/>
  <c r="V74" i="83" s="1"/>
  <c r="V138" i="83" s="1" a="1"/>
  <c r="V138" i="83" s="1"/>
  <c r="V198" i="83" s="1" a="1"/>
  <c r="V198" i="83" s="1"/>
  <c r="V250" i="83" s="1" a="1"/>
  <c r="V250" i="83" s="1"/>
  <c r="AE83" i="83" a="1"/>
  <c r="AE83" i="83" s="1"/>
  <c r="AE147" i="83" s="1" a="1"/>
  <c r="AE147" i="83" s="1"/>
  <c r="AE207" i="83" s="1" a="1"/>
  <c r="AE207" i="83" s="1"/>
  <c r="AE259" i="83" s="1" a="1"/>
  <c r="AE259" i="83" s="1"/>
  <c r="AA78" i="83" a="1"/>
  <c r="AA78" i="83" s="1"/>
  <c r="AA142" i="83" s="1" a="1"/>
  <c r="AA142" i="83" s="1"/>
  <c r="AA202" i="83" s="1" a="1"/>
  <c r="AA202" i="83" s="1"/>
  <c r="AA254" i="83" s="1" a="1"/>
  <c r="AA254" i="83" s="1"/>
  <c r="AE78" i="83" a="1"/>
  <c r="AE78" i="83" s="1"/>
  <c r="AE142" i="83" s="1" a="1"/>
  <c r="AE142" i="83" s="1"/>
  <c r="AE202" i="83" s="1" a="1"/>
  <c r="AE202" i="83" s="1"/>
  <c r="AE254" i="83" s="1" a="1"/>
  <c r="AE254" i="83" s="1"/>
  <c r="H63" i="83" a="1"/>
  <c r="H63" i="83" s="1"/>
  <c r="H128" i="83" s="1" a="1"/>
  <c r="H128" i="83" s="1"/>
  <c r="H170" i="83" s="1" a="1"/>
  <c r="H170" i="83" s="1"/>
  <c r="H208" i="83" s="1" a="1"/>
  <c r="H208" i="83" s="1"/>
  <c r="AC72" i="83" a="1"/>
  <c r="AC72" i="83" s="1"/>
  <c r="AC136" i="83" s="1" a="1"/>
  <c r="AC136" i="83" s="1"/>
  <c r="AC196" i="83" s="1" a="1"/>
  <c r="AC196" i="83" s="1"/>
  <c r="AC248" i="83" s="1" a="1"/>
  <c r="AC248" i="83" s="1"/>
  <c r="AD77" i="83" a="1"/>
  <c r="AD77" i="83" s="1"/>
  <c r="AD141" i="83" s="1" a="1"/>
  <c r="AD141" i="83" s="1"/>
  <c r="AD201" i="83" s="1" a="1"/>
  <c r="AD201" i="83" s="1"/>
  <c r="AD253" i="83" s="1" a="1"/>
  <c r="AD253" i="83" s="1"/>
  <c r="V56" i="83"/>
  <c r="AB73" i="83" a="1"/>
  <c r="AB73" i="83" s="1"/>
  <c r="AB137" i="83" s="1" a="1"/>
  <c r="AB137" i="83" s="1"/>
  <c r="AB197" i="83" s="1" a="1"/>
  <c r="AB197" i="83" s="1"/>
  <c r="AB249" i="83" s="1" a="1"/>
  <c r="AB249" i="83" s="1"/>
  <c r="F65" i="83" a="1"/>
  <c r="F65" i="83" s="1"/>
  <c r="F130" i="83" s="1" a="1"/>
  <c r="F130" i="83" s="1"/>
  <c r="F172" i="83" s="1" a="1"/>
  <c r="F172" i="83" s="1"/>
  <c r="F210" i="83" s="1" a="1"/>
  <c r="F210" i="83" s="1"/>
  <c r="I62" i="83" a="1"/>
  <c r="I62" i="83" s="1"/>
  <c r="I127" i="83" s="1" a="1"/>
  <c r="I127" i="83" s="1"/>
  <c r="I169" i="83" s="1" a="1"/>
  <c r="I169" i="83" s="1"/>
  <c r="I207" i="83" s="1" a="1"/>
  <c r="I207" i="83" s="1"/>
  <c r="I63" i="83" a="1"/>
  <c r="I63" i="83" s="1"/>
  <c r="I128" i="83" s="1" a="1"/>
  <c r="I128" i="83" s="1"/>
  <c r="I170" i="83" s="1" a="1"/>
  <c r="I170" i="83" s="1"/>
  <c r="I208" i="83" s="1" a="1"/>
  <c r="I208" i="83" s="1"/>
  <c r="I65" i="83" a="1"/>
  <c r="I65" i="83" s="1"/>
  <c r="I130" i="83" s="1" a="1"/>
  <c r="I130" i="83" s="1"/>
  <c r="I172" i="83" s="1" a="1"/>
  <c r="I172" i="83" s="1"/>
  <c r="I210" i="83" s="1" a="1"/>
  <c r="I210" i="83" s="1"/>
  <c r="L62" i="83" a="1"/>
  <c r="L62" i="83" s="1"/>
  <c r="L127" i="83" s="1" a="1"/>
  <c r="L127" i="83" s="1"/>
  <c r="L169" i="83" s="1" a="1"/>
  <c r="L169" i="83" s="1"/>
  <c r="L207" i="83" s="1" a="1"/>
  <c r="L207" i="83" s="1"/>
  <c r="I64" i="83" a="1"/>
  <c r="I64" i="83" s="1"/>
  <c r="I129" i="83" s="1" a="1"/>
  <c r="I129" i="83" s="1"/>
  <c r="I171" i="83" s="1" a="1"/>
  <c r="I171" i="83" s="1"/>
  <c r="I209" i="83" s="1" a="1"/>
  <c r="I209" i="83" s="1"/>
  <c r="AB59" i="83"/>
  <c r="AC82" i="83" a="1"/>
  <c r="AC82" i="83" s="1"/>
  <c r="AC146" i="83" s="1" a="1"/>
  <c r="AC146" i="83" s="1"/>
  <c r="AC206" i="83" s="1" a="1"/>
  <c r="AC206" i="83" s="1"/>
  <c r="AC258" i="83" s="1" a="1"/>
  <c r="AC258" i="83" s="1"/>
  <c r="X60" i="83"/>
  <c r="Z67" i="83"/>
  <c r="AC76" i="83" a="1"/>
  <c r="AC76" i="83" s="1"/>
  <c r="AC140" i="83" s="1" a="1"/>
  <c r="AC140" i="83" s="1"/>
  <c r="AC200" i="83" s="1" a="1"/>
  <c r="AC200" i="83" s="1"/>
  <c r="AC252" i="83" s="1" a="1"/>
  <c r="AC252" i="83" s="1"/>
  <c r="AA72" i="83" a="1"/>
  <c r="AA72" i="83" s="1"/>
  <c r="AA136" i="83" s="1" a="1"/>
  <c r="AA136" i="83" s="1"/>
  <c r="AA196" i="83" s="1" a="1"/>
  <c r="AA196" i="83" s="1"/>
  <c r="AA248" i="83" s="1" a="1"/>
  <c r="AA248" i="83" s="1"/>
  <c r="Z81" i="83" a="1"/>
  <c r="Z81" i="83" s="1"/>
  <c r="Z145" i="83" s="1" a="1"/>
  <c r="Z145" i="83" s="1"/>
  <c r="Z205" i="83" s="1" a="1"/>
  <c r="Z205" i="83" s="1"/>
  <c r="Z257" i="83" s="1" a="1"/>
  <c r="Z257" i="83" s="1"/>
  <c r="AE75" i="83" a="1"/>
  <c r="AE75" i="83" s="1"/>
  <c r="AE139" i="83" s="1" a="1"/>
  <c r="AE139" i="83" s="1"/>
  <c r="AE199" i="83" s="1" a="1"/>
  <c r="AE199" i="83" s="1"/>
  <c r="AE251" i="83" s="1" a="1"/>
  <c r="AE251" i="83" s="1"/>
  <c r="AC80" i="83" a="1"/>
  <c r="AC80" i="83" s="1"/>
  <c r="AC144" i="83" s="1" a="1"/>
  <c r="AC144" i="83" s="1"/>
  <c r="AC204" i="83" s="1" a="1"/>
  <c r="AC204" i="83" s="1"/>
  <c r="AC256" i="83" s="1" a="1"/>
  <c r="AC256" i="83" s="1"/>
  <c r="H64" i="83" a="1"/>
  <c r="H64" i="83" s="1"/>
  <c r="H129" i="83" s="1" a="1"/>
  <c r="H129" i="83" s="1"/>
  <c r="H171" i="83" s="1" a="1"/>
  <c r="H171" i="83" s="1"/>
  <c r="H209" i="83" s="1" a="1"/>
  <c r="H209" i="83" s="1"/>
  <c r="AB62" i="83"/>
  <c r="Y76" i="83" a="1"/>
  <c r="Y76" i="83" s="1"/>
  <c r="Y140" i="83" s="1" a="1"/>
  <c r="Y140" i="83" s="1"/>
  <c r="Y200" i="83" s="1" a="1"/>
  <c r="Y200" i="83" s="1"/>
  <c r="Y252" i="83" s="1" a="1"/>
  <c r="Y252" i="83" s="1"/>
  <c r="AB60" i="83"/>
  <c r="N64" i="83" a="1"/>
  <c r="N64" i="83" s="1"/>
  <c r="N129" i="83" s="1" a="1"/>
  <c r="N129" i="83" s="1"/>
  <c r="N171" i="83" s="1" a="1"/>
  <c r="N171" i="83" s="1"/>
  <c r="N209" i="83" s="1" a="1"/>
  <c r="N209" i="83" s="1"/>
  <c r="N63" i="83" a="1"/>
  <c r="N63" i="83" s="1"/>
  <c r="N128" i="83" s="1" a="1"/>
  <c r="N128" i="83" s="1"/>
  <c r="N170" i="83" s="1" a="1"/>
  <c r="N170" i="83" s="1"/>
  <c r="N208" i="83" s="1" a="1"/>
  <c r="N208" i="83" s="1"/>
  <c r="N62" i="83" a="1"/>
  <c r="N62" i="83" s="1"/>
  <c r="N127" i="83" s="1" a="1"/>
  <c r="N127" i="83" s="1"/>
  <c r="N169" i="83" s="1" a="1"/>
  <c r="N169" i="83" s="1"/>
  <c r="N207" i="83" s="1" a="1"/>
  <c r="N207" i="83" s="1"/>
  <c r="W57" i="83"/>
  <c r="AA80" i="83" a="1"/>
  <c r="AA80" i="83" s="1"/>
  <c r="AA144" i="83" s="1" a="1"/>
  <c r="AA144" i="83" s="1"/>
  <c r="AA204" i="83" s="1" a="1"/>
  <c r="AA204" i="83" s="1"/>
  <c r="AA256" i="83" s="1" a="1"/>
  <c r="AA256" i="83" s="1"/>
  <c r="V61" i="83"/>
  <c r="AA57" i="83"/>
  <c r="AD63" i="83"/>
  <c r="X78" i="83" a="1"/>
  <c r="X78" i="83" s="1"/>
  <c r="X142" i="83" s="1" a="1"/>
  <c r="X142" i="83" s="1"/>
  <c r="X202" i="83" s="1" a="1"/>
  <c r="X202" i="83" s="1"/>
  <c r="X254" i="83" s="1" a="1"/>
  <c r="X254" i="83" s="1"/>
  <c r="Y62" i="83"/>
  <c r="AA82" i="83" a="1"/>
  <c r="AA82" i="83" s="1"/>
  <c r="AA146" i="83" s="1" a="1"/>
  <c r="AA146" i="83" s="1"/>
  <c r="AA206" i="83" s="1" a="1"/>
  <c r="AA206" i="83" s="1"/>
  <c r="AA258" i="83" s="1" a="1"/>
  <c r="AA258" i="83" s="1"/>
  <c r="L64" i="83" a="1"/>
  <c r="L64" i="83" s="1"/>
  <c r="L129" i="83" s="1" a="1"/>
  <c r="L129" i="83" s="1"/>
  <c r="L171" i="83" s="1" a="1"/>
  <c r="L171" i="83" s="1"/>
  <c r="L209" i="83" s="1" a="1"/>
  <c r="L209" i="83" s="1"/>
  <c r="AA58" i="83"/>
  <c r="Z79" i="83" a="1"/>
  <c r="Z79" i="83" s="1"/>
  <c r="Z143" i="83" s="1" a="1"/>
  <c r="Z143" i="83" s="1"/>
  <c r="Z203" i="83" s="1" a="1"/>
  <c r="Z203" i="83" s="1"/>
  <c r="Z255" i="83" s="1" a="1"/>
  <c r="Z255" i="83" s="1"/>
  <c r="Y77" i="83" a="1"/>
  <c r="Y77" i="83" s="1"/>
  <c r="Y141" i="83" s="1" a="1"/>
  <c r="Y141" i="83" s="1"/>
  <c r="Y201" i="83" s="1" a="1"/>
  <c r="Y201" i="83" s="1"/>
  <c r="Y253" i="83" s="1" a="1"/>
  <c r="Y253" i="83" s="1"/>
  <c r="AB56" i="83"/>
  <c r="V83" i="83" a="1"/>
  <c r="V83" i="83" s="1"/>
  <c r="V147" i="83" s="1" a="1"/>
  <c r="V147" i="83" s="1"/>
  <c r="V207" i="83" s="1" a="1"/>
  <c r="V207" i="83" s="1"/>
  <c r="V259" i="83" s="1" a="1"/>
  <c r="V259" i="83" s="1"/>
  <c r="Y82" i="83" a="1"/>
  <c r="Y82" i="83" s="1"/>
  <c r="Y146" i="83" s="1" a="1"/>
  <c r="Y146" i="83" s="1"/>
  <c r="Y206" i="83" s="1" a="1"/>
  <c r="Y206" i="83" s="1"/>
  <c r="Y258" i="83" s="1" a="1"/>
  <c r="Y258" i="83" s="1"/>
  <c r="AE74" i="83" a="1"/>
  <c r="AE74" i="83" s="1"/>
  <c r="AE138" i="83" s="1" a="1"/>
  <c r="AE138" i="83" s="1"/>
  <c r="AE198" i="83" s="1" a="1"/>
  <c r="AE198" i="83" s="1"/>
  <c r="AE250" i="83" s="1" a="1"/>
  <c r="AE250" i="83" s="1"/>
  <c r="AB83" i="83" a="1"/>
  <c r="AB83" i="83" s="1"/>
  <c r="AB147" i="83" s="1" a="1"/>
  <c r="AB147" i="83" s="1"/>
  <c r="AB207" i="83" s="1" a="1"/>
  <c r="AB207" i="83" s="1"/>
  <c r="AB259" i="83" s="1" a="1"/>
  <c r="AB259" i="83" s="1"/>
  <c r="AB82" i="83" a="1"/>
  <c r="AB82" i="83" s="1"/>
  <c r="AB146" i="83" s="1" a="1"/>
  <c r="AB146" i="83" s="1"/>
  <c r="AB206" i="83" s="1" a="1"/>
  <c r="AB206" i="83" s="1"/>
  <c r="AB258" i="83" s="1" a="1"/>
  <c r="AB258" i="83" s="1"/>
  <c r="W80" i="83" a="1"/>
  <c r="W80" i="83" s="1"/>
  <c r="W144" i="83" s="1" a="1"/>
  <c r="W144" i="83" s="1"/>
  <c r="W204" i="83" s="1" a="1"/>
  <c r="W204" i="83" s="1"/>
  <c r="W256" i="83" s="1" a="1"/>
  <c r="W256" i="83" s="1"/>
  <c r="G63" i="83" a="1"/>
  <c r="G63" i="83" s="1"/>
  <c r="G128" i="83" s="1" a="1"/>
  <c r="G128" i="83" s="1"/>
  <c r="G170" i="83" s="1" a="1"/>
  <c r="G170" i="83" s="1"/>
  <c r="G208" i="83" s="1" a="1"/>
  <c r="G208" i="83" s="1"/>
  <c r="X72" i="83" a="1"/>
  <c r="X72" i="83" s="1"/>
  <c r="X136" i="83" s="1" a="1"/>
  <c r="X136" i="83" s="1"/>
  <c r="X196" i="83" s="1" a="1"/>
  <c r="X196" i="83" s="1"/>
  <c r="X248" i="83" s="1" a="1"/>
  <c r="X248" i="83" s="1"/>
  <c r="E54" i="83"/>
  <c r="AC73" i="83" a="1"/>
  <c r="AC73" i="83" s="1"/>
  <c r="AC137" i="83" s="1" a="1"/>
  <c r="AC137" i="83" s="1"/>
  <c r="AC197" i="83" s="1" a="1"/>
  <c r="AC197" i="83" s="1"/>
  <c r="AC249" i="83" s="1" a="1"/>
  <c r="AC249" i="83" s="1"/>
  <c r="X80" i="83" a="1"/>
  <c r="X80" i="83" s="1"/>
  <c r="X144" i="83" s="1" a="1"/>
  <c r="X144" i="83" s="1"/>
  <c r="X204" i="83" s="1" a="1"/>
  <c r="X204" i="83" s="1"/>
  <c r="X256" i="83" s="1" a="1"/>
  <c r="X256" i="83" s="1"/>
  <c r="L63" i="83" a="1"/>
  <c r="L63" i="83" s="1"/>
  <c r="L128" i="83" s="1" a="1"/>
  <c r="L128" i="83" s="1"/>
  <c r="L170" i="83" s="1" a="1"/>
  <c r="L170" i="83" s="1"/>
  <c r="L208" i="83" s="1" a="1"/>
  <c r="L208" i="83" s="1"/>
  <c r="H62" i="83" a="1"/>
  <c r="H62" i="83" s="1"/>
  <c r="H127" i="83" s="1" a="1"/>
  <c r="H127" i="83" s="1"/>
  <c r="H169" i="83" s="1" a="1"/>
  <c r="H169" i="83" s="1"/>
  <c r="H207" i="83" s="1" a="1"/>
  <c r="H207" i="83" s="1"/>
  <c r="Z77" i="83" a="1"/>
  <c r="Z77" i="83" s="1"/>
  <c r="Z141" i="83" s="1" a="1"/>
  <c r="Z141" i="83" s="1"/>
  <c r="Z201" i="83" s="1" a="1"/>
  <c r="Z201" i="83" s="1"/>
  <c r="Z253" i="83" s="1" a="1"/>
  <c r="Z253" i="83" s="1"/>
  <c r="F64" i="83" a="1"/>
  <c r="F64" i="83" s="1"/>
  <c r="F129" i="83" s="1" a="1"/>
  <c r="F129" i="83" s="1"/>
  <c r="F171" i="83" s="1" a="1"/>
  <c r="F171" i="83" s="1"/>
  <c r="F209" i="83" s="1" a="1"/>
  <c r="F209" i="83" s="1"/>
  <c r="F62" i="83" a="1"/>
  <c r="F62" i="83" s="1"/>
  <c r="F127" i="83" s="1" a="1"/>
  <c r="F127" i="83" s="1"/>
  <c r="F169" i="83" s="1" a="1"/>
  <c r="F169" i="83" s="1"/>
  <c r="F207" i="83" s="1" a="1"/>
  <c r="F207" i="83" s="1"/>
  <c r="E65" i="83" a="1"/>
  <c r="E65" i="83" s="1"/>
  <c r="E130" i="83" s="1" a="1"/>
  <c r="E130" i="83" s="1"/>
  <c r="E172" i="83" s="1" a="1"/>
  <c r="E172" i="83" s="1"/>
  <c r="E210" i="83" s="1" a="1"/>
  <c r="E210" i="83" s="1"/>
  <c r="AC63" i="83"/>
  <c r="AC65" i="83"/>
  <c r="AD59" i="83"/>
  <c r="X73" i="83" a="1"/>
  <c r="X73" i="83" s="1"/>
  <c r="X137" i="83" s="1" a="1"/>
  <c r="X137" i="83" s="1"/>
  <c r="X197" i="83" s="1" a="1"/>
  <c r="X197" i="83" s="1"/>
  <c r="X249" i="83" s="1" a="1"/>
  <c r="X249" i="83" s="1"/>
  <c r="X81" i="83" a="1"/>
  <c r="X81" i="83" s="1"/>
  <c r="X145" i="83" s="1" a="1"/>
  <c r="X145" i="83" s="1"/>
  <c r="X205" i="83" s="1" a="1"/>
  <c r="X205" i="83" s="1"/>
  <c r="X257" i="83" s="1" a="1"/>
  <c r="X257" i="83" s="1"/>
  <c r="Y64" i="83"/>
  <c r="Y59" i="83"/>
  <c r="W74" i="83" a="1"/>
  <c r="W74" i="83" s="1"/>
  <c r="W138" i="83" s="1" a="1"/>
  <c r="W138" i="83" s="1"/>
  <c r="W198" i="83" s="1" a="1"/>
  <c r="W198" i="83" s="1"/>
  <c r="W250" i="83" s="1" a="1"/>
  <c r="W250" i="83" s="1"/>
  <c r="X83" i="83" a="1"/>
  <c r="X83" i="83" s="1"/>
  <c r="X147" i="83" s="1" a="1"/>
  <c r="X147" i="83" s="1"/>
  <c r="X207" i="83" s="1" a="1"/>
  <c r="X207" i="83" s="1"/>
  <c r="X259" i="83" s="1" a="1"/>
  <c r="X259" i="83" s="1"/>
  <c r="AC75" i="83" a="1"/>
  <c r="AC75" i="83" s="1"/>
  <c r="AC139" i="83" s="1" a="1"/>
  <c r="AC139" i="83" s="1"/>
  <c r="AC199" i="83" s="1" a="1"/>
  <c r="AC199" i="83" s="1"/>
  <c r="AC251" i="83" s="1" a="1"/>
  <c r="AC251" i="83" s="1"/>
  <c r="W66" i="83"/>
  <c r="AB61" i="83"/>
  <c r="W76" i="83" a="1"/>
  <c r="W76" i="83" s="1"/>
  <c r="W140" i="83" s="1" a="1"/>
  <c r="W140" i="83" s="1"/>
  <c r="W200" i="83" s="1" a="1"/>
  <c r="W200" i="83" s="1"/>
  <c r="W252" i="83" s="1" a="1"/>
  <c r="W252" i="83" s="1"/>
  <c r="J65" i="83" a="1"/>
  <c r="J65" i="83" s="1"/>
  <c r="J130" i="83" s="1" a="1"/>
  <c r="J130" i="83" s="1"/>
  <c r="J172" i="83" s="1" a="1"/>
  <c r="J172" i="83" s="1"/>
  <c r="J210" i="83" s="1" a="1"/>
  <c r="J210" i="83" s="1"/>
  <c r="V64" i="83"/>
  <c r="F63" i="83" a="1"/>
  <c r="F63" i="83" s="1"/>
  <c r="F128" i="83" s="1" a="1"/>
  <c r="F128" i="83" s="1"/>
  <c r="F170" i="83" s="1" a="1"/>
  <c r="F170" i="83" s="1"/>
  <c r="F208" i="83" s="1" a="1"/>
  <c r="F208" i="83" s="1"/>
  <c r="AA79" i="83" a="1"/>
  <c r="AA79" i="83" s="1"/>
  <c r="AA143" i="83" s="1" a="1"/>
  <c r="AA143" i="83" s="1"/>
  <c r="AA203" i="83" s="1" a="1"/>
  <c r="AA203" i="83" s="1"/>
  <c r="AA255" i="83" s="1" a="1"/>
  <c r="AA255" i="83" s="1"/>
  <c r="AE77" i="83" a="1"/>
  <c r="AE77" i="83" s="1"/>
  <c r="AE141" i="83" s="1" a="1"/>
  <c r="AE141" i="83" s="1"/>
  <c r="AE201" i="83" s="1" a="1"/>
  <c r="AE201" i="83" s="1"/>
  <c r="AE253" i="83" s="1" a="1"/>
  <c r="AE253" i="83" s="1"/>
  <c r="G56" i="83"/>
  <c r="K57" i="83"/>
  <c r="K64" i="83" a="1"/>
  <c r="K64" i="83" s="1"/>
  <c r="K129" i="83" s="1" a="1"/>
  <c r="K129" i="83" s="1"/>
  <c r="K171" i="83" s="1" a="1"/>
  <c r="K171" i="83" s="1"/>
  <c r="K209" i="83" s="1" a="1"/>
  <c r="K209" i="83" s="1"/>
  <c r="H65" i="83" a="1"/>
  <c r="H65" i="83" s="1"/>
  <c r="H130" i="83" s="1" a="1"/>
  <c r="H130" i="83" s="1"/>
  <c r="H172" i="83" s="1" a="1"/>
  <c r="H172" i="83" s="1"/>
  <c r="H210" i="83" s="1" a="1"/>
  <c r="H210" i="83" s="1"/>
  <c r="Z75" i="83" a="1"/>
  <c r="Z75" i="83" s="1"/>
  <c r="Z139" i="83" s="1" a="1"/>
  <c r="Z139" i="83" s="1"/>
  <c r="Z199" i="83" s="1" a="1"/>
  <c r="Z199" i="83" s="1"/>
  <c r="Z251" i="83" s="1" a="1"/>
  <c r="Z251" i="83" s="1"/>
  <c r="X77" i="83" a="1"/>
  <c r="X77" i="83" s="1"/>
  <c r="X141" i="83" s="1" a="1"/>
  <c r="X141" i="83" s="1"/>
  <c r="X201" i="83" s="1" a="1"/>
  <c r="X201" i="83" s="1"/>
  <c r="X253" i="83" s="1" a="1"/>
  <c r="X253" i="83" s="1"/>
  <c r="X74" i="83" a="1"/>
  <c r="X74" i="83" s="1"/>
  <c r="X138" i="83" s="1" a="1"/>
  <c r="X138" i="83" s="1"/>
  <c r="X198" i="83" s="1" a="1"/>
  <c r="X198" i="83" s="1"/>
  <c r="X250" i="83" s="1" a="1"/>
  <c r="X250" i="83" s="1"/>
  <c r="V82" i="83" a="1"/>
  <c r="V82" i="83" s="1"/>
  <c r="V146" i="83" s="1" a="1"/>
  <c r="V146" i="83" s="1"/>
  <c r="V206" i="83" s="1" a="1"/>
  <c r="V206" i="83" s="1"/>
  <c r="V258" i="83" s="1" a="1"/>
  <c r="V258" i="83" s="1"/>
  <c r="X79" i="83" a="1"/>
  <c r="X79" i="83" s="1"/>
  <c r="X143" i="83" s="1" a="1"/>
  <c r="X143" i="83" s="1"/>
  <c r="X203" i="83" s="1" a="1"/>
  <c r="X203" i="83" s="1"/>
  <c r="X255" i="83" s="1" a="1"/>
  <c r="X255" i="83" s="1"/>
  <c r="W59" i="83"/>
  <c r="V76" i="83" a="1"/>
  <c r="V76" i="83" s="1"/>
  <c r="V140" i="83" s="1" a="1"/>
  <c r="V140" i="83" s="1"/>
  <c r="V200" i="83" s="1" a="1"/>
  <c r="V200" i="83" s="1"/>
  <c r="V252" i="83" s="1" a="1"/>
  <c r="V252" i="83" s="1"/>
  <c r="AA60" i="83"/>
  <c r="W78" i="83" a="1"/>
  <c r="W78" i="83" s="1"/>
  <c r="W142" i="83" s="1" a="1"/>
  <c r="W142" i="83" s="1"/>
  <c r="W202" i="83" s="1" a="1"/>
  <c r="W202" i="83" s="1"/>
  <c r="W254" i="83" s="1" a="1"/>
  <c r="W254" i="83" s="1"/>
  <c r="Y74" i="83" a="1"/>
  <c r="Y74" i="83" s="1"/>
  <c r="Y138" i="83" s="1" a="1"/>
  <c r="Y138" i="83" s="1"/>
  <c r="Y198" i="83" s="1" a="1"/>
  <c r="Y198" i="83" s="1"/>
  <c r="Y250" i="83" s="1" a="1"/>
  <c r="Y250" i="83" s="1"/>
  <c r="AB79" i="83" a="1"/>
  <c r="AB79" i="83" s="1"/>
  <c r="AB143" i="83" s="1" a="1"/>
  <c r="AB143" i="83" s="1"/>
  <c r="AB203" i="83" s="1" a="1"/>
  <c r="AB203" i="83" s="1"/>
  <c r="AB255" i="83" s="1" a="1"/>
  <c r="AB255" i="83" s="1"/>
  <c r="G62" i="83" a="1"/>
  <c r="G62" i="83" s="1"/>
  <c r="G127" i="83" s="1" a="1"/>
  <c r="G127" i="83" s="1"/>
  <c r="G169" i="83" s="1" a="1"/>
  <c r="G169" i="83" s="1"/>
  <c r="G207" i="83" s="1" a="1"/>
  <c r="G207" i="83" s="1"/>
  <c r="E64" i="83" a="1"/>
  <c r="E64" i="83" s="1"/>
  <c r="E129" i="83" s="1" a="1"/>
  <c r="E129" i="83" s="1"/>
  <c r="E171" i="83" s="1" a="1"/>
  <c r="E171" i="83" s="1"/>
  <c r="E209" i="83" s="1" a="1"/>
  <c r="E209" i="83" s="1"/>
  <c r="V59" i="83"/>
  <c r="AC78" i="83" a="1"/>
  <c r="AC78" i="83" s="1"/>
  <c r="AC142" i="83" s="1" a="1"/>
  <c r="AC142" i="83" s="1"/>
  <c r="AC202" i="83" s="1" a="1"/>
  <c r="AC202" i="83" s="1"/>
  <c r="AC254" i="83" s="1" a="1"/>
  <c r="AC254" i="83" s="1"/>
  <c r="K62" i="83" a="1"/>
  <c r="K62" i="83" s="1"/>
  <c r="K127" i="83" s="1" a="1"/>
  <c r="K127" i="83" s="1"/>
  <c r="K169" i="83" s="1" a="1"/>
  <c r="K169" i="83" s="1"/>
  <c r="K207" i="83" s="1" a="1"/>
  <c r="K207" i="83" s="1"/>
  <c r="M64" i="83" a="1"/>
  <c r="M64" i="83" s="1"/>
  <c r="M129" i="83" s="1" a="1"/>
  <c r="M129" i="83" s="1"/>
  <c r="M171" i="83" s="1" a="1"/>
  <c r="M171" i="83" s="1"/>
  <c r="M209" i="83" s="1" a="1"/>
  <c r="M209" i="83" s="1"/>
  <c r="G57" i="83"/>
  <c r="AD62" i="83"/>
  <c r="AA67" i="83"/>
  <c r="AD65" i="83"/>
  <c r="Y63" i="83"/>
  <c r="Z64" i="83"/>
  <c r="W77" i="83" a="1"/>
  <c r="W77" i="83" s="1"/>
  <c r="W141" i="83" s="1" a="1"/>
  <c r="W141" i="83" s="1"/>
  <c r="W201" i="83" s="1" a="1"/>
  <c r="W201" i="83" s="1"/>
  <c r="W253" i="83" s="1" a="1"/>
  <c r="W253" i="83" s="1"/>
  <c r="W72" i="83" a="1"/>
  <c r="W72" i="83" s="1"/>
  <c r="W136" i="83" s="1" a="1"/>
  <c r="W136" i="83" s="1"/>
  <c r="W196" i="83" s="1" a="1"/>
  <c r="W196" i="83" s="1"/>
  <c r="W248" i="83" s="1" a="1"/>
  <c r="W248" i="83" s="1"/>
  <c r="AC83" i="83" a="1"/>
  <c r="AC83" i="83" s="1"/>
  <c r="AC147" i="83" s="1" a="1"/>
  <c r="AC147" i="83" s="1"/>
  <c r="AC207" i="83" s="1" a="1"/>
  <c r="AC207" i="83" s="1"/>
  <c r="AC259" i="83" s="1" a="1"/>
  <c r="AC259" i="83" s="1"/>
  <c r="AE81" i="83" a="1"/>
  <c r="AE81" i="83" s="1"/>
  <c r="AE145" i="83" s="1" a="1"/>
  <c r="AE145" i="83" s="1"/>
  <c r="AE205" i="83" s="1" a="1"/>
  <c r="AE205" i="83" s="1"/>
  <c r="AE257" i="83" s="1" a="1"/>
  <c r="AE257" i="83" s="1"/>
  <c r="V73" i="83" a="1"/>
  <c r="V73" i="83" s="1"/>
  <c r="V137" i="83" s="1" a="1"/>
  <c r="V137" i="83" s="1"/>
  <c r="V197" i="83" s="1" a="1"/>
  <c r="V197" i="83" s="1"/>
  <c r="V249" i="83" s="1" a="1"/>
  <c r="V249" i="83" s="1"/>
  <c r="N65" i="83" a="1"/>
  <c r="N65" i="83" s="1"/>
  <c r="N130" i="83" s="1" a="1"/>
  <c r="N130" i="83" s="1"/>
  <c r="N172" i="83" s="1" a="1"/>
  <c r="N172" i="83" s="1"/>
  <c r="N210" i="83" s="1" a="1"/>
  <c r="N210" i="83" s="1"/>
  <c r="AE80" i="83" a="1"/>
  <c r="AE80" i="83" s="1"/>
  <c r="AE144" i="83" s="1" a="1"/>
  <c r="AE144" i="83" s="1"/>
  <c r="AE204" i="83" s="1" a="1"/>
  <c r="AE204" i="83" s="1"/>
  <c r="AE256" i="83" s="1" a="1"/>
  <c r="AE256" i="83" s="1"/>
  <c r="M62" i="83" a="1"/>
  <c r="M62" i="83" s="1"/>
  <c r="M127" i="83" s="1" a="1"/>
  <c r="M127" i="83" s="1"/>
  <c r="M169" i="83" s="1" a="1"/>
  <c r="M169" i="83" s="1"/>
  <c r="M207" i="83" s="1" a="1"/>
  <c r="M207" i="83" s="1"/>
  <c r="AB74" i="83" a="1"/>
  <c r="AB74" i="83" s="1"/>
  <c r="AB138" i="83" s="1" a="1"/>
  <c r="AB138" i="83" s="1"/>
  <c r="AB198" i="83" s="1" a="1"/>
  <c r="AB198" i="83" s="1"/>
  <c r="AB250" i="83" s="1" a="1"/>
  <c r="AB250" i="83" s="1"/>
  <c r="K55" i="83"/>
  <c r="AD76" i="83" a="1"/>
  <c r="AD76" i="83" s="1"/>
  <c r="AD140" i="83" s="1" a="1"/>
  <c r="AD140" i="83" s="1"/>
  <c r="AD200" i="83" s="1" a="1"/>
  <c r="AD200" i="83" s="1"/>
  <c r="AD252" i="83" s="1" a="1"/>
  <c r="AD252" i="83" s="1"/>
  <c r="M63" i="83" a="1"/>
  <c r="M63" i="83" s="1"/>
  <c r="M128" i="83" s="1" a="1"/>
  <c r="M128" i="83" s="1"/>
  <c r="M170" i="83" s="1" a="1"/>
  <c r="M170" i="83" s="1"/>
  <c r="M208" i="83" s="1" a="1"/>
  <c r="M208" i="83" s="1"/>
  <c r="Y57" i="83"/>
  <c r="Z74" i="83" a="1"/>
  <c r="Z74" i="83" s="1"/>
  <c r="Z138" i="83" s="1" a="1"/>
  <c r="Z138" i="83" s="1"/>
  <c r="Z198" i="83" s="1" a="1"/>
  <c r="Z198" i="83" s="1"/>
  <c r="Z250" i="83" s="1" a="1"/>
  <c r="Z250" i="83" s="1"/>
  <c r="AC74" i="83" a="1"/>
  <c r="AC74" i="83" s="1"/>
  <c r="AC138" i="83" s="1" a="1"/>
  <c r="AC138" i="83" s="1"/>
  <c r="AC198" i="83" s="1" a="1"/>
  <c r="AC198" i="83" s="1"/>
  <c r="AC250" i="83" s="1" a="1"/>
  <c r="AC250" i="83" s="1"/>
  <c r="M65" i="83" a="1"/>
  <c r="M65" i="83" s="1"/>
  <c r="M130" i="83" s="1" a="1"/>
  <c r="M130" i="83" s="1"/>
  <c r="M172" i="83" s="1" a="1"/>
  <c r="M172" i="83" s="1"/>
  <c r="M210" i="83" s="1" a="1"/>
  <c r="M210" i="83" s="1"/>
  <c r="E63" i="83" a="1"/>
  <c r="E63" i="83" s="1"/>
  <c r="E128" i="83" s="1" a="1"/>
  <c r="E128" i="83" s="1"/>
  <c r="E170" i="83" s="1" a="1"/>
  <c r="E170" i="83" s="1"/>
  <c r="E208" i="83" s="1" a="1"/>
  <c r="E208" i="83" s="1"/>
  <c r="AE66" i="83"/>
  <c r="Z60" i="83"/>
  <c r="AD72" i="83" a="1"/>
  <c r="AD72" i="83" s="1"/>
  <c r="AD136" i="83" s="1" a="1"/>
  <c r="AD136" i="83" s="1"/>
  <c r="AD196" i="83" s="1" a="1"/>
  <c r="AD196" i="83" s="1"/>
  <c r="AD248" i="83" s="1" a="1"/>
  <c r="AD248" i="83" s="1"/>
  <c r="AD67" i="83"/>
  <c r="AA59" i="83"/>
  <c r="AB80" i="83" a="1"/>
  <c r="AB80" i="83" s="1"/>
  <c r="AB144" i="83" s="1" a="1"/>
  <c r="AB144" i="83" s="1"/>
  <c r="AB204" i="83" s="1" a="1"/>
  <c r="AB204" i="83" s="1"/>
  <c r="AB256" i="83" s="1" a="1"/>
  <c r="AB256" i="83" s="1"/>
  <c r="AD80" i="83" a="1"/>
  <c r="AD80" i="83" s="1"/>
  <c r="AD144" i="83" s="1" a="1"/>
  <c r="AD144" i="83" s="1"/>
  <c r="AD204" i="83" s="1" a="1"/>
  <c r="AD204" i="83" s="1"/>
  <c r="AD256" i="83" s="1" a="1"/>
  <c r="AD256" i="83" s="1"/>
  <c r="AE76" i="83" a="1"/>
  <c r="AE76" i="83" s="1"/>
  <c r="AE140" i="83" s="1" a="1"/>
  <c r="AE140" i="83" s="1"/>
  <c r="AE200" i="83" s="1" a="1"/>
  <c r="AE200" i="83" s="1"/>
  <c r="AE252" i="83" s="1" a="1"/>
  <c r="AE252" i="83" s="1"/>
  <c r="AD57" i="83"/>
  <c r="J56" i="83"/>
  <c r="AC61" i="83"/>
  <c r="AE56" i="83"/>
  <c r="X82" i="83" a="1"/>
  <c r="X82" i="83" s="1"/>
  <c r="X146" i="83" s="1" a="1"/>
  <c r="X146" i="83" s="1"/>
  <c r="X206" i="83" s="1" a="1"/>
  <c r="X206" i="83" s="1"/>
  <c r="X258" i="83" s="1" a="1"/>
  <c r="X258" i="83" s="1"/>
  <c r="AE57" i="83"/>
  <c r="J62" i="83" a="1"/>
  <c r="J62" i="83" s="1"/>
  <c r="J127" i="83" s="1" a="1"/>
  <c r="J127" i="83" s="1"/>
  <c r="J169" i="83" s="1" a="1"/>
  <c r="J169" i="83" s="1"/>
  <c r="J207" i="83" s="1" a="1"/>
  <c r="J207" i="83" s="1"/>
  <c r="X75" i="83" a="1"/>
  <c r="X75" i="83" s="1"/>
  <c r="X139" i="83" s="1" a="1"/>
  <c r="X139" i="83" s="1"/>
  <c r="X199" i="83" s="1" a="1"/>
  <c r="X199" i="83" s="1"/>
  <c r="X251" i="83" s="1" a="1"/>
  <c r="X251" i="83" s="1"/>
  <c r="Y83" i="83" a="1"/>
  <c r="Y83" i="83" s="1"/>
  <c r="Y147" i="83" s="1" a="1"/>
  <c r="Y147" i="83" s="1"/>
  <c r="Y207" i="83" s="1" a="1"/>
  <c r="Y207" i="83" s="1"/>
  <c r="Y259" i="83" s="1" a="1"/>
  <c r="Y259" i="83" s="1"/>
  <c r="AD82" i="83" a="1"/>
  <c r="AD82" i="83" s="1"/>
  <c r="AD146" i="83" s="1" a="1"/>
  <c r="AD146" i="83" s="1"/>
  <c r="AD206" i="83" s="1" a="1"/>
  <c r="AD206" i="83" s="1"/>
  <c r="AD258" i="83" s="1" a="1"/>
  <c r="AD258" i="83" s="1"/>
  <c r="Z82" i="83" a="1"/>
  <c r="Z82" i="83" s="1"/>
  <c r="Z146" i="83" s="1" a="1"/>
  <c r="Z146" i="83" s="1"/>
  <c r="Z206" i="83" s="1" a="1"/>
  <c r="Z206" i="83" s="1"/>
  <c r="Z258" i="83" s="1" a="1"/>
  <c r="Z258" i="83" s="1"/>
  <c r="Z73" i="83" a="1"/>
  <c r="Z73" i="83" s="1"/>
  <c r="Z137" i="83" s="1" a="1"/>
  <c r="Z137" i="83" s="1"/>
  <c r="Z197" i="83" s="1" a="1"/>
  <c r="Z197" i="83" s="1"/>
  <c r="Z249" i="83" s="1" a="1"/>
  <c r="Z249" i="83" s="1"/>
  <c r="V79" i="83" a="1"/>
  <c r="V79" i="83" s="1"/>
  <c r="V143" i="83" s="1" a="1"/>
  <c r="V143" i="83" s="1"/>
  <c r="V203" i="83" s="1" a="1"/>
  <c r="V203" i="83" s="1"/>
  <c r="V255" i="83" s="1" a="1"/>
  <c r="V255" i="83" s="1"/>
  <c r="AD58" i="83"/>
  <c r="L65" i="83" a="1"/>
  <c r="L65" i="83" s="1"/>
  <c r="L130" i="83" s="1" a="1"/>
  <c r="L130" i="83" s="1"/>
  <c r="L172" i="83" s="1" a="1"/>
  <c r="L172" i="83" s="1"/>
  <c r="L210" i="83" s="1" a="1"/>
  <c r="L210" i="83" s="1"/>
  <c r="V81" i="83" a="1"/>
  <c r="V81" i="83" s="1"/>
  <c r="V145" i="83" s="1" a="1"/>
  <c r="V145" i="83" s="1"/>
  <c r="V205" i="83" s="1" a="1"/>
  <c r="V205" i="83" s="1"/>
  <c r="V257" i="83" s="1" a="1"/>
  <c r="V257" i="83" s="1"/>
  <c r="W79" i="83" a="1"/>
  <c r="W79" i="83" s="1"/>
  <c r="W143" i="83" s="1" a="1"/>
  <c r="W143" i="83" s="1"/>
  <c r="W203" i="83" s="1" a="1"/>
  <c r="W203" i="83" s="1"/>
  <c r="W255" i="83" s="1" a="1"/>
  <c r="W255" i="83" s="1"/>
  <c r="V78" i="83" a="1"/>
  <c r="V78" i="83" s="1"/>
  <c r="V142" i="83" s="1" a="1"/>
  <c r="V142" i="83" s="1"/>
  <c r="V202" i="83" s="1" a="1"/>
  <c r="V202" i="83" s="1"/>
  <c r="V254" i="83" s="1" a="1"/>
  <c r="V254" i="83" s="1"/>
  <c r="Z56" i="83"/>
  <c r="AB81" i="83" a="1"/>
  <c r="AB81" i="83" s="1"/>
  <c r="AB145" i="83" s="1" a="1"/>
  <c r="AB145" i="83" s="1"/>
  <c r="AB205" i="83" s="1" a="1"/>
  <c r="AB205" i="83" s="1"/>
  <c r="AB257" i="83" s="1" a="1"/>
  <c r="AB257" i="83" s="1"/>
  <c r="AA65" i="83"/>
  <c r="Z62" i="83"/>
  <c r="W67" i="83"/>
  <c r="Y72" i="83" a="1"/>
  <c r="Y72" i="83" s="1"/>
  <c r="Y136" i="83" s="1" a="1"/>
  <c r="Y136" i="83" s="1"/>
  <c r="Y196" i="83" s="1" a="1"/>
  <c r="Y196" i="83" s="1"/>
  <c r="Y248" i="83" s="1" a="1"/>
  <c r="Y248" i="83" s="1"/>
  <c r="G66" i="13" l="1"/>
  <c r="G67" i="13" s="1"/>
  <c r="G64" i="13"/>
  <c r="G65" i="13" s="1"/>
  <c r="F74" i="13"/>
  <c r="F67" i="13"/>
  <c r="F75" i="13" s="1"/>
  <c r="H16" i="13" a="1"/>
  <c r="H16" i="13" s="1"/>
  <c r="F16" i="13"/>
  <c r="I16" i="13" s="1" a="1"/>
  <c r="I16" i="13" s="1"/>
  <c r="AE72" i="83" a="1"/>
  <c r="AE72" i="83" s="1"/>
  <c r="AE136" i="83" s="1" a="1"/>
  <c r="AE136" i="83" s="1"/>
  <c r="AE196" i="83" s="1" a="1"/>
  <c r="AE196" i="83" s="1"/>
  <c r="AE248" i="83" s="1" a="1"/>
  <c r="AE248" i="83" s="1"/>
  <c r="AA75" i="83" a="1"/>
  <c r="AA75" i="83" s="1"/>
  <c r="AA139" i="83" s="1" a="1"/>
  <c r="AA139" i="83" s="1"/>
  <c r="AA199" i="83" s="1" a="1"/>
  <c r="AA199" i="83" s="1"/>
  <c r="AA251" i="83" s="1" a="1"/>
  <c r="AA251" i="83" s="1"/>
  <c r="W82" i="83" a="1"/>
  <c r="W82" i="83" s="1"/>
  <c r="W146" i="83" s="1" a="1"/>
  <c r="W146" i="83" s="1"/>
  <c r="W206" i="83" s="1" a="1"/>
  <c r="W206" i="83" s="1"/>
  <c r="W258" i="83" s="1" a="1"/>
  <c r="W258" i="83" s="1"/>
  <c r="AB72" i="83" a="1"/>
  <c r="AB72" i="83" s="1"/>
  <c r="AB136" i="83" s="1" a="1"/>
  <c r="AB136" i="83" s="1"/>
  <c r="AB196" i="83" s="1" a="1"/>
  <c r="AB196" i="83" s="1"/>
  <c r="AB248" i="83" s="1" a="1"/>
  <c r="AB248" i="83" s="1"/>
  <c r="AB75" i="83" a="1"/>
  <c r="AB75" i="83" s="1"/>
  <c r="AB139" i="83" s="1" a="1"/>
  <c r="AB139" i="83" s="1"/>
  <c r="AB199" i="83" s="1" a="1"/>
  <c r="AB199" i="83" s="1"/>
  <c r="AB251" i="83" s="1" a="1"/>
  <c r="AB251" i="83" s="1"/>
  <c r="AC77" i="83" a="1"/>
  <c r="AC77" i="83" s="1"/>
  <c r="AC141" i="83" s="1" a="1"/>
  <c r="AC141" i="83" s="1"/>
  <c r="AC201" i="83" s="1" a="1"/>
  <c r="AC201" i="83" s="1"/>
  <c r="AC253" i="83" s="1" a="1"/>
  <c r="AC253" i="83" s="1"/>
  <c r="AD83" i="83" a="1"/>
  <c r="AD83" i="83" s="1"/>
  <c r="AD147" i="83" s="1" a="1"/>
  <c r="AD147" i="83" s="1"/>
  <c r="AD207" i="83" s="1" a="1"/>
  <c r="AD207" i="83" s="1"/>
  <c r="AD259" i="83" s="1" a="1"/>
  <c r="AD259" i="83" s="1"/>
  <c r="Z80" i="83" a="1"/>
  <c r="Z80" i="83" s="1"/>
  <c r="Z144" i="83" s="1" a="1"/>
  <c r="Z144" i="83" s="1"/>
  <c r="Z204" i="83" s="1" a="1"/>
  <c r="Z204" i="83" s="1"/>
  <c r="Z256" i="83" s="1" a="1"/>
  <c r="Z256" i="83" s="1"/>
  <c r="AD75" i="83" a="1"/>
  <c r="AD75" i="83" s="1"/>
  <c r="AD139" i="83" s="1" a="1"/>
  <c r="AD139" i="83" s="1"/>
  <c r="AD199" i="83" s="1" a="1"/>
  <c r="AD199" i="83" s="1"/>
  <c r="AD251" i="83" s="1" a="1"/>
  <c r="AD251" i="83" s="1"/>
  <c r="AD79" i="83" a="1"/>
  <c r="AD79" i="83" s="1"/>
  <c r="AD143" i="83" s="1" a="1"/>
  <c r="AD143" i="83" s="1"/>
  <c r="AD203" i="83" s="1" a="1"/>
  <c r="AD203" i="83" s="1"/>
  <c r="AD255" i="83" s="1" a="1"/>
  <c r="AD255" i="83" s="1"/>
  <c r="V72" i="83" a="1"/>
  <c r="V72" i="83" s="1"/>
  <c r="V136" i="83" s="1" a="1"/>
  <c r="V136" i="83" s="1"/>
  <c r="V196" i="83" s="1" a="1"/>
  <c r="V196" i="83" s="1"/>
  <c r="V248" i="83" s="1" a="1"/>
  <c r="V248" i="83" s="1"/>
  <c r="W83" i="83" a="1"/>
  <c r="W83" i="83" s="1"/>
  <c r="W147" i="83" s="1" a="1"/>
  <c r="W147" i="83" s="1"/>
  <c r="W207" i="83" s="1" a="1"/>
  <c r="W207" i="83" s="1"/>
  <c r="W259" i="83" s="1" a="1"/>
  <c r="W259" i="83" s="1"/>
  <c r="J64" i="83" a="1"/>
  <c r="J64" i="83" s="1"/>
  <c r="J129" i="83" s="1" a="1"/>
  <c r="J129" i="83" s="1"/>
  <c r="J171" i="83" s="1" a="1"/>
  <c r="J171" i="83" s="1"/>
  <c r="J209" i="83" s="1" a="1"/>
  <c r="J209" i="83" s="1"/>
  <c r="Y79" i="83" a="1"/>
  <c r="Y79" i="83" s="1"/>
  <c r="Y143" i="83" s="1" a="1"/>
  <c r="Y143" i="83" s="1"/>
  <c r="Y203" i="83" s="1" a="1"/>
  <c r="Y203" i="83" s="1"/>
  <c r="Y255" i="83" s="1" a="1"/>
  <c r="Y255" i="83" s="1"/>
  <c r="AA73" i="83" a="1"/>
  <c r="AA73" i="83" s="1"/>
  <c r="AA137" i="83" s="1" a="1"/>
  <c r="AA137" i="83" s="1"/>
  <c r="AA197" i="83" s="1" a="1"/>
  <c r="AA197" i="83" s="1"/>
  <c r="AA249" i="83" s="1" a="1"/>
  <c r="AA249" i="83" s="1"/>
  <c r="AB76" i="83" a="1"/>
  <c r="AB76" i="83" s="1"/>
  <c r="AB140" i="83" s="1" a="1"/>
  <c r="AB140" i="83" s="1"/>
  <c r="AB200" i="83" s="1" a="1"/>
  <c r="AB200" i="83" s="1"/>
  <c r="AB252" i="83" s="1" a="1"/>
  <c r="AB252" i="83" s="1"/>
  <c r="Y73" i="83" a="1"/>
  <c r="Y73" i="83" s="1"/>
  <c r="Y137" i="83" s="1" a="1"/>
  <c r="Y137" i="83" s="1"/>
  <c r="Y197" i="83" s="1" a="1"/>
  <c r="Y197" i="83" s="1"/>
  <c r="Y249" i="83" s="1" a="1"/>
  <c r="Y249" i="83" s="1"/>
  <c r="Z78" i="83" a="1"/>
  <c r="Z78" i="83" s="1"/>
  <c r="Z142" i="83" s="1" a="1"/>
  <c r="Z142" i="83" s="1"/>
  <c r="Z202" i="83" s="1" a="1"/>
  <c r="Z202" i="83" s="1"/>
  <c r="Z254" i="83" s="1" a="1"/>
  <c r="Z254" i="83" s="1"/>
  <c r="AD73" i="83" a="1"/>
  <c r="AD73" i="83" s="1"/>
  <c r="AD137" i="83" s="1" a="1"/>
  <c r="AD137" i="83" s="1"/>
  <c r="AD197" i="83" s="1" a="1"/>
  <c r="AD197" i="83" s="1"/>
  <c r="AD249" i="83" s="1" a="1"/>
  <c r="AD249" i="83" s="1"/>
  <c r="Z76" i="83" a="1"/>
  <c r="Z76" i="83" s="1"/>
  <c r="Z140" i="83" s="1" a="1"/>
  <c r="Z140" i="83" s="1"/>
  <c r="Z200" i="83" s="1" a="1"/>
  <c r="Z200" i="83" s="1"/>
  <c r="Z252" i="83" s="1" a="1"/>
  <c r="Z252" i="83" s="1"/>
  <c r="AD81" i="83" a="1"/>
  <c r="AD81" i="83" s="1"/>
  <c r="AD145" i="83" s="1" a="1"/>
  <c r="AD145" i="83" s="1"/>
  <c r="AD205" i="83" s="1" a="1"/>
  <c r="AD205" i="83" s="1"/>
  <c r="AD257" i="83" s="1" a="1"/>
  <c r="AD257" i="83" s="1"/>
  <c r="V75" i="83" a="1"/>
  <c r="V75" i="83" s="1"/>
  <c r="V139" i="83" s="1" a="1"/>
  <c r="V139" i="83" s="1"/>
  <c r="V199" i="83" s="1" a="1"/>
  <c r="V199" i="83" s="1"/>
  <c r="V251" i="83" s="1" a="1"/>
  <c r="V251" i="83" s="1"/>
  <c r="V80" i="83" a="1"/>
  <c r="V80" i="83" s="1"/>
  <c r="V144" i="83" s="1" a="1"/>
  <c r="V144" i="83" s="1"/>
  <c r="V204" i="83" s="1" a="1"/>
  <c r="V204" i="83" s="1"/>
  <c r="V256" i="83" s="1" a="1"/>
  <c r="V256" i="83" s="1"/>
  <c r="AC79" i="83" a="1"/>
  <c r="AC79" i="83" s="1"/>
  <c r="AC143" i="83" s="1" a="1"/>
  <c r="AC143" i="83" s="1"/>
  <c r="AC203" i="83" s="1" a="1"/>
  <c r="AC203" i="83" s="1"/>
  <c r="AC255" i="83" s="1" a="1"/>
  <c r="AC255" i="83" s="1"/>
  <c r="AA74" i="83" a="1"/>
  <c r="AA74" i="83" s="1"/>
  <c r="AA138" i="83" s="1" a="1"/>
  <c r="AA138" i="83" s="1"/>
  <c r="AA198" i="83" s="1" a="1"/>
  <c r="AA198" i="83" s="1"/>
  <c r="AA250" i="83" s="1" a="1"/>
  <c r="AA250" i="83" s="1"/>
  <c r="V77" i="83" a="1"/>
  <c r="V77" i="83" s="1"/>
  <c r="V141" i="83" s="1" a="1"/>
  <c r="V141" i="83" s="1"/>
  <c r="V201" i="83" s="1" a="1"/>
  <c r="V201" i="83" s="1"/>
  <c r="V253" i="83" s="1" a="1"/>
  <c r="V253" i="83" s="1"/>
  <c r="AA76" i="83" a="1"/>
  <c r="AA76" i="83" s="1"/>
  <c r="AA140" i="83" s="1" a="1"/>
  <c r="AA140" i="83" s="1"/>
  <c r="AA200" i="83" s="1" a="1"/>
  <c r="AA200" i="83" s="1"/>
  <c r="AA252" i="83" s="1" a="1"/>
  <c r="AA252" i="83" s="1"/>
  <c r="AC81" i="83" a="1"/>
  <c r="AC81" i="83" s="1"/>
  <c r="AC145" i="83" s="1" a="1"/>
  <c r="AC145" i="83" s="1"/>
  <c r="AC205" i="83" s="1" a="1"/>
  <c r="AC205" i="83" s="1"/>
  <c r="AC257" i="83" s="1" a="1"/>
  <c r="AC257" i="83" s="1"/>
  <c r="AA81" i="83" a="1"/>
  <c r="AA81" i="83" s="1"/>
  <c r="AA145" i="83" s="1" a="1"/>
  <c r="AA145" i="83" s="1"/>
  <c r="AA205" i="83" s="1" a="1"/>
  <c r="AA205" i="83" s="1"/>
  <c r="AA257" i="83" s="1" a="1"/>
  <c r="AA257" i="83" s="1"/>
  <c r="AD74" i="83" a="1"/>
  <c r="AD74" i="83" s="1"/>
  <c r="AD138" i="83" s="1" a="1"/>
  <c r="AD138" i="83" s="1"/>
  <c r="AD198" i="83" s="1" a="1"/>
  <c r="AD198" i="83" s="1"/>
  <c r="AD250" i="83" s="1" a="1"/>
  <c r="AD250" i="83" s="1"/>
  <c r="AE82" i="83" a="1"/>
  <c r="AE82" i="83" s="1"/>
  <c r="AE146" i="83" s="1" a="1"/>
  <c r="AE146" i="83" s="1"/>
  <c r="AE206" i="83" s="1" a="1"/>
  <c r="AE206" i="83" s="1"/>
  <c r="AE258" i="83" s="1" a="1"/>
  <c r="AE258" i="83" s="1"/>
  <c r="AA83" i="83" a="1"/>
  <c r="AA83" i="83" s="1"/>
  <c r="AA147" i="83" s="1" a="1"/>
  <c r="AA147" i="83" s="1"/>
  <c r="AA207" i="83" s="1" a="1"/>
  <c r="AA207" i="83" s="1"/>
  <c r="AA259" i="83" s="1" a="1"/>
  <c r="AA259" i="83" s="1"/>
  <c r="W75" i="83" a="1"/>
  <c r="W75" i="83" s="1"/>
  <c r="W139" i="83" s="1" a="1"/>
  <c r="W139" i="83" s="1"/>
  <c r="W199" i="83" s="1" a="1"/>
  <c r="W199" i="83" s="1"/>
  <c r="W251" i="83" s="1" a="1"/>
  <c r="W251" i="83" s="1"/>
  <c r="Y75" i="83" a="1"/>
  <c r="Y75" i="83" s="1"/>
  <c r="Y139" i="83" s="1" a="1"/>
  <c r="Y139" i="83" s="1"/>
  <c r="Y199" i="83" s="1" a="1"/>
  <c r="Y199" i="83" s="1"/>
  <c r="Y251" i="83" s="1" a="1"/>
  <c r="Y251" i="83" s="1"/>
  <c r="AB78" i="83" a="1"/>
  <c r="AB78" i="83" s="1"/>
  <c r="AB142" i="83" s="1" a="1"/>
  <c r="AB142" i="83" s="1"/>
  <c r="AB202" i="83" s="1" a="1"/>
  <c r="AB202" i="83" s="1"/>
  <c r="AB254" i="83" s="1" a="1"/>
  <c r="AB254" i="83" s="1"/>
  <c r="Z83" i="83" a="1"/>
  <c r="Z83" i="83" s="1"/>
  <c r="Z147" i="83" s="1" a="1"/>
  <c r="Z147" i="83" s="1"/>
  <c r="Z207" i="83" s="1" a="1"/>
  <c r="Z207" i="83" s="1"/>
  <c r="Z259" i="83" s="1" a="1"/>
  <c r="Z259" i="83" s="1"/>
  <c r="AE73" i="83" a="1"/>
  <c r="AE73" i="83" s="1"/>
  <c r="AE137" i="83" s="1" a="1"/>
  <c r="AE137" i="83" s="1"/>
  <c r="AE197" i="83" s="1" a="1"/>
  <c r="AE197" i="83" s="1"/>
  <c r="AE249" i="83" s="1" a="1"/>
  <c r="AE249" i="83" s="1"/>
  <c r="K63" i="83" a="1"/>
  <c r="K63" i="83" s="1"/>
  <c r="K128" i="83" s="1" a="1"/>
  <c r="K128" i="83" s="1"/>
  <c r="K170" i="83" s="1" a="1"/>
  <c r="K170" i="83" s="1"/>
  <c r="K208" i="83" s="1" a="1"/>
  <c r="K208" i="83" s="1"/>
  <c r="Y80" i="83" a="1"/>
  <c r="Y80" i="83" s="1"/>
  <c r="Y144" i="83" s="1" a="1"/>
  <c r="Y144" i="83" s="1"/>
  <c r="Y204" i="83" s="1" a="1"/>
  <c r="Y204" i="83" s="1"/>
  <c r="Y256" i="83" s="1" a="1"/>
  <c r="Y256" i="83" s="1"/>
  <c r="AD78" i="83" a="1"/>
  <c r="AD78" i="83" s="1"/>
  <c r="AD142" i="83" s="1" a="1"/>
  <c r="AD142" i="83" s="1"/>
  <c r="AD202" i="83" s="1" a="1"/>
  <c r="AD202" i="83" s="1"/>
  <c r="AD254" i="83" s="1" a="1"/>
  <c r="AD254" i="83" s="1"/>
  <c r="K65" i="83" a="1"/>
  <c r="K65" i="83" s="1"/>
  <c r="K130" i="83" s="1" a="1"/>
  <c r="K130" i="83" s="1"/>
  <c r="K172" i="83" s="1" a="1"/>
  <c r="K172" i="83" s="1"/>
  <c r="K210" i="83" s="1" a="1"/>
  <c r="K210" i="83" s="1"/>
  <c r="E62" i="83" a="1"/>
  <c r="E62" i="83" s="1"/>
  <c r="E127" i="83" s="1" a="1"/>
  <c r="E127" i="83" s="1"/>
  <c r="E169" i="83" s="1" a="1"/>
  <c r="E169" i="83" s="1"/>
  <c r="E207" i="83" s="1" a="1"/>
  <c r="E207" i="83" s="1"/>
  <c r="W73" i="83" a="1"/>
  <c r="W73" i="83" s="1"/>
  <c r="W137" i="83" s="1" a="1"/>
  <c r="W137" i="83" s="1"/>
  <c r="W197" i="83" s="1" a="1"/>
  <c r="W197" i="83" s="1"/>
  <c r="W249" i="83" s="1" a="1"/>
  <c r="W249" i="83" s="1"/>
  <c r="X76" i="83" a="1"/>
  <c r="X76" i="83" s="1"/>
  <c r="X140" i="83" s="1" a="1"/>
  <c r="X140" i="83" s="1"/>
  <c r="X200" i="83" s="1" a="1"/>
  <c r="X200" i="83" s="1"/>
  <c r="X252" i="83" s="1" a="1"/>
  <c r="X252" i="83" s="1"/>
  <c r="Z72" i="83" a="1"/>
  <c r="Z72" i="83" s="1"/>
  <c r="Z136" i="83" s="1" a="1"/>
  <c r="Z136" i="83" s="1"/>
  <c r="Z196" i="83" s="1" a="1"/>
  <c r="Z196" i="83" s="1"/>
  <c r="Z248" i="83" s="1" a="1"/>
  <c r="Z248" i="83" s="1"/>
  <c r="G65" i="83" a="1"/>
  <c r="G65" i="83" s="1"/>
  <c r="G130" i="83" s="1" a="1"/>
  <c r="G130" i="83" s="1"/>
  <c r="G172" i="83" s="1" a="1"/>
  <c r="G172" i="83" s="1"/>
  <c r="G210" i="83" s="1" a="1"/>
  <c r="G210" i="83" s="1"/>
  <c r="G64" i="83" a="1"/>
  <c r="G64" i="83" s="1"/>
  <c r="G129" i="83" s="1" a="1"/>
  <c r="G129" i="83" s="1"/>
  <c r="G171" i="83" s="1" a="1"/>
  <c r="G171" i="83" s="1"/>
  <c r="G209" i="83" s="1" a="1"/>
  <c r="G209" i="83" s="1"/>
  <c r="AB77" i="83" a="1"/>
  <c r="AB77" i="83" s="1"/>
  <c r="AB141" i="83" s="1" a="1"/>
  <c r="AB141" i="83" s="1"/>
  <c r="AB201" i="83" s="1" a="1"/>
  <c r="AB201" i="83" s="1"/>
  <c r="AB253" i="83" s="1" a="1"/>
  <c r="AB253" i="83" s="1"/>
  <c r="Y78" i="83" a="1"/>
  <c r="Y78" i="83" s="1"/>
  <c r="Y142" i="83" s="1" a="1"/>
  <c r="Y142" i="83" s="1"/>
  <c r="Y202" i="83" s="1" a="1"/>
  <c r="Y202" i="83" s="1"/>
  <c r="Y254" i="83" s="1" a="1"/>
  <c r="Y254" i="83" s="1"/>
  <c r="E212" i="83" l="1"/>
  <c r="E229" i="83" s="1" a="1"/>
  <c r="E229" i="83" s="1"/>
  <c r="G231" i="83" s="1"/>
  <c r="E234" i="83" s="1" a="1"/>
  <c r="E234" i="83" s="1"/>
  <c r="V261" i="83"/>
  <c r="V267" i="83" s="1" a="1"/>
  <c r="V267" i="83" s="1"/>
  <c r="X269" i="83" s="1"/>
  <c r="V272" i="83" s="1" a="1"/>
  <c r="V272" i="83" s="1"/>
  <c r="E8" i="13" a="1"/>
  <c r="E8" i="13" s="1"/>
  <c r="H8" i="13" s="1" a="1"/>
  <c r="H8" i="13" s="1"/>
  <c r="I13" i="85" l="1"/>
  <c r="E20" i="85" s="1" a="1"/>
  <c r="E20" i="85" s="1"/>
  <c r="I32" i="85" s="1"/>
  <c r="E36" i="85" s="1" a="1"/>
  <c r="E36" i="85" s="1"/>
  <c r="G38" i="85" s="1"/>
  <c r="E41" i="85" s="1" a="1"/>
  <c r="E41" i="85" s="1"/>
  <c r="J13" i="84"/>
  <c r="E16" i="84" s="1" a="1"/>
  <c r="E16" i="84" s="1"/>
  <c r="I28" i="84" s="1"/>
  <c r="E35" i="84" s="1" a="1"/>
  <c r="E35" i="84" s="1"/>
  <c r="G37" i="84" s="1"/>
  <c r="E40" i="84" s="1" a="1"/>
  <c r="E40" i="84" s="1"/>
  <c r="E9" i="13" a="1"/>
  <c r="E9" i="13" s="1"/>
  <c r="H9" i="13" s="1" a="1"/>
  <c r="H9" i="13" s="1"/>
  <c r="F8" i="13" a="1"/>
  <c r="F8" i="13" s="1"/>
  <c r="I8" i="13" s="1" a="1"/>
  <c r="I8" i="13" s="1"/>
  <c r="E11" i="13" l="1" a="1"/>
  <c r="E11" i="13" s="1"/>
  <c r="H11" i="13" s="1" a="1"/>
  <c r="H11" i="13" s="1"/>
  <c r="E10" i="13" a="1"/>
  <c r="E10" i="13" s="1"/>
  <c r="H10" i="13" s="1" a="1"/>
  <c r="H10" i="13" s="1"/>
  <c r="T13" i="84"/>
  <c r="O16" i="84" s="1" a="1"/>
  <c r="O16" i="84" s="1"/>
  <c r="S28" i="84" s="1"/>
  <c r="O35" i="84" s="1" a="1"/>
  <c r="O35" i="84" s="1"/>
  <c r="Q37" i="84" s="1"/>
  <c r="O40" i="84" s="1" a="1"/>
  <c r="O40" i="84" s="1"/>
  <c r="R13" i="85"/>
  <c r="N20" i="85" s="1" a="1"/>
  <c r="N20" i="85" s="1"/>
  <c r="R32" i="85" s="1"/>
  <c r="N36" i="85" s="1" a="1"/>
  <c r="N36" i="85" s="1"/>
  <c r="P38" i="85" s="1"/>
  <c r="N41" i="85" s="1" a="1"/>
  <c r="N41" i="85" s="1"/>
  <c r="H28" i="13" l="1"/>
  <c r="E38" i="13" s="1"/>
  <c r="E42" i="13" s="1"/>
  <c r="H64" i="13" s="1"/>
  <c r="F9" i="13" a="1"/>
  <c r="F9" i="13" s="1"/>
  <c r="I9" i="13" s="1" a="1"/>
  <c r="I9" i="13" s="1"/>
  <c r="F10" i="13" a="1"/>
  <c r="F10" i="13" s="1"/>
  <c r="I10" i="13" s="1" a="1"/>
  <c r="I10" i="13" s="1"/>
  <c r="F11" i="13" a="1"/>
  <c r="F11" i="13" s="1"/>
  <c r="I11" i="13" s="1" a="1"/>
  <c r="I11" i="13" s="1"/>
  <c r="H66" i="13" l="1"/>
  <c r="H72" i="13"/>
  <c r="H74" i="13"/>
  <c r="E59" i="13"/>
  <c r="H75" i="13" s="1"/>
  <c r="H65" i="13" l="1"/>
  <c r="H67" i="13"/>
  <c r="H73" i="13"/>
  <c r="H80" i="13"/>
  <c r="F7" i="13" l="1" a="1"/>
  <c r="F7" i="13" s="1"/>
  <c r="I7" i="13" s="1" a="1"/>
  <c r="I7" i="13" s="1"/>
  <c r="I28" i="13" s="1"/>
  <c r="F38" i="13" s="1"/>
  <c r="F42" i="13" s="1"/>
  <c r="I74" i="13" l="1"/>
  <c r="F59" i="13"/>
  <c r="I72" i="13"/>
  <c r="I64" i="13"/>
  <c r="I66"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<sst xmlns="http://schemas.openxmlformats.org/spreadsheetml/2006/main" count="4848" uniqueCount="1204">
  <si>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</si>
  <si>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</si>
  <si>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</si>
  <si>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</si>
  <si>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</si>
  <si>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</si>
  <si>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</si>
  <si>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</si>
  <si>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</si>
  <si>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</si>
  <si>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</si>
  <si>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</si>
  <si>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</si>
  <si>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</si>
  <si>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</si>
  <si>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</si>
  <si>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</si>
  <si>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</si>
  <si>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</si>
  <si>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</si>
  <si>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</si>
  <si>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</si>
  <si>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</si>
  <si>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</si>
  <si>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</si>
  <si>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</si>
  <si>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</si>
  <si>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</si>
  <si>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</si>
  <si>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</si>
  <si>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</si>
  <si>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</si>
  <si>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</si>
  <si>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</si>
  <si>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</si>
  <si>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</si>
  <si>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</si>
  <si>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</si>
  <si>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</si>
  <si>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</si>
  <si>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</si>
  <si>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</si>
  <si>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</si>
  <si>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</si>
  <si>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</si>
  <si>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</si>
  <si>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</si>
  <si>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</si>
  <si>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</si>
  <si>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</si>
  <si>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</si>
  <si>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</si>
  <si>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</si>
  <si>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</si>
  <si>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</si>
  <si>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</si>
  <si>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</si>
  <si>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</si>
  <si>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</si>
  <si>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</si>
  <si>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</si>
  <si>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</si>
  <si>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</si>
  <si>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</si>
  <si>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</si>
  <si>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</si>
  <si>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</si>
  <si>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</si>
  <si>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</si>
  <si>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</si>
  <si>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</si>
  <si>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</si>
  <si>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</si>
  <si>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</si>
  <si>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</si>
  <si>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</si>
  <si>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</si>
  <si>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</si>
  <si>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</si>
  <si>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</si>
  <si>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</si>
  <si>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</si>
  <si>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</si>
  <si>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</si>
  <si>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</si>
  <si>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</si>
  <si>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</si>
  <si>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</si>
  <si>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</si>
  <si>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</si>
  <si>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</si>
  <si>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</si>
  <si>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</si>
  <si>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</si>
  <si>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</si>
  <si>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</si>
  <si>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</si>
  <si>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</si>
  <si>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</si>
  <si>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</si>
  <si>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</si>
  <si>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</si>
  <si>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</si>
  <si>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</si>
  <si>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</si>
  <si>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</si>
  <si>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</si>
  <si>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</si>
  <si>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</si>
  <si>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</si>
  <si>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</si>
  <si>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</si>
  <si>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</si>
  <si>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</si>
  <si>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</si>
  <si>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</si>
  <si>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</si>
  <si>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</si>
  <si>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</si>
  <si>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</si>
  <si>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</si>
  <si>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</si>
  <si>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</si>
  <si>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</si>
  <si>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</si>
  <si>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</si>
  <si>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</si>
  <si>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</si>
  <si>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</si>
  <si>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</si>
  <si>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</si>
  <si>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</si>
  <si>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</si>
  <si>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</si>
  <si>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</si>
  <si>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</si>
  <si>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</si>
  <si>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</si>
  <si>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</si>
  <si>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</si>
  <si>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</si>
  <si>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</si>
  <si>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</si>
  <si>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</si>
  <si>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</si>
  <si>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</si>
  <si>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</si>
  <si>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</si>
  <si>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</si>
  <si>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</si>
  <si>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</si>
  <si>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</si>
  <si>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</si>
  <si>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</si>
  <si>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</si>
  <si>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</si>
  <si>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</si>
  <si>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</si>
  <si>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</si>
  <si>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</si>
  <si>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</si>
  <si>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</si>
  <si>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</si>
  <si>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</si>
  <si>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</si>
  <si>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</si>
  <si>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</si>
  <si>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</si>
  <si>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</si>
  <si>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</si>
  <si>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</si>
  <si>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</si>
  <si>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</si>
  <si>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</si>
  <si>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</si>
  <si>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</si>
  <si>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</si>
  <si>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</si>
  <si>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</si>
  <si>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</si>
  <si>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</si>
  <si>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</si>
  <si>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</si>
  <si>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</si>
  <si>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</si>
  <si>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</si>
  <si>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</si>
  <si>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</si>
  <si>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</si>
  <si>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</si>
  <si>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</si>
  <si>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</si>
  <si>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</si>
  <si>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</si>
  <si>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</si>
  <si>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</si>
  <si>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</si>
  <si>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</si>
  <si>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</si>
  <si>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</si>
  <si>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</si>
  <si>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</si>
  <si>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</si>
  <si>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</si>
  <si>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</si>
  <si>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</si>
  <si>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</si>
  <si>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</si>
  <si>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</si>
  <si>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</si>
  <si>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</si>
  <si>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</si>
  <si>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</si>
  <si>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</si>
  <si>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</si>
  <si>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</si>
  <si>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</si>
  <si>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</si>
  <si>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</si>
  <si>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</si>
  <si>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</si>
  <si>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</si>
  <si>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</si>
  <si>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</si>
  <si>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</si>
  <si>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</si>
  <si>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</si>
  <si>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</si>
  <si>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</si>
  <si>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</si>
  <si>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</si>
  <si>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</si>
  <si>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</si>
  <si>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</si>
  <si>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</si>
  <si>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</si>
  <si>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</si>
  <si>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</si>
  <si>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</si>
  <si>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</si>
  <si>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</si>
  <si>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</si>
  <si>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</si>
  <si>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</si>
  <si>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</si>
  <si>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</si>
  <si>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</si>
  <si>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</si>
  <si>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</si>
  <si>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</si>
  <si>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</si>
  <si>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</si>
  <si>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</si>
  <si>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</si>
  <si>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</si>
  <si>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</si>
  <si>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</si>
  <si>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Sprinkler irrigation</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</si>
  <si>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</si>
  <si>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</si>
  <si>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</si>
  <si>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</si>
  <si>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</si>
  <si>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</si>
  <si>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</si>
  <si>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</si>
  <si>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</si>
  <si>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</si>
  <si>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</si>
  <si>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</si>
  <si>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</si>
  <si>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</si>
  <si>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</si>
  <si>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</si>
  <si>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</si>
  <si>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</si>
  <si>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</si>
  <si>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</si>
  <si>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</si>
  <si>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</si>
  <si>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</si>
  <si>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</si>
  <si>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</si>
  <si>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</si>
  <si>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</si>
  <si>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</si>
  <si>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</si>
  <si>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</si>
  <si>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</si>
  <si>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</si>
  <si>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</si>
  <si>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</si>
  <si>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</si>
  <si>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</si>
  <si>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</si>
  <si>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</si>
  <si>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</si>
  <si>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</si>
  <si>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</si>
  <si>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</si>
  <si>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</si>
  <si>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</si>
  <si>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</si>
  <si>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</si>
  <si>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</si>
  <si>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</si>
  <si>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</si>
  <si>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</si>
  <si>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</si>
  <si>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</si>
  <si>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</si>
  <si>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</si>
  <si>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</si>
  <si>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</si>
  <si>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</si>
  <si>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</si>
  <si>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</si>
  <si>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</si>
  <si>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</si>
  <si>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</si>
  <si>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</si>
  <si>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</si>
  <si>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</si>
  <si>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</si>
  <si>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</si>
  <si>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</si>
  <si>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</si>
  <si>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</si>
  <si>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</si>
  <si>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</si>
  <si>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</si>
  <si>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</si>
  <si>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</si>
  <si>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</si>
  <si>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</si>
  <si>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</si>
  <si>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</si>
  <si>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</si>
  <si>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</si>
  <si>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</si>
  <si>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</si>
  <si>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</si>
  <si>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</si>
  <si>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</si>
  <si>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</si>
  <si>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</si>
  <si>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</si>
  <si>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</si>
  <si>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</si>
  <si>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</si>
  <si>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</si>
  <si>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</si>
  <si>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</si>
  <si>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</si>
  <si>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</si>
  <si>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</si>
  <si>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</si>
  <si>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</si>
  <si>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</si>
  <si>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</si>
  <si>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</si>
  <si>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</si>
  <si>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</si>
  <si>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</si>
  <si>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</si>
  <si>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</si>
  <si>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</si>
  <si>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</si>
  <si>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</si>
  <si>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</si>
  <si>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</si>
  <si>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</si>
  <si>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</si>
  <si>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</si>
  <si>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</si>
  <si>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</si>
  <si>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</si>
  <si>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</si>
  <si>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</si>
  <si>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</si>
  <si>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</si>
  <si>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</si>
  <si>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</si>
  <si>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</si>
  <si>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</si>
  <si>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</si>
  <si>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</si>
  <si>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</si>
  <si>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</si>
  <si>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</si>
  <si>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</si>
  <si>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</si>
  <si>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</si>
  <si>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</si>
  <si>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</si>
  <si>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</si>
  <si>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</si>
  <si>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</si>
  <si>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</si>
  <si>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</si>
  <si>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</si>
  <si>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</si>
  <si>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</si>
  <si>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</si>
  <si>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</si>
  <si>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</si>
  <si>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</si>
  <si>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</si>
  <si>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</si>
  <si>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</si>
  <si>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</si>
  <si>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</si>
  <si>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</si>
  <si>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</si>
  <si>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</si>
  <si>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</si>
  <si>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</si>
  <si>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</si>
  <si>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</si>
  <si>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</si>
  <si>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</si>
  <si>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</si>
  <si>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</si>
  <si>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</si>
  <si>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</si>
  <si>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</si>
  <si>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</si>
  <si>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</si>
  <si>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</si>
  <si>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</si>
  <si>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</si>
  <si>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</si>
  <si>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</si>
  <si>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</si>
  <si>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</si>
  <si>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</si>
  <si>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</si>
  <si>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</si>
  <si>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</si>
  <si>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</si>
  <si>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</si>
  <si>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</si>
  <si>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</si>
  <si>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</si>
  <si>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</si>
  <si>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</si>
  <si>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</si>
  <si>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</si>
  <si>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</si>
  <si>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</si>
  <si>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</si>
  <si>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</si>
  <si>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</si>
  <si>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</si>
  <si>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</si>
  <si>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</si>
  <si>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</si>
  <si>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</si>
  <si>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</si>
  <si>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</si>
  <si>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</si>
  <si>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</si>
  <si>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</si>
  <si>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</si>
  <si>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</si>
  <si>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</si>
  <si>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</si>
  <si>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</si>
  <si>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</si>
  <si>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</si>
  <si>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</si>
  <si>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</si>
  <si>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</si>
  <si>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</si>
  <si>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</si>
  <si>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</si>
  <si>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</si>
  <si>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</si>
  <si>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</si>
  <si>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</si>
  <si>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</si>
  <si>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</si>
  <si>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</si>
  <si>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</si>
  <si>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</si>
  <si>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</si>
  <si>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</si>
  <si>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</si>
  <si>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</si>
  <si>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</si>
  <si>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</si>
  <si>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</si>
  <si>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</si>
  <si>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</si>
  <si>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</si>
  <si>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</si>
  <si>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</si>
  <si>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</si>
  <si>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</si>
  <si>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</si>
  <si>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</si>
  <si>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</si>
  <si>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</si>
  <si>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</si>
  <si>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</si>
  <si>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</si>
  <si>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</si>
  <si>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</si>
  <si>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</si>
  <si>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</si>
  <si>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</si>
  <si>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</si>
  <si>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</si>
  <si>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</si>
  <si>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</si>
  <si>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</si>
  <si>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</si>
  <si>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</si>
  <si>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</si>
  <si>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</si>
  <si>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</si>
  <si>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</si>
  <si>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</si>
  <si>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</si>
  <si>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</si>
  <si>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</si>
  <si>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</si>
  <si>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</si>
  <si>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</si>
  <si>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</si>
  <si>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</si>
  <si>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</si>
  <si>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</si>
  <si>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</si>
  <si>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</si>
  <si>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</si>
  <si>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</si>
  <si>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</si>
  <si>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</si>
  <si>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</si>
  <si>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</si>
  <si>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</si>
  <si>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</si>
  <si>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</si>
  <si>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</si>
  <si>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</si>
  <si>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</si>
  <si>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</si>
  <si>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</si>
  <si>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</si>
  <si>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</si>
  <si>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</si>
  <si>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</si>
  <si>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</si>
  <si>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</si>
  <si>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</si>
  <si>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</si>
  <si>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</si>
  <si>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</si>
  <si>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</si>
  <si>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</si>
  <si>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</si>
  <si>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</si>
  <si>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</si>
  <si>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</si>
  <si>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</si>
  <si>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</si>
  <si>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</si>
  <si>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</si>
  <si>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</si>
  <si>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</si>
  <si>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</si>
  <si>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</si>
  <si>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</si>
  <si>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</si>
  <si>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</si>
  <si>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</si>
  <si>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</si>
  <si>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</si>
  <si>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</si>
  <si>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</si>
  <si>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</si>
  <si>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</si>
  <si>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</si>
  <si>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</si>
  <si>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</si>
  <si>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</si>
  <si>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</si>
  <si>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</si>
  <si>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</si>
  <si>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</si>
  <si>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</si>
  <si>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</si>
  <si>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</si>
  <si>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</si>
  <si>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</si>
  <si>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</si>
  <si>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</si>
  <si>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</si>
  <si>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</si>
  <si>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</si>
  <si>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</si>
  <si>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</si>
  <si>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</si>
  <si>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</si>
  <si>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</si>
  <si>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</si>
  <si>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</si>
  <si>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</si>
  <si>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</si>
  <si>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</si>
  <si>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</si>
  <si>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</si>
  <si>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</si>
  <si>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</si>
  <si>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</si>
  <si>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</si>
  <si>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</si>
  <si>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</si>
  <si>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</si>
  <si>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</si>
  <si>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</si>
  <si>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</si>
  <si>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</si>
  <si>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</si>
  <si>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</si>
  <si>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</si>
  <si>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</si>
  <si>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</si>
  <si>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</si>
  <si>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</si>
  <si>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</si>
  <si>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</si>
  <si>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</si>
  <si>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</si>
  <si>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</si>
  <si>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</si>
  <si>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</si>
  <si>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</si>
  <si>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</si>
  <si>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</si>
  <si>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</si>
  <si>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</si>
  <si>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</si>
  <si>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</si>
  <si>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</si>
  <si>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</si>
  <si>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</si>
  <si>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</si>
  <si>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</si>
  <si>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</si>
  <si>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</si>
  <si>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</si>
  <si>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</si>
  <si>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</si>
  <si>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</si>
  <si>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</si>
  <si>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</si>
  <si>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</si>
  <si>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</si>
  <si>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</si>
  <si>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</si>
  <si>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</si>
  <si>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</si>
  <si>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</si>
  <si>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</si>
  <si>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</si>
  <si>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</si>
  <si>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</si>
  <si>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</si>
  <si>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</si>
  <si>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</si>
  <si>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</si>
  <si>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</si>
  <si>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</si>
  <si>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</si>
  <si>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</si>
  <si>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</si>
  <si>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</si>
  <si>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</si>
  <si>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</si>
  <si>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</si>
  <si>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</si>
  <si>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</si>
  <si>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</si>
  <si>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</si>
  <si>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</si>
  <si>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</si>
  <si>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</si>
  <si>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</si>
  <si>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</si>
  <si>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</si>
  <si>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</si>
  <si>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</si>
  <si>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</si>
  <si>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</si>
  <si>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</si>
  <si>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</si>
  <si>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</si>
  <si>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</si>
  <si>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</si>
  <si>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</si>
  <si>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</si>
  <si>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</si>
  <si>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</si>
  <si>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</si>
  <si>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</si>
  <si>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</si>
  <si>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</si>
  <si>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</si>
  <si>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</si>
  <si>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</si>
  <si>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</si>
  <si>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</si>
  <si>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</si>
  <si>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</si>
  <si>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</si>
  <si>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</si>
  <si>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</si>
  <si>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</si>
  <si>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</si>
  <si>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</si>
  <si>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</si>
  <si>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</si>
  <si>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</si>
  <si>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</si>
  <si>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</si>
  <si>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</si>
  <si>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</si>
  <si>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</si>
  <si>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</si>
  <si>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</si>
  <si>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</si>
  <si>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</si>
  <si>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</si>
  <si>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</si>
  <si>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</si>
  <si>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</si>
  <si>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</si>
  <si>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</si>
  <si>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</si>
  <si>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</si>
  <si>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</si>
  <si>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</si>
  <si>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</si>
  <si>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</si>
  <si>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</si>
  <si>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</si>
  <si>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</si>
  <si>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</si>
  <si>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</si>
  <si>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</si>
  <si>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</si>
  <si>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</si>
  <si>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</si>
  <si>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</si>
  <si>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</si>
  <si>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</si>
  <si>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</si>
  <si>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</si>
  <si>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</si>
  <si>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</si>
  <si>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</si>
  <si>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</si>
  <si>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</si>
  <si>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</si>
  <si>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</si>
  <si>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</si>
  <si>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</si>
  <si>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</si>
  <si>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</si>
  <si>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</si>
  <si>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</si>
  <si>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</si>
  <si>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</si>
  <si>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</si>
  <si>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</si>
  <si>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</si>
  <si>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</si>
  <si>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</si>
  <si>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</si>
  <si>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</si>
  <si>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</si>
  <si>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</si>
  <si>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</si>
  <si>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</si>
  <si>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</si>
  <si>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</si>
  <si>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</si>
  <si>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</si>
  <si>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</si>
  <si>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</si>
  <si>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</si>
  <si>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</si>
  <si>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</si>
  <si>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</si>
  <si>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</si>
  <si>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</si>
  <si>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</si>
  <si>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</si>
  <si>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</si>
  <si>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</si>
  <si>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</si>
  <si>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</si>
  <si>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</si>
  <si>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</si>
  <si>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</si>
  <si>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</si>
  <si>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</si>
  <si>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</si>
  <si>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</si>
  <si>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</si>
  <si>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</si>
  <si>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</si>
  <si>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</si>
  <si>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</si>
  <si>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</si>
  <si>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</si>
  <si>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</si>
  <si>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</si>
  <si>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</si>
  <si>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</si>
  <si>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</si>
  <si>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</si>
  <si>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</si>
  <si>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</si>
  <si>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</si>
  <si>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</si>
  <si>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</si>
  <si>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</si>
  <si>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</si>
  <si>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</si>
  <si>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</si>
  <si>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</si>
  <si>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</si>
  <si>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</si>
  <si>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</si>
  <si>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</si>
  <si>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</si>
  <si>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</si>
  <si>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</si>
  <si>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</si>
  <si>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</si>
  <si>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</si>
  <si>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</si>
  <si>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</si>
  <si>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</si>
  <si>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</si>
  <si>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</si>
  <si>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</si>
  <si>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</si>
  <si>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</si>
  <si>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</si>
  <si>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</si>
  <si>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</si>
  <si>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</si>
  <si>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</si>
  <si>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</si>
  <si>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</si>
  <si>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</si>
  <si>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</si>
  <si>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</si>
  <si>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</si>
  <si>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</si>
  <si>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</si>
  <si>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</si>
  <si>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</si>
  <si>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</si>
  <si>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</si>
  <si>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</si>
  <si>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</si>
  <si>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</si>
  <si>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</si>
  <si>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</si>
  <si>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</si>
  <si>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</si>
  <si>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</si>
  <si>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</si>
  <si>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</si>
  <si>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</si>
  <si>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</si>
  <si>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</si>
  <si>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</si>
  <si>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</si>
  <si>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</si>
  <si>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</si>
  <si>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</si>
  <si>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</si>
  <si>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</si>
  <si>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</si>
  <si>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</si>
  <si>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</si>
  <si>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</si>
  <si>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</si>
  <si>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</si>
  <si>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</si>
  <si>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</si>
  <si>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</si>
  <si>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</si>
  <si>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</si>
  <si>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</si>
  <si>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</si>
  <si>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</si>
  <si>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</si>
  <si>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</si>
  <si>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</si>
  <si>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</si>
  <si>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</si>
  <si>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</si>
  <si>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</si>
  <si>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</si>
  <si>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</si>
  <si>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</si>
  <si>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</si>
  <si>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</si>
  <si>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</si>
  <si>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</si>
  <si>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</si>
  <si>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</si>
  <si>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</si>
  <si>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</si>
  <si>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</si>
  <si>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</si>
  <si>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</si>
  <si>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</si>
  <si>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</si>
  <si>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Livestock Purchases</t>
  </si>
  <si>
    <t>Livestock</t>
  </si>
  <si>
    <t>Beef cattle</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</si>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</sst>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1"/>
      <color theme="1"/>
      <name val="Times New Roman"/>
      <family val="2"/>
      <scheme val="minor"/>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3">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21" fillId="5" borderId="0" xfId="36">
      <alignment horizontal="left" vertical="center" indent="1"/>
    </xf>
    <xf numFmtId="0" fontId="55" fillId="9" borderId="4" xfId="34" applyFont="1">
      <alignment horizontal="left" vertical="center" indent="1"/>
    </xf>
    <xf numFmtId="0" fontId="13" fillId="6" borderId="0" xfId="28">
      <alignment horizontal="left" vertical="center" indent="1"/>
    </xf>
    <xf numFmtId="0" fontId="56" fillId="4" borderId="0" xfId="8" applyFont="1">
      <alignment horizontal="left" vertical="center"/>
    </xf>
    <xf numFmtId="171" fontId="26" fillId="4" borderId="2" xfId="68" applyNumberFormat="1" applyFont="1" applyFill="1" applyBorder="1" applyAlignment="1">
      <alignment horizontal="center"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26" fillId="16" borderId="2" xfId="52" applyFill="1">
      <alignment horizontal="center"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3"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5" xfId="7" applyBorder="1">
      <alignment horizontal="left" vertical="center"/>
    </xf>
    <xf numFmtId="165" fontId="71" fillId="4" borderId="25" xfId="0" applyNumberFormat="1" applyFont="1" applyFill="1" applyBorder="1"/>
    <xf numFmtId="0" fontId="7" fillId="4" borderId="25" xfId="12" applyBorder="1">
      <alignment horizontal="left" vertical="center" indent="1"/>
    </xf>
    <xf numFmtId="168" fontId="71" fillId="4" borderId="0" xfId="0" applyNumberFormat="1" applyFont="1" applyFill="1" applyAlignment="1">
      <alignment vertical="center"/>
    </xf>
    <xf numFmtId="165" fontId="71" fillId="4" borderId="25" xfId="0" applyNumberFormat="1" applyFont="1" applyFill="1" applyBorder="1" applyAlignment="1">
      <alignment vertical="center"/>
    </xf>
    <xf numFmtId="0" fontId="71" fillId="4" borderId="0" xfId="0" applyFont="1" applyFill="1" applyAlignment="1">
      <alignment vertical="center"/>
    </xf>
    <xf numFmtId="165" fontId="74" fillId="4" borderId="25" xfId="0" applyNumberFormat="1" applyFont="1" applyFill="1" applyBorder="1" applyAlignment="1">
      <alignment vertical="center"/>
    </xf>
    <xf numFmtId="168" fontId="73" fillId="4" borderId="2" xfId="46" applyNumberFormat="1" applyFont="1">
      <alignment horizontal="center" vertical="center"/>
    </xf>
    <xf numFmtId="168" fontId="73" fillId="4" borderId="26"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4"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10" fillId="4" borderId="0" xfId="55" applyFill="1"/>
    <xf numFmtId="0" fontId="81" fillId="4" borderId="0" xfId="70">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365F2DE8-7153-4307-8976-B9F75DEC4519}"/>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B8ED40AB-8CFF-4D56-8C35-C658A54E2ED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FCF3BBDD-670D-46AE-B820-3E199078E5CB}"/>
    <cellStyle name="Variable type other" xfId="64" xr:uid="{105BD9DE-B567-4DA0-87E6-C60A0ECC1C65}"/>
  </cellStyles>
  <dxfs count="55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56"/>
      <tableStyleElement type="headerRow" dxfId="555"/>
      <tableStyleElement type="totalRow" dxfId="554"/>
      <tableStyleElement type="firstColumn" dxfId="553"/>
      <tableStyleElement type="firstRowStripe" dxfId="552"/>
      <tableStyleElement type="secondRowStripe" dxfId="551"/>
    </tableStyle>
    <tableStyle name="Equation table" pivot="0" count="6" xr9:uid="{B247698E-E41D-4CCD-AA0A-C14817E9DE65}">
      <tableStyleElement type="wholeTable" dxfId="550"/>
      <tableStyleElement type="headerRow" dxfId="549"/>
      <tableStyleElement type="totalRow" dxfId="548"/>
      <tableStyleElement type="firstColumn" dxfId="547"/>
      <tableStyleElement type="firstRowStripe" dxfId="546"/>
      <tableStyleElement type="secondRowStripe" dxfId="545"/>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microsoft.com/office/2017/06/relationships/rdRichValueTypes" Target="richData/rdRichValueTypes.xml" /><Relationship Id="rId68" Type="http://schemas.openxmlformats.org/officeDocument/2006/relationships/customXml" Target="../customXml/item4.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8" Type="http://schemas.openxmlformats.org/officeDocument/2006/relationships/sharedStrings" Target="sharedStrings.xml" /><Relationship Id="rId66" Type="http://schemas.openxmlformats.org/officeDocument/2006/relationships/customXml" Target="../customXml/item2.xml" /><Relationship Id="rId5" Type="http://schemas.openxmlformats.org/officeDocument/2006/relationships/worksheet" Target="worksheets/sheet5.xml" /><Relationship Id="rId61" Type="http://schemas.microsoft.com/office/2017/06/relationships/rdRichValue" Target="richData/rdrichvalue.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56" Type="http://schemas.openxmlformats.org/officeDocument/2006/relationships/theme" Target="theme/theme1.xml" /><Relationship Id="rId64" Type="http://schemas.openxmlformats.org/officeDocument/2006/relationships/calcChain" Target="calcChain.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59" Type="http://schemas.openxmlformats.org/officeDocument/2006/relationships/sheetMetadata" Target="metadata.xml" /><Relationship Id="rId67" Type="http://schemas.openxmlformats.org/officeDocument/2006/relationships/customXml" Target="../customXml/item3.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microsoft.com/office/2017/06/relationships/rdRichValueStructure" Target="richData/rdrichvaluestructure.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openxmlformats.org/officeDocument/2006/relationships/styles" Target="styles.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microsoft.com/office/2022/10/relationships/richValueRel" Target="richData/richValueRel.xml" /><Relationship Id="rId65"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73FFAB8-39E5-40FD-8C81-02CBEECA716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73FFAB8-39E5-40FD-8C81-02CBEECA716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3612072-FBA8-42CD-8DC9-2D6FD8EDC1A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3612072-FBA8-42CD-8DC9-2D6FD8EDC1A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3D6E9FF-FC59-4DAC-867B-33974A70D3BB}"/>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E3D6E9FF-FC59-4DAC-867B-33974A70D3BB}"/>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988F7E6-7ECC-4C57-9312-124076210E8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988F7E6-7ECC-4C57-9312-124076210E8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88EE93-F4B8-48B0-828D-3B0ACA18244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388EE93-F4B8-48B0-828D-3B0ACA18244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E79D112-C103-48FE-88BC-251CC78089B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E79D112-C103-48FE-88BC-251CC78089B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98E01CA-141A-4CD5-A32B-DADD0649755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98E01CA-141A-4CD5-A32B-DADD0649755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034C444-125F-4EC7-ABF4-DE99806480B5}"/>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B034C444-125F-4EC7-ABF4-DE99806480B5}"/>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9FF2607-89BB-447D-82AC-B5D5F3497BBA}"/>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39FF2607-89BB-447D-82AC-B5D5F3497BBA}"/>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1148A84-B027-4562-BAE3-120FF115A511}"/>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1148A84-B027-4562-BAE3-120FF115A511}"/>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155B0D-2620-4F88-AA4A-5DE495AC3EB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8D155B0D-2620-4F88-AA4A-5DE495AC3EB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CABCE2-484C-444E-8B14-E5B99194A37A}"/>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B2CABCE2-484C-444E-8B14-E5B99194A37A}"/>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87AE24A-745F-4A8C-BB2B-0FBC891DCEDA}"/>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487AE24A-745F-4A8C-BB2B-0FBC891DCEDA}"/>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2EF844A-0DB5-4A5B-9621-53F0344A1BE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22EF844A-0DB5-4A5B-9621-53F0344A1BE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5675EF3-3E55-4DA8-9E65-22D96F7D2E5F}"/>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F5675EF3-3E55-4DA8-9E65-22D96F7D2E5F}"/>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1D5BF78-0907-4443-A5DF-88EE4B609D8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1D5BF78-0907-4443-A5DF-88EE4B609D8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90BA4CA-FE15-441C-AB3A-1C52EAE7328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90BA4CA-FE15-441C-AB3A-1C52EAE7328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9C6A20C-968C-4AAD-9794-643F2D5A43B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99C6A20C-968C-4AAD-9794-643F2D5A43B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D65A47B-A1F8-4F14-A932-0D5340773E5B}"/>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D65A47B-A1F8-4F14-A932-0D5340773E5B}"/>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4B01891-3A02-4383-A6E0-C2BD6F138217}"/>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B4B01891-3A02-4383-A6E0-C2BD6F138217}"/>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4DA2CC-6187-4211-87DA-C444BB5E0EF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F4DA2CC-6187-4211-87DA-C444BB5E0EF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F94D3E-13E8-4C43-9D14-02A4AADD38E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4F94D3E-13E8-4C43-9D14-02A4AADD38E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C287B70-B1FD-4C1D-8EEB-8913D6729C5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C287B70-B1FD-4C1D-8EEB-8913D6729C5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B48EFF5-B377-4A2B-AEBB-D480EDC52BB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B48EFF5-B377-4A2B-AEBB-D480EDC52BB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528A0D8-8874-44AF-8DB7-9C1CDE5E32C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528A0D8-8874-44AF-8DB7-9C1CDE5E32C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320E1F-AD96-4F27-B3D5-4AEBB98E761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9320E1F-AD96-4F27-B3D5-4AEBB98E761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4A5CCE0-606F-4005-9BAD-81DA9C6BDE1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4A5CCE0-606F-4005-9BAD-81DA9C6BDE1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D7D4C55-7C7F-44EF-94DD-18A61AF3F98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6D7D4C55-7C7F-44EF-94DD-18A61AF3F98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554048C-8829-46FC-A259-287133ECC4D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554048C-8829-46FC-A259-287133ECC4D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432506D-DBF7-4935-9CED-BF708AC0E29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432506D-DBF7-4935-9CED-BF708AC0E29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B9D46D8-240F-4FA9-8FEA-18D3AAE2701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B9D46D8-240F-4FA9-8FEA-18D3AAE2701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C7461EA-426E-45DE-9C60-4426E55CD82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C7461EA-426E-45DE-9C60-4426E55CD82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ED00904-3EFA-41C1-B5EE-5F94826DBAF4}"/>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ED00904-3EFA-41C1-B5EE-5F94826DBAF4}"/>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D7E4599-96F2-4E08-85A4-972F7E8F115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D7E4599-96F2-4E08-85A4-972F7E8F115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7E2DA0-D6C3-45E8-91C9-798CC6EC01D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07E2DA0-D6C3-45E8-91C9-798CC6EC01D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B9FEB8A-D169-4A19-B044-4693C5C6E2E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B9FEB8A-D169-4A19-B044-4693C5C6E2E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B29DE60-8387-46F1-8319-6A5D4E7AD88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B29DE60-8387-46F1-8319-6A5D4E7AD88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F4E8F0-1B70-44C1-81C5-706B25AD3E8A}"/>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9F4E8F0-1B70-44C1-81C5-706B25AD3E8A}"/>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CC0BDD-CDB1-4ACF-8416-813A61612226}"/>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2CC0BDD-CDB1-4ACF-8416-813A61612226}"/>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985DDED-337B-4D90-9A0C-DF9D2269AAF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985DDED-337B-4D90-9A0C-DF9D2269AAF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6D26CC-5617-417F-8222-3371F731BA3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56D26CC-5617-417F-8222-3371F731BA3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A2BDB03-43C9-4F71-85AB-CC12DB56B7D1}"/>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A2BDB03-43C9-4F71-85AB-CC12DB56B7D1}"/>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663F3DB-E939-45D4-B2A4-F969EF57EC8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663F3DB-E939-45D4-B2A4-F969EF57EC8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7641B4E-10F0-4694-A568-EAAC1B74BB82}"/>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C7641B4E-10F0-4694-A568-EAAC1B74BB82}"/>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62E62A-CBF8-4C3D-BB8E-854610C7EFF8}"/>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762E62A-CBF8-4C3D-BB8E-854610C7EFF8}"/>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305CCF5-F3B2-4115-B640-F1A2FBEFEE9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305CCF5-F3B2-4115-B640-F1A2FBEFEE9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E3AB5B9-E1B2-49CD-852B-DC4FBB25EB9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E3AB5B9-E1B2-49CD-852B-DC4FBB25EB9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7F21C7D-0B11-40DC-8541-A605EDA9ADE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7F21C7D-0B11-40DC-8541-A605EDA9ADE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E4BD9A-891B-4F01-A958-947541D106B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EE4BD9A-891B-4F01-A958-947541D106B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EFF39A0-A8BB-4BD8-883F-F9BFC8C042B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EFF39A0-A8BB-4BD8-883F-F9BFC8C042B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B998E83-F22A-426F-8981-1881377C79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B998E83-F22A-426F-8981-1881377C79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3EB21C-AA6E-4938-B875-F9B253F399A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73EB21C-AA6E-4938-B875-F9B253F399A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95F83AD-577F-4884-A3C2-E1FEC4C7986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95F83AD-577F-4884-A3C2-E1FEC4C7986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B82280-0CC6-4590-8DBC-6C1CE1B4D179}"/>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2B82280-0CC6-4590-8DBC-6C1CE1B4D179}"/>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48E74B8-1A65-46BA-85CB-ECD41FBA1E41}"/>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48E74B8-1A65-46BA-85CB-ECD41FBA1E41}"/>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2602-176A-4527-9F96-60C8575499D9}"/>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1BB2602-176A-4527-9F96-60C8575499D9}"/>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1F4726E-3B9A-4355-A24F-6FDC7984839B}"/>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1F4726E-3B9A-4355-A24F-6FDC7984839B}"/>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337F498-834A-4489-899C-49F645B90991}"/>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337F498-834A-4489-899C-49F645B90991}"/>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6FC0BDA-1D2B-4A0B-AC54-E2E4D74017A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06FC0BDA-1D2B-4A0B-AC54-E2E4D74017A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0B6B408-2211-43FA-8E75-FABA0DF423FD}"/>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D0B6B408-2211-43FA-8E75-FABA0DF423FD}"/>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99742F2-6066-43CC-B609-09803D0910E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899742F2-6066-43CC-B609-09803D0910E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98411C3-8335-4C70-9CE6-D78F35EDCDF5}"/>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98411C3-8335-4C70-9CE6-D78F35EDCDF5}"/>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B1FAFB7-0879-427E-B366-36F8BBB14019}"/>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AB1FAFB7-0879-427E-B366-36F8BBB14019}"/>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95E6BD3-F80D-4B6F-AF73-899FD000B3A7}"/>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595E6BD3-F80D-4B6F-AF73-899FD000B3A7}"/>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74D4E19-4437-4F99-AE10-EE44116DDE66}"/>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E74D4E19-4437-4F99-AE10-EE44116DDE66}"/>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09B5B1FE-2DA3-47F5-AAD2-6262673E4BFC}"/>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09B5B1FE-2DA3-47F5-AAD2-6262673E4BFC}"/>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2E11B07-8B1D-45E4-9E03-7D32EB2122C0}"/>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2E11B07-8B1D-45E4-9E03-7D32EB2122C0}"/>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6505E593-EBA7-4686-96D5-5A7F5E89B93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6505E593-EBA7-4686-96D5-5A7F5E89B93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1C0AA1E7-9479-46F7-A751-542445B0D992}"/>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1C0AA1E7-9479-46F7-A751-542445B0D992}"/>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210D421C-D6CA-4CD6-8383-C823FFB218F2}"/>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210D421C-D6CA-4CD6-8383-C823FFB218F2}"/>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FF29830-45BF-45E0-8210-54931DF1E2BF}"/>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FF29830-45BF-45E0-8210-54931DF1E2BF}"/>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91C91A4-6745-4A63-B131-EDECB433322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A91C91A4-6745-4A63-B131-EDECB433322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024F2A87-A26B-49B1-9EBC-60ED15FBDFD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024F2A87-A26B-49B1-9EBC-60ED15FBDFD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F3BABA6-78F3-4757-9A55-A84DAB7DEC11}"/>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2F3BABA6-78F3-4757-9A55-A84DAB7DEC11}"/>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B333F4F-8F4C-439F-8FD4-FF7D311FA9D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B333F4F-8F4C-439F-8FD4-FF7D311FA9D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2F376C-0BF8-4006-96D1-F6AC515BFCAD}"/>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02F376C-0BF8-4006-96D1-F6AC515BFCAD}"/>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7CC57D7-446A-49A9-94DE-D441BD2C4CAA}"/>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C7CC57D7-446A-49A9-94DE-D441BD2C4CAA}"/>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0CCB41B-1214-447D-A303-C2E98769A06A}"/>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90CCB41B-1214-447D-A303-C2E98769A06A}"/>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AB62B14-F121-451E-A6B3-4A6ABE877222}"/>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CAB62B14-F121-451E-A6B3-4A6ABE877222}"/>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17193B7-EE4D-45E8-939A-6AF4FA5E85A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17193B7-EE4D-45E8-939A-6AF4FA5E85A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41B2222-0474-4D61-B704-ADEC56586DBB}"/>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041B2222-0474-4D61-B704-ADEC56586DBB}"/>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51CB7B1-0597-487B-AB16-A4BD55CC2336}"/>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51CB7B1-0597-487B-AB16-A4BD55CC2336}"/>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8531BCA-1876-4CEB-8112-B6A029C78327}"/>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28531BCA-1876-4CEB-8112-B6A029C78327}"/>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EBFDA46-1BB8-4976-B7CD-E1A4988B9E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EBFDA46-1BB8-4976-B7CD-E1A4988B9E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80132DF-FF15-42E4-8DC5-7BECC340A1C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80132DF-FF15-42E4-8DC5-7BECC340A1C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BDCE6E9-ACEE-4134-BEFC-47636FA9B73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21D86A5A-8821-4007-A406-46AA17E1D11C}"/>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A5D6320C-F1F9-4B52-88D3-2E8347061DF7}"/>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32D56E5-2B58-484B-8234-C49F094CA835}"/>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CB65720-DF6D-4765-88C0-0343016D2A6F}"/>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75A4674-7016-47FA-B458-AE852AA0925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5B7DBEA5-2967-4EFD-A16C-B67CB8594493}"/>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B82AAB0B-6654-462F-AC9A-20D9EE5C17F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A4617D6D-09C5-487E-B49F-A215E1A9227D}"/>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D23F71D8-1938-4F78-929D-263D50DB780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2745404D-917A-4970-AE08-FE826035B068}"/>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26A1EFC3-B0C3-43FA-8DBE-5FC8A6BA378E}"/>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8142C7B4-E574-4578-8D91-B6281B96AEB9}"/>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D664B798-5CEA-41FA-8EA9-9DF10F492EAB}"/>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D01AD7CC-6AD4-400A-89E8-16367918FA43}"/>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771907F-77AC-4F67-AA1B-94531C6026F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5ED08192-BF55-4EC9-8255-137873700CB0}"/>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734F4C6C-7A8E-4DB3-A38B-22BA22EE51F2}"/>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E1FD4A9D-04F9-47CF-8BFC-D93F3DB943D2}"/>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3C790BD7-354B-4EB1-BE7F-0728C738E84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276B0857-662A-47A2-800A-1944EC3C91B0}"/>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C8C3B487-46D2-4919-8E82-F5DA2A343773}"/>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6F6C3B4E-CE27-4D00-85F9-08CDB93DC351}"/>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38167CF7-A7C1-4054-B251-74EDA1E606D5}"/>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DDD79B6D-E2C1-42F1-BA33-C31E64F1291F}"/>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6F9535B8-7383-4417-B638-3161D35BE1E1}"/>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514263E6-EA4E-4F78-BD3B-4F55C8E04A24}"/>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698B4184-FD01-4BF4-8455-ED8FD6213982}"/>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E40A4297-C859-4D07-B940-0C94E524FECF}"/>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463E0E56-FE3A-419A-8425-A099FC22362A}"/>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05B27F91-1306-41AC-823C-9A48988772C6}"/>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C1BEA534-D128-48E6-8E16-A99E7E3D7124}"/>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3F206369-0EB9-410C-8916-633DEECD5CD3}"/>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F982458E-B202-49CF-8C07-6C2628E02C06}"/>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A020B01F-AE54-48EC-8228-8D1F69B21E3E}"/>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3917AC97-C012-4ABA-9C7D-4BB270654D18}"/>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29DBA372-A887-4F72-84D6-69D45C63D544}"/>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44"/>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806199BF-F396-47B9-9816-2FF3F9FCCBB7}"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B0B31749-7911-45A7-8D49-5C6BFE8E9D67}" name="Transaction name" dataCellStyle="Input text"/>
    <tableColumn id="13" xr3:uid="{97569360-622B-40EC-A955-E6A41BD4A1A8}" name="Purchase date" dataCellStyle="Input text"/>
    <tableColumn id="11" xr3:uid="{912B9675-EE1B-4E37-A0C6-396D8575D16B}" name="Class (select)" dataDxfId="543" dataCellStyle="Input select"/>
    <tableColumn id="2" xr3:uid="{9F1F1D58-7B59-416C-8CF3-8979EDBD98DB}" name="Purchase class (select)" dataDxfId="542" dataCellStyle="Input select"/>
    <tableColumn id="6" xr3:uid="{C83DA093-A6B9-4F02-ADAA-5981F34EA6E8}" name="Source region (Select)" dataDxfId="541" dataCellStyle="Input select"/>
    <tableColumn id="3" xr3:uid="{926F4CA0-A3AC-44C1-A07E-3E0DD281F6EC}" name="Quantity (head)" dataCellStyle="Input number general"/>
    <tableColumn id="12" xr3:uid="{AC16205A-1FF6-408F-B32C-7CCD985592CA}" name="Liveweight (kg/head) Method 1" dataCellStyle="Input number general calculated"/>
    <tableColumn id="4" xr3:uid="{EC169D8D-F2B6-4941-B9CD-AAB341D912DF}"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D9AD43A-43EA-4032-A741-19CF97FED809}" name="Table_Input_InorganicFertiliser_Brands" displayName="Table_Input_InorganicFertiliser_Brands" ref="D11:X16" headerRowDxfId="540" dataDxfId="539" totalsRowDxfId="538">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A28F66B8-AE31-4A9F-A5CC-35A51EC339A6}" name="Product (select)" dataDxfId="537" totalsRowDxfId="536" dataCellStyle="Input select"/>
    <tableColumn id="23" xr3:uid="{C8F88E7C-79DC-43BF-9A64-5FF788C99634}" name="Amount applied per hectare" totalsRowFunction="custom" dataDxfId="535" totalsRowDxfId="534">
      <totalsRowFormula>SUM(Table_Input_InorganicFertiliser_Brands[[#Headers],[#Data],[Amount applied per hectare]])</totalsRowFormula>
    </tableColumn>
    <tableColumn id="12" xr3:uid="{B37AF2D8-CCE0-4319-8F10-511BD9F9D852}" name="Application unit" dataDxfId="533" totalsRowDxfId="532" dataCellStyle="Input number 2 decimal places"/>
    <tableColumn id="9" xr3:uid="{6FEAA2BD-8162-4363-9896-3DC743C3FA22}" name="Density" dataDxfId="531" totalsRowDxfId="530" dataCellStyle="Input number 2 decimal places"/>
    <tableColumn id="6" xr3:uid="{92AE6389-3FF0-492C-8DF3-794D9D7614B8}" name="Application area (ha)" dataDxfId="529" totalsRowDxfId="528">
      <calculatedColumnFormula>X_Cell_Fertiliser_AreaUnderCropping</calculatedColumnFormula>
    </tableColumn>
    <tableColumn id="1" xr3:uid="{BD5C18B1-3325-425A-B1CE-4B8A00D6F2DB}" name="Total applied (kg)" dataDxfId="527" totalsRowDxfId="52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3F11D2C0-9078-44C9-B280-6722E3E0E32D}" name="Ingredient 1" dataDxfId="525" totalsRowDxfId="524" dataCellStyle="Input number general calculated"/>
    <tableColumn id="4" xr3:uid="{9586C30F-E31D-4C90-A872-4DBF6E90887E}" name="Ingredient 1 percent" dataDxfId="523" totalsRowDxfId="522" dataCellStyle="Input number general calculated"/>
    <tableColumn id="7" xr3:uid="{63857248-29C8-42C7-9F3A-2A159CA428BA}" name="Ingredient 2" dataDxfId="521" dataCellStyle="Input number general calculated"/>
    <tableColumn id="8" xr3:uid="{B1F1299A-A760-4593-A578-9F3C388C3D24}" name="Ingredient 2 percent" dataDxfId="520" totalsRowDxfId="519" dataCellStyle="Input number general calculated"/>
    <tableColumn id="10" xr3:uid="{26ED86FE-7B33-46FA-9960-96108865C004}" name="Ingredient 3" dataDxfId="518" totalsRowDxfId="517" dataCellStyle="Input number general calculated"/>
    <tableColumn id="11" xr3:uid="{38968BAB-AF2E-48D4-B73F-1186E0230DC8}" name="Ingredient 3 percent" dataDxfId="516" totalsRowDxfId="515" dataCellStyle="Input number general calculated"/>
    <tableColumn id="13" xr3:uid="{2AA31D7C-3498-49E0-873B-28290AA720A8}" name="Ingredient 4" dataDxfId="514" totalsRowDxfId="513" dataCellStyle="Input number general calculated"/>
    <tableColumn id="14" xr3:uid="{C80699AB-C04F-47C5-B40D-511912220B17}" name="Ingredient 4 percent" dataDxfId="512" dataCellStyle="Input number general calculated"/>
    <tableColumn id="16" xr3:uid="{9F30AF8F-D212-4AFC-BC05-CC0306F9CE26}" name="Ingredient 5" dataDxfId="511" dataCellStyle="Input number general calculated"/>
    <tableColumn id="17" xr3:uid="{FF6DBCC0-9A18-45AF-883A-76360D6FD441}" name="Ingredient 5 percent" dataDxfId="510" dataCellStyle="Input number general calculated"/>
    <tableColumn id="19" xr3:uid="{34EC2674-057E-4BDD-9997-8E808D57B437}" name="Ingredient 6" dataDxfId="509" dataCellStyle="Input number general calculated"/>
    <tableColumn id="20" xr3:uid="{D6739163-1A0B-4D82-B5CB-989668E03695}" name="Ingredient 6 percent" dataDxfId="508" dataCellStyle="Input number general calculated"/>
    <tableColumn id="5" xr3:uid="{FFBE6A8F-2C1F-43C9-8EF1-610859773814}" name="N application rate (kg/ha)" dataDxfId="507" totalsRowDxfId="506" dataCellStyle="Input number general calculated"/>
    <tableColumn id="15" xr3:uid="{21CADF20-5309-49B6-89F3-9C625BFC8DFD}" name="Urea source" dataDxfId="505" totalsRowDxfId="504" dataCellStyle="Input number general calculated"/>
    <tableColumn id="18" xr3:uid="{17E9DC03-3857-410D-806D-7E3F0250E845}" name="Ammonia source" dataDxfId="503" totalsRowDxfId="502"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825075F-6CEF-46E0-8E0C-BDA00B8D2730}" name="Table_Input_InorganicFertiliser_Custom" displayName="Table_Input_InorganicFertiliser_Custom" ref="D19:R22" totalsRowShown="0" headerRowDxfId="501" dataDxfId="500">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EDFB865-FE28-404A-B131-B9D23A612AD5}" name="Custom blend name" dataCellStyle="Input text"/>
    <tableColumn id="2" xr3:uid="{0E76E352-F3F4-4872-BB15-9DBFFCFBA6F8}" name="Amount applied (kg / ha)" dataDxfId="499"/>
    <tableColumn id="3" xr3:uid="{3A37521C-A096-4687-943A-C1D89E9D5B74}" name="Application area (ha)" dataDxfId="498" dataCellStyle="Input number 2 decimal places">
      <calculatedColumnFormula>X_Cell_Fertiliser_AreaUnderCropping</calculatedColumnFormula>
    </tableColumn>
    <tableColumn id="4" xr3:uid="{7D5B4F01-3254-4354-A813-B68CA8B23549}" name="Total applied (kg)" dataDxfId="497" dataCellStyle="Input number general calculated">
      <calculatedColumnFormula>Table_Input_InorganicFertiliser_Custom[[#This Row],[Amount applied (kg / ha)]]*Table_Input_InorganicFertiliser_Custom[[#This Row],[Application area (ha)]]</calculatedColumnFormula>
    </tableColumn>
    <tableColumn id="5" xr3:uid="{D6465AB9-E730-4ADD-AC31-EA782DCFFA13}" name="Ingredient 1 (select)" dataDxfId="496" dataCellStyle="Input select"/>
    <tableColumn id="6" xr3:uid="{61EB0D9F-4F20-4B6B-A92F-AA637A936797}" name="Ingredient 1 percent" dataDxfId="495"/>
    <tableColumn id="8" xr3:uid="{4A870475-4271-448E-A3A2-8927E3E58DD5}" name="Ingredient 2" dataDxfId="494" dataCellStyle="Input select"/>
    <tableColumn id="9" xr3:uid="{28C7892F-DEC4-4BAA-8FF6-0A584564CFDE}" name="Ingredient 2 percent" dataDxfId="493"/>
    <tableColumn id="11" xr3:uid="{8DB6EFB8-1DC7-46C2-92ED-B52640189004}" name="Ingredient 3" dataDxfId="492" dataCellStyle="Input select"/>
    <tableColumn id="12" xr3:uid="{403DACE1-B1C0-41A7-A8E0-F24C53EA4E07}" name="Ingredient 3 percent" dataDxfId="491"/>
    <tableColumn id="14" xr3:uid="{FDE02775-33E3-4783-BEF7-D04266886536}" name="Ingredient 4" dataDxfId="490" dataCellStyle="Input select"/>
    <tableColumn id="15" xr3:uid="{93E297F9-0AD7-44E2-9FF6-541C2483CD9C}" name="Ingredient 4 percent" dataCellStyle="Input percent"/>
    <tableColumn id="7" xr3:uid="{23DE1EB7-BDEA-4BE4-91F1-E0E5FA41DB10}" name="N application rate (kg/ha)" dataDxfId="489" dataCellStyle="Input number general calculated"/>
    <tableColumn id="10" xr3:uid="{2B1648AC-A9DC-4435-B9EE-6EA4D0D9F4A6}" name="Urea source (Select)" dataCellStyle="Input select"/>
    <tableColumn id="13" xr3:uid="{E7BEEA2F-7CFA-4575-8505-6FA5435A3906}"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E5A5E0-AC33-47DB-AEDF-CCD32BE2148A}" name="Table_Input_Lime" displayName="Table_Input_Lime" ref="D30:K33" totalsRowShown="0" headerRowDxfId="488" dataDxfId="487"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FDEC527-A3DE-4391-9AB0-3F420072A6B3}" name="Product" dataDxfId="486"/>
    <tableColumn id="2" xr3:uid="{5C6BE553-912A-4E4E-80E0-FFCAAE4025D9}" name="Amount applied (t/hectare)" dataDxfId="485"/>
    <tableColumn id="4" xr3:uid="{9EDD7842-5F5B-44E9-8A68-BFC3346D0EBE}" name="Application area (ha)" dataDxfId="484" dataCellStyle="Input number 2 decimal places">
      <calculatedColumnFormula>X_Cell_Fertiliser_AreaUnderCropping</calculatedColumnFormula>
    </tableColumn>
    <tableColumn id="3" xr3:uid="{4529CC63-4B77-438B-A882-32BE46ED894B}" name="Total amount applied (t)" dataDxfId="483" dataCellStyle="Input number general calculated">
      <calculatedColumnFormula>IFERROR(Table_Input_Lime[[#This Row],[Amount applied (t/hectare)]]*Table_Input_Lime[[#This Row],[Application area (ha)]], 0)</calculatedColumnFormula>
    </tableColumn>
    <tableColumn id="6" xr3:uid="{26D8BAF8-0836-41B0-8B20-6EAD61EECE29}" name="Percent Lime CaCO3" dataDxfId="482"/>
    <tableColumn id="8" xr3:uid="{5FE617A7-851F-45BD-BAC5-705141EA0ABE}" name="Percent Dolomite CaMg(CO3)2" dataDxfId="481"/>
    <tableColumn id="7" xr3:uid="{8E4219E1-2507-4E0A-9EC9-CF1ECE22D276}" name="Percent Gypsum" dataDxfId="480"/>
    <tableColumn id="10" xr3:uid="{F2A06723-0DFB-4337-9861-A08F155C3E4C}" name="Total" dataDxfId="47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7A5F14E-B6F5-4DCB-A1D5-1377EC80D89D}" name="Table_Input_OrganicFertiliser" displayName="Table_Input_OrganicFertiliser" ref="D41:J44" totalsRowShown="0" headerRowDxfId="478" dataDxfId="477"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C4EDD0-37AC-458B-8011-1E6FB7045ACC}" name="Organic fertiliser type (select)" dataDxfId="476" dataCellStyle="Input select"/>
    <tableColumn id="5" xr3:uid="{0438568C-F916-4DEF-9568-A68E512F7086}" name="Percentage of N in fertiliser" dataDxfId="475"/>
    <tableColumn id="2" xr3:uid="{CEAEDC13-D34B-4CDF-B90F-C67F5601CF5E}" name="Amount applied (kg/hectare)" dataDxfId="474"/>
    <tableColumn id="11" xr3:uid="{36F36D25-CCEA-4DA1-952F-9EE391C50ADC}" name="Amount N applied (kg/hectare)" dataDxfId="473" dataCellStyle="Input number general calculated">
      <calculatedColumnFormula>Table_Input_OrganicFertiliser[[#This Row],[Amount applied (kg/hectare)]]*Table_Input_OrganicFertiliser[[#This Row],[Percentage of N in fertiliser]]</calculatedColumnFormula>
    </tableColumn>
    <tableColumn id="4" xr3:uid="{0CE99E63-85B6-4F70-AD2A-19366744FAA1}" name="Application area (ha)" dataDxfId="472" dataCellStyle="Input number 2 decimal places">
      <calculatedColumnFormula>X_Cell_Fertiliser_AreaUnderCropping</calculatedColumnFormula>
    </tableColumn>
    <tableColumn id="7" xr3:uid="{B9AF69B5-8609-47ED-B289-7379783ACAE8}" name="Total organic fertliser applied" dataDxfId="471" dataCellStyle="Input number general calculated">
      <calculatedColumnFormula>Table_Input_OrganicFertiliser[[#This Row],[Amount applied (kg/hectare)]]*Table_Input_OrganicFertiliser[[#This Row],[Application area (ha)]]</calculatedColumnFormula>
    </tableColumn>
    <tableColumn id="3" xr3:uid="{0F110D6C-7805-4C03-B12F-A60B1E6DC4FE}" name="Total nitrogen applied (kg)" dataDxfId="47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01FB4F2-DD88-450B-94AD-AE6DC6AF2C34}" name="Table_Input_Fuel" displayName="Table_Input_Fuel" ref="D16:J21" totalsRowDxfId="46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F15D730-B772-4ED8-BDB4-0E62CF8914B8}" name="Fuel use (select)" totalsRowFunction="average" totalsRowDxfId="468" dataCellStyle="Input select" totalsRowCellStyle="Input select"/>
    <tableColumn id="3" xr3:uid="{5738E852-4267-4ADE-A148-3435B70D4303}" name="Fuel type (select)" totalsRowDxfId="467" dataCellStyle="Input select" totalsRowCellStyle="Input select"/>
    <tableColumn id="4" xr3:uid="{251EEA1C-8343-4852-BB0B-1D651A0E824E}" name="Amount purchased" totalsRowDxfId="466" totalsRowCellStyle="Content bold"/>
    <tableColumn id="6" xr3:uid="{075A2941-CA19-49D2-B4C5-FB52E0B587C3}" name="Amount unit" totalsRowDxfId="465" dataCellStyle="Input number general calculated" totalsRowCellStyle="Input text calculated"/>
    <tableColumn id="5" xr3:uid="{914B9BBC-EE2C-49A0-9C1C-630B51ABF006}" name="Percent consumed" totalsRowDxfId="464" totalsRowCellStyle="Input percent">
      <calculatedColumnFormula>1</calculatedColumnFormula>
    </tableColumn>
    <tableColumn id="1" xr3:uid="{7650E224-0755-43E7-911D-E1AD9CBFAD36}" name="Amount consumed" totalsRowFunction="custom" totalsRowDxfId="46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08E2CE3-75E2-43A2-B9FD-F4FEDE86DDEB}" name="Amount consumed unit" totalsRowDxfId="462"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195CCE60-309E-4BA7-8971-36DB662C56B9}"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0E052C5-B129-46D0-9A59-E5A4059FF518}" name="Description"/>
    <tableColumn id="5" xr3:uid="{9ABEBE4E-C63E-4FA0-B949-EB32E5E2AD8E}" name="Source (select)" dataCellStyle="Input select"/>
    <tableColumn id="2" xr3:uid="{485D549F-7D99-425E-A09D-6D13BBA7A338}" name="Generation date" dataDxfId="461"/>
    <tableColumn id="3" xr3:uid="{D7F73697-D4F7-4E84-AE80-468A8723DA4F}" name="Number of certificates"/>
    <tableColumn id="4" xr3:uid="{8F2570CF-1DE8-4A0A-8577-39EEB8479F15}" name="MWh" dataCellStyle="Input number general calculated">
      <calculatedColumnFormula>Table_Input_RECSurrendered[[#This Row],[Number of certificates]]</calculatedColumnFormula>
    </tableColumn>
    <tableColumn id="7" xr3:uid="{06724446-1E66-4480-A420-BAE3DA57661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88F6148-6658-4FD7-808E-867908323B9F}"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9ED80F59-5E83-491F-B219-2EECE86CBC18}" name="Description"/>
    <tableColumn id="5" xr3:uid="{2687A378-6A61-48D0-BA1A-49588CE4E5A7}" name="Source" dataCellStyle="Input text calculated">
      <calculatedColumnFormula>"Issued for generated electricity"</calculatedColumnFormula>
    </tableColumn>
    <tableColumn id="2" xr3:uid="{3144CBCC-1476-4383-B791-9BFE1EF8A9D1}" name="Generation date" dataDxfId="460"/>
    <tableColumn id="3" xr3:uid="{9E2246C4-127B-4523-B7A8-72F6431359EA}" name="Number of certificates"/>
    <tableColumn id="4" xr3:uid="{66467244-341E-4243-B8E9-09CE7A89ABED}" name="MWh" dataCellStyle="Input number general calculated">
      <calculatedColumnFormula>Table_Input_RECConsumedByEntity[[#This Row],[Number of certificates]]</calculatedColumnFormula>
    </tableColumn>
    <tableColumn id="7" xr3:uid="{753CC469-6061-42AB-B414-82C7FDCF2E20}"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BA735F9B-BDC0-4354-8819-BEA5C388884A}"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0B439BC8-0590-441B-96F7-8CD615721F4B}" name="Product name" dataCellStyle="Input text"/>
    <tableColumn id="1" xr3:uid="{B4298D73-B0A3-4F3F-A193-E8317D45C63B}" name="Type (select)" dataCellStyle="Input select"/>
    <tableColumn id="2" xr3:uid="{C422D1B0-9CE5-475E-AAAE-77EF45BBD114}"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DBA8808F-F427-4958-B641-227E98B1C003}" name="Table_Input_Packaging" displayName="Table_Input_Packaging" ref="D92:H102" totalsRowShown="0" headerRowDxfId="459"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1A00F364-1845-4723-9C6C-1C372274EDAA}" name="Packaging name"/>
    <tableColumn id="3" xr3:uid="{E24B9797-C9C0-4C26-A8F6-9A072416D83E}" name="Quantity purchased" dataDxfId="458" dataCellStyle="Input number general"/>
    <tableColumn id="2" xr3:uid="{3F0F37DB-2B35-49FF-B263-F46A3ABAF71F}" name="Primary material" dataCellStyle="Input select"/>
    <tableColumn id="4" xr3:uid="{47630AA4-D629-4942-ABA7-CEC6566D1ECB}" name="Weight per unit (kg)" dataCellStyle="Input number general"/>
    <tableColumn id="6" xr3:uid="{CC50CF7D-6D4E-4330-8E22-5279EE2AB64B}"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125BA1CF-8E54-45F4-B22D-E237D8E8ECE0}" name="Table_Input_Pesticides" displayName="Table_Input_Pesticides" ref="D10:R20" totalsRowShown="0" headerRowDxfId="457">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D7D5F46-E225-4415-B13D-522EE4BB2FA2}" name="Product name"/>
    <tableColumn id="2" xr3:uid="{AA96ECD5-8448-4B23-9F69-FC71FB7FCE5D}" name="Amount applied per ha"/>
    <tableColumn id="7" xr3:uid="{5866763A-E0CD-4622-9CED-6C14DDA32BEC}" name="Application unit (select)" dataCellStyle="Input select"/>
    <tableColumn id="6" xr3:uid="{30B1F0B0-A9D9-40F2-ACE2-FB7549178D13}" name="Application area (ha)" dataCellStyle="Input number general"/>
    <tableColumn id="3" xr3:uid="{3F9E045E-F350-486F-889B-225AADE27BEC}" name="Total applied" dataCellStyle="Input number general calculated">
      <calculatedColumnFormula>Table_Input_Pesticides[[#This Row],[Amount applied per ha]]*Table_Input_Pesticides[[#This Row],[Application area (ha)]]</calculatedColumnFormula>
    </tableColumn>
    <tableColumn id="5" xr3:uid="{BBDA5199-BCED-444F-8CD7-1891BC96A694}" name="Constituent unit (select)" dataCellStyle="Input select"/>
    <tableColumn id="4" xr3:uid="{B43BC072-7341-4B52-9266-064F84BD3EAA}" name="Active ingredient 1 (select)" dataCellStyle="Input select"/>
    <tableColumn id="8" xr3:uid="{6EAF3E04-6EC5-4531-BAB2-C363809AED78}" name="Active ingredient 1 amount" dataCellStyle="Input number general"/>
    <tableColumn id="16" xr3:uid="{246309ED-AE18-4147-B4A9-CBF3A0F645A1}"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A629B8A-F6F3-48DB-895C-A4DF26041DFA}" name="Active ingredient 2 (select)" dataCellStyle="Input select"/>
    <tableColumn id="11" xr3:uid="{B7761235-CDF4-42AA-ADA8-509E224FC3E1}" name="Active ingredient 2 amount" dataCellStyle="Input number general"/>
    <tableColumn id="17" xr3:uid="{72F5B5CF-5F58-46DE-B3C4-8609605B112A}"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9A32216B-D9FF-4DC2-841F-A3373D88430F}" name="Active ingredient 3 (select)" dataCellStyle="Input select"/>
    <tableColumn id="14" xr3:uid="{5AE3017B-5061-49DB-9781-BF286A3BD00D}" name="Active ingredient 3 amount" dataCellStyle="Input number general"/>
    <tableColumn id="18" xr3:uid="{2852043C-40B6-4BEF-A26A-3EBE0EA19FC2}"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469AE0E-1B93-4A2A-806B-C79FB6A2CE83}"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C427CAF8-8143-4EBD-98BF-402FA2DE4FEE}" name="Product name" dataCellStyle="Input text"/>
    <tableColumn id="1" xr3:uid="{A8378ABF-9868-4B68-A21E-2F415F10321D}" name="Type (select)" dataDxfId="456" dataCellStyle="Input select"/>
    <tableColumn id="2" xr3:uid="{315A5227-8E38-4A22-B123-A0146BB56425}" name="Number of head treated" dataDxfId="455"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4623864C-6E55-4615-8168-E0118DDD1FF1}"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7943CD76-893E-42B0-88CE-F7DB13D10F5E}" name="Product / service name" dataCellStyle="Input text"/>
    <tableColumn id="2" xr3:uid="{2359EBD6-88BC-4A06-8814-0DC0645927C1}" name="Amount" dataCellStyle="Input number general"/>
    <tableColumn id="3" xr3:uid="{DB75F956-A63C-48AB-8BBA-19E444EDDEE9}"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8BD2A59-49B0-4BFF-A532-635DDAF351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7456BBB-C9FB-4363-AC6D-3F780CAD9678}" name="Feed blend name"/>
    <tableColumn id="2" xr3:uid="{764BFED5-AE0B-4ACB-A936-380069F6B499}" name="Amount fed (kg)"/>
    <tableColumn id="4" xr3:uid="{D1966BC3-D00E-4709-903F-F90072A8E6EC}" name="Ingredient 1 (select)" dataCellStyle="Input select"/>
    <tableColumn id="3" xr3:uid="{8625F13F-B47E-40C3-BE2C-B81E2004A151}" name="Ingredient 1 source region" dataCellStyle="Input select"/>
    <tableColumn id="5" xr3:uid="{367CCC65-E882-4F3F-A162-83C0A18938D6}" name="Ingredient 1 percent"/>
    <tableColumn id="6" xr3:uid="{A3B70F43-B419-48C8-BD4A-FFBDE19A0919}" name="Ingredient 2 (select)" dataCellStyle="Input select"/>
    <tableColumn id="14" xr3:uid="{00965F82-27EA-4F7E-9060-20FFAAEF898A}" name="Ingredient 2 source region" dataCellStyle="Input select"/>
    <tableColumn id="7" xr3:uid="{D65A4DE1-55BC-415E-AF9B-DF5C447FDFE6}" name="Ingredient 2 percent"/>
    <tableColumn id="8" xr3:uid="{EC9F000D-9B55-45FB-BF71-E40D9422F085}" name="Ingredient 3 (select)" dataCellStyle="Input select"/>
    <tableColumn id="15" xr3:uid="{48ACDB58-9885-40DB-8417-9CBFED645CE9}" name="Ingredient 3 source region" dataCellStyle="Input select"/>
    <tableColumn id="9" xr3:uid="{4B34B739-8FDB-44DD-AE82-51A725B52BA8}" name="Ingredient 3 percent"/>
    <tableColumn id="10" xr3:uid="{AEAC454C-C0C8-4BAD-A572-519DFACD509E}" name="Ingredient 4 (select)" dataCellStyle="Input select"/>
    <tableColumn id="16" xr3:uid="{C1FA6E5E-7BB2-45FE-8A00-94000B5D624D}" name="Ingredient 4 source region" dataCellStyle="Input select"/>
    <tableColumn id="11" xr3:uid="{2C663383-9D99-4D6F-9312-EAB3F49570D4}"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1B384DA-17F3-45D4-A9E2-D416E80AF0A2}"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24C37D79-0271-4BE4-93EE-9EECA31CB534}" name="Service provider / contractor" dataCellStyle="Input text"/>
    <tableColumn id="4" xr3:uid="{322F6C4A-AD23-47BB-B2EE-E870F3DBE3EE}" name="Activity" dataCellStyle="Input text"/>
    <tableColumn id="2" xr3:uid="{DAACBB11-DDE4-41DE-8605-26FF981269AF}" name="Total amount" dataCellStyle="Input number general"/>
    <tableColumn id="3" xr3:uid="{D18628DA-5FF5-4041-A510-5342A126340C}"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D012B473-C1ED-4491-9978-0C72BB450467}"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F0267CD2-A802-47E5-84F2-8BA4A8AFAEE2}" name="Grow media type" dataCellStyle="Input text"/>
    <tableColumn id="2" xr3:uid="{AF0F2AC7-7689-436C-BD16-5792A28E1597}" name="Total amount" dataCellStyle="Input number general"/>
    <tableColumn id="3" xr3:uid="{6AE57FE9-2D74-4202-8CD4-2C32B2F27F7B}"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7EAACC5B-77B2-498E-B2AA-70DD60A56180}"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E147C13A-5721-42CB-8051-BFB25521814F}" name="Route name"/>
    <tableColumn id="2" xr3:uid="{CF2C453D-15C5-423D-B45B-4DCCE245A636}" name="Freight type (select)" dataCellStyle="Input select"/>
    <tableColumn id="3" xr3:uid="{09B1CA9F-1AFC-4062-9F33-B55022D69BEB}" name="Route distance (km)"/>
    <tableColumn id="4" xr3:uid="{203059E7-9D21-4BDB-A4E8-249B3EEF2976}" name="Average weight of freight per trip (t)"/>
    <tableColumn id="5" xr3:uid="{90DC8E0B-6809-4125-874A-A83DBB7761FB}"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400F6189-83BF-41B4-9D86-17462D26302B}"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66F4F61B-33E2-4731-ABC7-60F7FB1CF51E}" name="Route name"/>
    <tableColumn id="2" xr3:uid="{DFB0F506-BB6A-4D55-8787-C7718C7A74D8}" name="Freight type (select)" dataCellStyle="Input select"/>
    <tableColumn id="3" xr3:uid="{AC9A17E7-2C42-41A4-BACC-383E02788B79}" name="Route distance (km)"/>
    <tableColumn id="4" xr3:uid="{9B5C147B-6B28-4B16-8C13-0A2E39CB5A0D}" name="Average weight of freight per trip (t)"/>
    <tableColumn id="5" xr3:uid="{52926EDD-60C4-4B58-A76E-88A6215ABC45}"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4A7378-8714-49DE-AB07-DF8CE74FB537}" name="Table_SourceData_PastureBeef_CropProdSystems" displayName="Table_SourceData_PastureBeef_CropProdSystems" ref="D7:D9" totalsRowShown="0">
  <autoFilter ref="D7:D9" xr:uid="{B6F3FE3A-A0B5-47E7-85B2-8426FB75A7C8}">
    <filterColumn colId="0" hiddenButton="1"/>
  </autoFilter>
  <tableColumns count="1">
    <tableColumn id="1" xr3:uid="{7F107174-8BA7-4A70-9979-A74BAA27B56D}" name="Production system">
      <calculatedColumnFormula>#REF!</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5B59334-1644-4D52-9FE9-D9652ECE7AB8}"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BBE9B112-B61D-4721-8943-7DF1D924A887}"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D77E1C7-604F-4084-B278-05F9D7E3199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EAF4C12-EFC7-466B-8619-5D775E4EC23A}" name="State">
      <calculatedColumnFormula array="1">Common_InputFunctions.Utility_DisplayArrayInTable(SourceData_PastureBeef.SourceData_PastureBeef_Liveweight_Data(), Table_SourceData_PastureBeef_Liveweight[[#Headers],[State]], 0)</calculatedColumnFormula>
    </tableColumn>
    <tableColumn id="2" xr3:uid="{BFF1FFB8-7043-4BC7-958D-BB1D397ADD74}" name="Region" dataDxfId="45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580E77AB-7AEA-47B3-BCEE-AAD86B732616}" name="Season" dataDxfId="45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0E630AF-9013-461C-BB31-305FEA974CA5}" name="Bull &lt; 1"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9E9470E6-C413-49E9-8BEB-19144105B66D}" name="Bull &gt; 1"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53861930-5E1A-4CD2-B0EF-5DE458FFCE51}" name="Cow &lt; 1"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218C70EC-58E4-4A54-9774-089607FE0363}" name="Cow 1-2"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EF4070E-5DC5-4202-95B9-676DA63A9AC1}" name="Cow &gt; 2" dataDxfId="44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1A8E0C-F9CF-45E6-B7D1-B17DA9A46199}" name="Steer &lt; 1" dataDxfId="44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9019CE1D-6EAB-4DE5-A2D0-C53BDD7EEFC7}" name="Steer &gt; 1" dataDxfId="44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60490EA-A207-4EC5-A40C-52241099B16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C6F7F68-AE28-45AC-A7DF-395A2C8EDB25}" name="State">
      <calculatedColumnFormula array="1">Common_InputFunctions.Utility_DisplayArrayInTable(SourceData_PastureBeef.SourceData_PastureBeef_LiveweightNTQLD_Data(),Table_SourceData_PastureBeef_LiveweightNTQD[[#Headers],[State]], 0)</calculatedColumnFormula>
    </tableColumn>
    <tableColumn id="2" xr3:uid="{3033523B-915D-4C51-A6AB-310D73A8F8A0}" name="Region" dataDxfId="4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FA849386-9CAD-4256-A187-6F59834C6C35}" name="Season" dataDxfId="4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75C0B43C-F9DB-429D-9D14-5195A570FF93}" name="Bull &lt;1"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6EA9940E-1D98-46CD-B55B-9A7E89E80313}" name="Bull &gt;1"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9EBB2644-B435-4676-83BD-44B6CB06760E}" name="Cows &lt;1"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301B7D2C-8BA8-4D0F-9D0E-278E7D671A5C}" name="Cows 1-2"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6C92608B-11AD-4262-A7C5-705EAFEFA9F2}" name="Cows 2-3"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104C7D9-BDAC-4E87-9847-89C9E4564D44}" name="Cows &gt;3"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13C87442-7639-45F3-9304-5BF743AF5237}" name="Steer &lt;1"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3B8BF2C6-AFE4-4592-ACA8-E52149F75917}" name="Steer 1-2" dataDxfId="4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AA6EDF95-17E3-4BE4-8E2E-0A5C17C1691A}" name="Steer 2-3" dataDxfId="4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7200C818-75AC-48C9-AF96-7D89999BCF0C}" name="Steer &gt;3" dataDxfId="43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FDE63A5-662E-4C7A-BDA1-49B8A950BB59}"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B34E7E8-21AD-461C-8582-02DC6DA597D6}" name="State"/>
    <tableColumn id="2" xr3:uid="{3AA83B38-6C8F-460D-AD63-9DE9CDCFD8A6}" name="Region">
      <calculatedColumnFormula>E22</calculatedColumnFormula>
    </tableColumn>
    <tableColumn id="3" xr3:uid="{2770EBE9-E3B8-4C32-8C12-FE81736F4A4F}" name="Season">
      <calculatedColumnFormula>F22</calculatedColumnFormula>
    </tableColumn>
    <tableColumn id="4" xr3:uid="{05B4801F-DBD9-4788-A6D0-CBCBE7AC850F}" name="Bulls &lt; 1 year">
      <calculatedColumnFormula>G22</calculatedColumnFormula>
    </tableColumn>
    <tableColumn id="5" xr3:uid="{DD08C4EE-6BF1-41CB-BF89-155BAAF6AAEB}" name="Bulls &gt; 1 year">
      <calculatedColumnFormula>H22</calculatedColumnFormula>
    </tableColumn>
    <tableColumn id="6" xr3:uid="{0A85EEC7-339A-4D0A-A1C1-C1A3D31D839C}" name="Cows &lt; 1 year">
      <calculatedColumnFormula>I22</calculatedColumnFormula>
    </tableColumn>
    <tableColumn id="7" xr3:uid="{9088CEDC-6FD1-46D0-961D-E1D9F525B35D}" name="Cows 1-2 years">
      <calculatedColumnFormula>J22</calculatedColumnFormula>
    </tableColumn>
    <tableColumn id="8" xr3:uid="{931A0821-A85A-4942-AF54-F0B89DC579F8}" name="Cows 2-3 years">
      <calculatedColumnFormula>K22</calculatedColumnFormula>
    </tableColumn>
    <tableColumn id="9" xr3:uid="{08E3518C-A3CF-42AF-BA16-330522A5CFAA}" name="Cows &gt; 3 years">
      <calculatedColumnFormula>L22</calculatedColumnFormula>
    </tableColumn>
    <tableColumn id="10" xr3:uid="{0C1B7C1D-B231-495F-8679-3D1D10700210}" name="Steers &lt; 1 year">
      <calculatedColumnFormula>M22</calculatedColumnFormula>
    </tableColumn>
    <tableColumn id="11" xr3:uid="{8635B52A-4763-477D-A2A3-22B4D849E0EB}" name="Steers 1-2 years">
      <calculatedColumnFormula>N22</calculatedColumnFormula>
    </tableColumn>
    <tableColumn id="12" xr3:uid="{73BB910B-0610-4988-8C59-652D838F0503}" name="Steers 2-3 years">
      <calculatedColumnFormula>O22</calculatedColumnFormula>
    </tableColumn>
    <tableColumn id="13" xr3:uid="{7F5A1730-8627-4245-A51C-7565900E5449}" name="Steers &gt;3 years">
      <calculatedColumnFormula>P22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AE71A80-6AD1-4144-B28C-1CF19CF3BB85}"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D4FA96E2-84BB-40BE-90CD-4128CFA5B48A}"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D2048E-5F2C-4432-92E9-6B1D5A6EA4CD}"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F0A7DC8-5801-4D4C-B5AF-7A58A94982B0}"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270FB0C-C24D-4186-9C35-9C6A5798D8A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7E24FC10-548D-42CE-8015-44E6300728F4}"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9E1B1A-8657-4CE1-A518-17A56C9A6258}" name="Table_SourceData_PastureBeef_Region_Victoria" displayName="Table_SourceData_PastureBeef_Region_Victoria" ref="S7:S8" totalsRowShown="0">
  <autoFilter ref="S7:S8" xr:uid="{7D474D93-C1E0-4898-A434-69585070D0B9}">
    <filterColumn colId="0" hiddenButton="1"/>
  </autoFilter>
  <tableColumns count="1">
    <tableColumn id="1" xr3:uid="{D3431179-55B1-444D-B97B-ADB475BD90BC}"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8C08EF3-768D-4CA6-8F80-14C044DF5644}"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70DE6947-D349-432B-AEA4-D876C37E271D}"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18B75AB-A6A8-4C84-A7D5-2ABF1B7542C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41D7264E-DFC4-43C0-B887-718963761CCB}"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EE1DB62-D659-40EA-9142-7E9F38FE10F9}" name="Table_SourceData_PastureBeef_Region_Tasmania" displayName="Table_SourceData_PastureBeef_Region_Tasmania" ref="S22:S23" totalsRowShown="0">
  <autoFilter ref="S22:S23" xr:uid="{4E5A7E40-F6AE-4323-873A-9AB20571A18A}">
    <filterColumn colId="0" hiddenButton="1"/>
  </autoFilter>
  <tableColumns count="1">
    <tableColumn id="1" xr3:uid="{5F684EC7-2701-4BF7-AF23-16951D8EDA37}"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E51123E-E9A4-48F8-992A-A3B8747CA2D2}" name="Table_SourceData_PastureBeef_Region_ACT" displayName="Table_SourceData_PastureBeef_Region_ACT" ref="S27:S28" totalsRowShown="0">
  <autoFilter ref="S27:S28" xr:uid="{3655B7FD-A2CC-4B05-9668-16F7A54ED6C1}">
    <filterColumn colId="0" hiddenButton="1"/>
  </autoFilter>
  <tableColumns count="1">
    <tableColumn id="1" xr3:uid="{457C3E68-B7A8-4EDD-B16C-A78377527841}"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ACE6623-B572-47FB-AA0D-DE981D8AC7C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91CAD1E-D7E6-44C6-AEA4-32CFD14CE686}" name="State">
      <calculatedColumnFormula array="1">Common_InputFunctions.Utility_DisplayArrayInTable(SourceData_PastureBeef.SourceData_PastureBeef_LiveweightGain_Data(), Table_SourceData_PastureBeef_LiveweightGain[[#Headers],[State]],0)</calculatedColumnFormula>
    </tableColumn>
    <tableColumn id="2" xr3:uid="{E576C03B-B7C0-40A2-B74B-0AE2BB18EE43}" name="Region" dataDxfId="4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00DB469A-04B6-4FB6-96D8-215BDDA42625}" name="Season" dataDxfId="4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895E503-6C30-4A69-A3D1-3E2E8A8E2F6B}" name="Bull &lt;1"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04E271BD-2FAF-45B7-8057-8935E3FB5224}" name="Bull &gt;1"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7A84225C-4DF3-4CE2-B213-3FF7C15B7AFE}" name="Cow &lt;1"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C3E50CE-0593-462A-880C-B6E9963709AE}" name="Cow 1-2"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144904F-1E34-4DBB-BA97-8E482B7C8A03}" name="Cow &gt;2" dataDxfId="4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E0D3438-2F0D-47D9-B52C-5DFBDD3688AF}" name="Steer &lt;1" dataDxfId="4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8B3534F5-688F-4AA7-8BC3-28E043C08905}" name="Steer &gt;1" dataDxfId="42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8EC474-6423-4587-A6D5-7975A753E122}"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7807DD-18EE-4509-AE36-1F1180FF093A}" name="State">
      <calculatedColumnFormula array="1">Common_InputFunctions.Utility_DisplayArrayInTable(SourceData_PastureBeef.SourceData_PastureBeef_LiveweightGainNTQLD_Data(),Table_SourceData_PastureBeef_LiveweightGainNTQLD[[#Headers],[State]],0)</calculatedColumnFormula>
    </tableColumn>
    <tableColumn id="2" xr3:uid="{228E0C92-340E-492B-AEA5-16B2F70A3133}" name="Region" dataDxfId="4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4DEC3FC-04E0-4DDD-84F0-14576296631F}" name="Season" dataDxfId="4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7B1C1974-DDF5-4493-8DD9-F515A7921C7B}" name="Bull &lt;1"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3D710E3F-F6E7-48EF-AD6D-5DD562D16EBC}" name="Bull &gt;1"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C057A18-2D55-4B75-A315-486AF1729313}" name="Cow &lt;1"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D049A50-9531-4933-B9D2-6E76A15B8659}" name="Cow 1-2"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0744F5FC-DCD4-4360-9FB4-196E57F54764}" name="Cow 2-3"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E237EA1E-D5F1-4BB6-8822-041AA8320BD7}" name="Cow &gt;3"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19DADB71-4222-40DD-B532-048CA1361916}" name="Steer &lt;1"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806101D8-3F9D-4B5D-A33F-8848E26A7A86}" name="Steer 1-2" dataDxfId="4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DF5E1B7-0F00-4579-91B9-945B3F4E8937}" name="Steer 2-3" dataDxfId="4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AE900B46-82ED-4CBC-8ADF-C965699FC4E9}" name="Steer &gt;3" dataDxfId="4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9FC3D65-31DC-433E-ABAF-CC6A64EBE59A}"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4901936-DEAA-4440-A904-0EBD39F63CA2}" name="State"/>
    <tableColumn id="2" xr3:uid="{DD76ED66-88F4-4214-ABC6-B92356D723EA}" name="Region">
      <calculatedColumnFormula>E159</calculatedColumnFormula>
    </tableColumn>
    <tableColumn id="3" xr3:uid="{47D8CB4A-54A4-421F-B427-B85098DCBDA1}" name="Season">
      <calculatedColumnFormula>F159</calculatedColumnFormula>
    </tableColumn>
    <tableColumn id="4" xr3:uid="{DF75B242-3C11-416E-BC6E-43920B1A4336}" name="Bulls &lt; 1 year">
      <calculatedColumnFormula>G159</calculatedColumnFormula>
    </tableColumn>
    <tableColumn id="5" xr3:uid="{693014FB-17BB-4FFB-8085-981C09C94411}" name="Bulls &gt; 1 year">
      <calculatedColumnFormula>H159</calculatedColumnFormula>
    </tableColumn>
    <tableColumn id="6" xr3:uid="{F916BF98-EB15-42E9-83E7-0B1960F420FF}" name="Cows &lt; 1 year">
      <calculatedColumnFormula>I159</calculatedColumnFormula>
    </tableColumn>
    <tableColumn id="7" xr3:uid="{0A9BCDB5-58D5-40FB-A322-3CE5AC391F5A}" name="Cows 1-2 years">
      <calculatedColumnFormula>J159</calculatedColumnFormula>
    </tableColumn>
    <tableColumn id="8" xr3:uid="{B4FBE345-D37F-45BB-BC31-A80AAE02981E}" name="Cows 2-3 years">
      <calculatedColumnFormula>K159</calculatedColumnFormula>
    </tableColumn>
    <tableColumn id="9" xr3:uid="{7CD130C8-B4A5-4DB9-9031-E7D6FF4E14CD}" name="Cows &gt; 3 years">
      <calculatedColumnFormula>L159</calculatedColumnFormula>
    </tableColumn>
    <tableColumn id="10" xr3:uid="{B06375A3-BF67-4641-8A50-390A162D17BB}" name="Steers &lt; 1 year">
      <calculatedColumnFormula>M159</calculatedColumnFormula>
    </tableColumn>
    <tableColumn id="11" xr3:uid="{DC7E0856-D973-4044-93DD-F9E776611BDF}" name="Steers 1-2 years">
      <calculatedColumnFormula>N159</calculatedColumnFormula>
    </tableColumn>
    <tableColumn id="12" xr3:uid="{992DFD91-4554-451B-ACD3-57349F2B72F8}" name="Steers 2-3 years">
      <calculatedColumnFormula>O159</calculatedColumnFormula>
    </tableColumn>
    <tableColumn id="13" xr3:uid="{E17248DF-7193-4CF5-8D16-61A06446E587}" name="Steers &gt;3 years">
      <calculatedColumnFormula>P159</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D1577A-FC84-4D3E-8AEB-E1E93FB7C12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9FE2A848-5969-445D-9959-252CD41BD958}"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DB30F593-8609-4C00-B10F-FA3E014C6001}" name="Region" dataDxfId="4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07D34ED8-7A5A-43E9-86EA-E46C4530DFD0}" name="Spring" dataDxfId="4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5DF659E-4DAC-4FD6-9B9A-F3D9272DD950}" name="Summer" dataDxfId="4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33D9CE84-9E76-4C30-9E7B-309002717659}" name="Autumn" dataDxfId="4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3DC4034E-E59D-4520-9390-210DA04F756E}" name="Winter" dataDxfId="4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34CC181-76C3-4141-8DCF-E2994AD6A76E}" name="Table_SourceData_PastureBeef_CrudeProtein" displayName="Table_SourceData_PastureBeef_CrudeProtein" ref="D313:I328" totalsRowShown="0" dataDxfId="40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ED553549-FC4A-4884-AC17-2BA25C3A06FC}" name="State" dataDxfId="4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6004AB6B-821A-4403-973F-F1BB7EC35210}" name="Region" dataDxfId="4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DF97D0B-E7C9-41EF-9C74-1A338FBE2A9B}" name="Spring"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460E9BA-A739-4721-927D-B01422D38286}" name="Summer" dataDxfId="4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88427DAE-36E2-4DB1-8B62-7F1C280EA466}" name="Autumn" dataDxfId="4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7FC9879B-35D7-4B18-81FA-1F7E2FF0441E}" name="Winter" dataDxfId="4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BB98CE-30CB-4805-8A82-E81061ABBBE8}"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2610950D-1883-4CD8-808E-142F9E99D419}"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2C824375-CD92-4DB1-A9A9-890E556BFC8C}" name="Season" dataDxfId="4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E75178F9-DDEF-4ABD-A7F0-32A58EA3E4BC}" name="Feed adjustment" dataDxfId="3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76EA06C5-E68E-47B9-95E0-2DF5C6A02CC7}" name="Milk intake/production" dataDxfId="3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EDD0522-4BA9-4EA5-938B-396E082F221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747013E-15C9-4B0C-A9DD-664DF999C612}"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3B1FDC86-358C-498C-8A18-71628B3DB09C}" name="Bulls &lt;1" dataDxfId="3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B7C4745A-4E10-4953-BF64-7496EB1B0687}" name="Bulls &gt;1" dataDxfId="3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C49ECBE3-A680-42FB-AFEC-1F5F56485430}" name="Cows &lt;1"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331ED0BD-53A0-4417-998E-E7509141A9F6}" name="Cows 1-2"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BD810EB3-DCEF-4385-B54E-0F97BB96FC8D}" name="Cows &gt;2"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648E7BD3-0EF3-4097-911A-85F50ECF0C8E}" name="Steer &lt;1" dataDxfId="3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B67358D-06D0-45EE-9801-906B4B86CD5A}" name="Steer &gt;1" dataDxfId="3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9E97DFD0-849E-405B-A827-8D83A8203470}" name="State abbreviation" dataDxfId="3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BDADCD2-6BAF-41D9-9259-3178A4BF0CEE}"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24616DA3-0A7C-42C1-BEFF-6798C8F928C0}" name="State" dataDxfId="389" dataCellStyle="Content normal">
      <calculatedColumnFormula>D351</calculatedColumnFormula>
    </tableColumn>
    <tableColumn id="2" xr3:uid="{9528D9DC-A193-4367-9F7D-ED4752F19593}" name="Bulls &lt; 1 year" dataDxfId="388" dataCellStyle="Content normal">
      <calculatedColumnFormula>E351</calculatedColumnFormula>
    </tableColumn>
    <tableColumn id="3" xr3:uid="{8B2A98EA-DA91-4188-8DA5-E56EB559B071}" name="Bulls &gt; 1 year" dataDxfId="387" dataCellStyle="Content normal">
      <calculatedColumnFormula>F351</calculatedColumnFormula>
    </tableColumn>
    <tableColumn id="4" xr3:uid="{3AEE4649-2580-4A6D-A79F-56002D73D1C4}" name="Cows &lt; 1 year" dataDxfId="386" dataCellStyle="Content normal">
      <calculatedColumnFormula>G351</calculatedColumnFormula>
    </tableColumn>
    <tableColumn id="5" xr3:uid="{A0F4EC9F-AECC-4174-9359-D01B0ECACAFD}" name="Cows 1-2 years" dataDxfId="385" dataCellStyle="Content normal">
      <calculatedColumnFormula>H351</calculatedColumnFormula>
    </tableColumn>
    <tableColumn id="6" xr3:uid="{B12B7328-C29E-43D9-87EE-2F9821C50A46}" name="Cows 2-3 years" dataDxfId="384" dataCellStyle="Content normal">
      <calculatedColumnFormula>I351</calculatedColumnFormula>
    </tableColumn>
    <tableColumn id="7" xr3:uid="{49517363-B961-4E45-8267-77B222DF4923}" name="Cows &gt; 3 years" dataDxfId="383" dataCellStyle="Content normal">
      <calculatedColumnFormula>I351</calculatedColumnFormula>
    </tableColumn>
    <tableColumn id="8" xr3:uid="{46F330EF-7D7E-4787-AC4F-26F06FBD7D4A}" name="Steers &lt; 1 year" dataDxfId="382" dataCellStyle="Content normal">
      <calculatedColumnFormula>J351</calculatedColumnFormula>
    </tableColumn>
    <tableColumn id="9" xr3:uid="{48C06D2D-7E52-4050-AE80-BC8058FDD61A}" name="Steers 1-2 years" dataDxfId="381" dataCellStyle="Content normal">
      <calculatedColumnFormula>K351</calculatedColumnFormula>
    </tableColumn>
    <tableColumn id="10" xr3:uid="{61ABB80A-56DA-4EB9-92AB-42F75F41799D}" name="Steers 2-3 years" dataDxfId="380" dataCellStyle="Content normal">
      <calculatedColumnFormula>K351</calculatedColumnFormula>
    </tableColumn>
    <tableColumn id="11" xr3:uid="{858802EC-0E77-492D-8CF5-5FFF99331230}" name="Steers &gt;3 years" dataDxfId="379" dataCellStyle="Content normal">
      <calculatedColumnFormula>K351</calculatedColumnFormula>
    </tableColumn>
    <tableColumn id="12" xr3:uid="{D0A8E073-0A6B-4BA2-B413-9B16CA93CD8E}" name="State abbreviation" dataDxfId="378" dataCellStyle="Content normal">
      <calculatedColumnFormula>L351</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D95688B-9D44-467E-B15F-A092B8EB390A}"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0ABAA862-C476-417D-8150-7647940FCE67}"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0E23524-C2D4-494A-9796-7481A7C3ED1C}" name="Region" dataDxfId="3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497F30E7-C80C-435C-ACED-2262285546FB}" name="Pasture range and paddock" dataDxfId="3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A15C9D8F-46B8-477A-BFE7-AB94C94F4959}" name="Uncovered Anaerobic lagoon" dataDxfId="3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6C63BD8-A933-408B-8EA4-DD3618FCABFD}" name="Table_SourceData_PastureBeef_MethaneConversionFactor" displayName="Table_SourceData_PastureBeef_MethaneConversionFactor" ref="D400:G415" totalsRowShown="0" dataDxfId="37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135065D5-2CDE-4AA6-8CAE-007DEF2A04DF}" name="State" dataDxfId="3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CE5941C8-9260-4835-931D-BFD641468F1C}" name="Region" dataDxfId="3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2A493483-B3B9-433E-9065-E9F6DF40C163}" name="Pasture range and paddock" dataDxfId="3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50E3555-9536-4D8C-84EA-0FDFFB62A70E}" name="Uncovered Anaerobic lagoon" dataDxfId="3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DA261BC-E346-49A4-A7CE-6C85DB1BA9EB}"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92D7D0B1-0603-43A2-AB1D-1C3F7213ABAE}"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010D773F-B63F-47F9-BBD4-1C39524E4D1B}" name="Season" dataDxfId="3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8E7D8B42-E4AF-4374-96D3-935C619DFBC6}" name="Feed adjustment" dataDxfId="3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0C7EB6C-8C50-4405-8EB6-F9256315B3F2}" name="Milk intake/production" dataDxfId="3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E6EB5B1-FD67-4BAD-B6DF-1D9BBDAAAA7E}" name="Table_LivestockClasses_Beefcattle" displayName="Table_LivestockClasses_Beefcattle" ref="O18:O28" totalsRowShown="0">
  <autoFilter ref="O18:O28" xr:uid="{96840E84-168C-4D51-8D9B-9C727DE4F3B7}">
    <filterColumn colId="0" hiddenButton="1"/>
  </autoFilter>
  <tableColumns count="1">
    <tableColumn id="1" xr3:uid="{1CCCD031-772A-41ED-BF6D-71F2051AE81A}" name="Livestock class"/>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67DDC6A-9A98-482C-B6F2-CE757279E0C3}"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827F2515-FA51-4DEB-A237-33A6D386E460}" name="Region"/>
    <tableColumn id="2" xr3:uid="{4D8D603B-0DC2-4BB6-A236-CE25C70D82BA}" name="Scope3 regio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936012D-B036-4416-B353-06930F89159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E00D2057-B6F8-4B8B-8B97-ED28517DF790}" name="Category" dataDxfId="366" dataCellStyle="Content normal">
      <calculatedColumnFormula array="1">Common_InputFunctions.Utility_DisplayArrayInTable(Scope3_SourceData.Scope3_Livestock_Data(), Table_SourceData_Scope3_Animals[[#Headers],[Category]], 0, 2)</calculatedColumnFormula>
    </tableColumn>
    <tableColumn id="2" xr3:uid="{42E93B31-173E-41A2-A733-255DA68611C9}" name="Product" dataDxfId="365" dataCellStyle="Content normal">
      <calculatedColumnFormula array="1">Common_InputFunctions.Utility_DisplayArrayInTable(Scope3_SourceData.Scope3_Livestock_Data(), Table_SourceData_Scope3_Animals[[#Headers],[Category]], 0, 2)</calculatedColumnFormula>
    </tableColumn>
    <tableColumn id="3" xr3:uid="{59E3B30E-FDF4-49CD-9949-42417CEE99D9}" name="Region of origin" dataDxfId="364" dataCellStyle="Content normal">
      <calculatedColumnFormula array="1">Common_InputFunctions.Utility_DisplayArrayInTable(Scope3_SourceData.Scope3_Livestock_Data(), Table_SourceData_Scope3_Animals[[#Headers],[Category]], 0, 2)</calculatedColumnFormula>
    </tableColumn>
    <tableColumn id="8" xr3:uid="{6812BAD6-96A5-4A9C-914B-0356F6B74BB8}" name="Quantity Unit" dataDxfId="363" dataCellStyle="Content normal">
      <calculatedColumnFormula array="1">Common_InputFunctions.Utility_DisplayArrayInTable(Scope3_SourceData.Scope3_Livestock_Data(), Table_SourceData_Scope3_Animals[[#Headers],[Category]], 0, 2)</calculatedColumnFormula>
    </tableColumn>
    <tableColumn id="9" xr3:uid="{42F76EFC-8A77-4131-8735-F7EE2C5FABEE}" name="AusLCI Emissions intensity" dataDxfId="362" dataCellStyle="Content normal">
      <calculatedColumnFormula array="1">Common_InputFunctions.Utility_DisplayArrayInTable(Scope3_SourceData.Scope3_Livestock_Data(), Table_SourceData_Scope3_Animals[[#Headers],[Category]], 0, 2)</calculatedColumnFormula>
    </tableColumn>
    <tableColumn id="10" xr3:uid="{36C6CF1D-93A2-4AD4-9B80-E1466B8B96C5}" name="System boundary" dataDxfId="36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742FAA00-4D0C-4607-9E14-E54347CF1377}"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5711F44-1221-4C98-9272-C9D62516231B}" name="Crop type">
      <calculatedColumnFormula array="1">Common_InputFunctions.Utility_DisplayArrayInTable(Agresidue_SourceData.CropAttributes_Data(),Table_SourceData_CropAttributes[[#Headers],[Crop type]], -1)</calculatedColumnFormula>
    </tableColumn>
    <tableColumn id="2" xr3:uid="{83817D41-2D10-4039-A204-9BAE04490B84}" name="Residue: Crop ratio">
      <calculatedColumnFormula array="1">Common_InputFunctions.Utility_DisplayArrayInTable(Agresidue_SourceData.CropAttributes_Data(),Table_SourceData_CropAttributes[[#Headers],[Crop type]], -1)</calculatedColumnFormula>
    </tableColumn>
    <tableColumn id="3" xr3:uid="{BB7AAE09-C150-4BC1-BCC7-8D4AB7E94DD3}" name="Below-ground: above-ground residue ratio">
      <calculatedColumnFormula array="1">Common_InputFunctions.Utility_DisplayArrayInTable(Agresidue_SourceData.CropAttributes_Data(),Table_SourceData_CropAttributes[[#Headers],[Crop type]], -1)</calculatedColumnFormula>
    </tableColumn>
    <tableColumn id="4" xr3:uid="{213784B6-0D84-4D9B-8E4B-F3645C722C70}" name="Dry matter content">
      <calculatedColumnFormula array="1">Common_InputFunctions.Utility_DisplayArrayInTable(Agresidue_SourceData.CropAttributes_Data(),Table_SourceData_CropAttributes[[#Headers],[Crop type]], -1)</calculatedColumnFormula>
    </tableColumn>
    <tableColumn id="5" xr3:uid="{4F2831A5-256D-41AF-941D-897B5651A2B9}" name="Carbon fraction in dry matter">
      <calculatedColumnFormula array="1">Common_InputFunctions.Utility_DisplayArrayInTable(Agresidue_SourceData.CropAttributes_Data(),Table_SourceData_CropAttributes[[#Headers],[Crop type]], -1)</calculatedColumnFormula>
    </tableColumn>
    <tableColumn id="6" xr3:uid="{B5B51633-A289-4170-B940-215209DE19C0}" name="N content above-ground">
      <calculatedColumnFormula array="1">Common_InputFunctions.Utility_DisplayArrayInTable(Agresidue_SourceData.CropAttributes_Data(),Table_SourceData_CropAttributes[[#Headers],[Crop type]], -1)</calculatedColumnFormula>
    </tableColumn>
    <tableColumn id="7" xr3:uid="{669851A4-CE7B-4718-8101-995C03C5CAC0}" name="N content below-ground">
      <calculatedColumnFormula array="1">Common_InputFunctions.Utility_DisplayArrayInTable(Agresidue_SourceData.CropAttributes_Data(),Table_SourceData_CropAttributes[[#Headers],[Crop type]], -1)</calculatedColumnFormula>
    </tableColumn>
    <tableColumn id="8" xr3:uid="{1548EF61-E35B-419A-9818-7176C7FB02B3}"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AAD7D385-9F4B-4B83-A423-8C0C18B02EF1}"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A2371B78-0E64-4AF9-AB57-FD141F8946A6}" name="Table76" displayName="Table76" ref="D73:F89" totalsRowShown="0">
  <autoFilter ref="D73:F89" xr:uid="{7CD0B032-9881-4EF1-81E3-483C7C16D9D0}">
    <filterColumn colId="0" hiddenButton="1"/>
    <filterColumn colId="1" hiddenButton="1"/>
    <filterColumn colId="2" hiddenButton="1"/>
  </autoFilter>
  <tableColumns count="3">
    <tableColumn id="1" xr3:uid="{D0EE1EC4-066A-46F0-B8AA-2E318E1A269A}" name="Crop type c">
      <calculatedColumnFormula array="1">Common_InputFunctions.Utility_DisplayArrayInTable(Agresidue_SourceData.CropFractionRemoved_Data(), Table76[[#Headers],[Crop type c]], 0)</calculatedColumnFormula>
    </tableColumn>
    <tableColumn id="2" xr3:uid="{A990189D-7EC4-47CC-A4C5-CEA6B76C7242}" name="State" dataDxfId="360">
      <calculatedColumnFormula array="1">Common_InputFunctions.Utility_DisplayArrayInTable(Agresidue_SourceData.CropFractionRemoved_Data(), Table76[[#Headers],[Crop type c]], 0)</calculatedColumnFormula>
    </tableColumn>
    <tableColumn id="3" xr3:uid="{DC1EFD89-F2FA-4C50-B974-A30F6B39A0DF}" name="Fraction removed" dataDxfId="35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8EA7AA8-9780-4918-B2E1-BC6AE0E474CE}" name="Table77" displayName="Table77" ref="D92:F235" totalsRowShown="0">
  <autoFilter ref="D92:F235" xr:uid="{1FA7CC86-1C1E-41FA-9AA1-AAD48AA2EEF0}">
    <filterColumn colId="0" hiddenButton="1"/>
    <filterColumn colId="1" hiddenButton="1"/>
    <filterColumn colId="2" hiddenButton="1"/>
  </autoFilter>
  <tableColumns count="3">
    <tableColumn id="1" xr3:uid="{B2408B64-F47B-4922-B4E1-6D7148846A1B}" name="Crop type c">
      <calculatedColumnFormula array="1">Common_InputFunctions.Utility_DisplayArrayInTable(Agresidue_SourceData.CropFractionRemoved_CustomisedData(), Table77[[#Headers],[Crop type c]], 0)</calculatedColumnFormula>
    </tableColumn>
    <tableColumn id="2" xr3:uid="{E0D5915F-4D87-4058-9E84-01B76E388B4F}" name="State" dataDxfId="358">
      <calculatedColumnFormula array="1">Common_InputFunctions.Utility_DisplayArrayInTable(Agresidue_SourceData.CropFractionRemoved_CustomisedData(), Table77[[#Headers],[Crop type c]], 0)</calculatedColumnFormula>
    </tableColumn>
    <tableColumn id="3" xr3:uid="{CED0A276-A8EA-47CD-8786-D8A54620C2E9}" name="Fraction removed" dataDxfId="35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131EC460-EF06-492D-A858-5EB4AEF4A0AC}" name="Table_SourceData_N2OEFOrganicFert" displayName="Table_SourceData_N2OEFOrganicFert" ref="D43:E45" totalsRowShown="0" dataDxfId="356" dataCellStyle="Content bold">
  <autoFilter ref="D43:E45" xr:uid="{2270AB6D-D03A-4D71-95C0-00BA6BB02732}">
    <filterColumn colId="0" hiddenButton="1"/>
    <filterColumn colId="1" hiddenButton="1"/>
  </autoFilter>
  <tableColumns count="2">
    <tableColumn id="1" xr3:uid="{59DA16C1-83A7-40CE-8682-66AB91F6BF32}" name="Climate zone type i" dataDxfId="355" dataCellStyle="Content bold">
      <calculatedColumnFormula array="1">Common_InputFunctions.Utility_DisplayArrayInTable(Agresidue_SourceData.N2OEFOrganicFertiliser_Data(), Table_SourceData_N2OEFOrganicFert[[#Headers],[Climate zone type i]], 0)</calculatedColumnFormula>
    </tableColumn>
    <tableColumn id="2" xr3:uid="{7DCE1CA2-BF2F-477E-8D85-A1BD525A99A7}" name="EF i N2O" dataDxfId="35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EE493961-F3F0-405A-A854-0006936B5075}" name="Table_SourceData_PastureAttributes" displayName="Table_SourceData_PastureAttributes" ref="D51:I56" totalsRowShown="0" dataDxfId="35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E668D3D6-40F9-44A0-842B-BD8C8CCA7283}" name="Pasture type" dataDxfId="352" dataCellStyle="Content normal">
      <calculatedColumnFormula array="1">Common_InputFunctions.Utility_DisplayArrayInTable(Agresidue_SourceData.PastureAttributes_Data(), Table_SourceData_PastureAttributes[[#Headers],[Pasture type]], 0)</calculatedColumnFormula>
    </tableColumn>
    <tableColumn id="2" xr3:uid="{5ED0C3F4-8746-48B4-BF2F-4D03D4BA3A44}" name="Average Yield (t DM ha) Yp" dataDxfId="351" dataCellStyle="Content normal">
      <calculatedColumnFormula array="1">Common_InputFunctions.Utility_DisplayArrayInTable(Agresidue_SourceData.PastureAttributes_Data(), Table_SourceData_PastureAttributes[[#Headers],[Pasture type]], 0)</calculatedColumnFormula>
    </tableColumn>
    <tableColumn id="3" xr3:uid="{3AC3271B-C6CD-4DDB-9C37-B26617E15D09}" name="Below-ground: above-ground residue ratio RBGp" dataDxfId="350" dataCellStyle="Content normal">
      <calculatedColumnFormula array="1">Common_InputFunctions.Utility_DisplayArrayInTable(Agresidue_SourceData.PastureAttributes_Data(), Table_SourceData_PastureAttributes[[#Headers],[Pasture type]], 0)</calculatedColumnFormula>
    </tableColumn>
    <tableColumn id="4" xr3:uid="{4BFE03A7-529A-4BB1-BF6B-8A6FB95A3B6F}" name="N content Above-ground NCAGp" dataDxfId="349" dataCellStyle="Content normal">
      <calculatedColumnFormula array="1">Common_InputFunctions.Utility_DisplayArrayInTable(Agresidue_SourceData.PastureAttributes_Data(), Table_SourceData_PastureAttributes[[#Headers],[Pasture type]], 0)</calculatedColumnFormula>
    </tableColumn>
    <tableColumn id="5" xr3:uid="{51655E64-DEDB-4FD8-9746-8F677DD3FA1B}" name="N content Below-ground NCBGp" dataDxfId="348" dataCellStyle="Content normal">
      <calculatedColumnFormula array="1">Common_InputFunctions.Utility_DisplayArrayInTable(Agresidue_SourceData.PastureAttributes_Data(), Table_SourceData_PastureAttributes[[#Headers],[Pasture type]], 0)</calculatedColumnFormula>
    </tableColumn>
    <tableColumn id="6" xr3:uid="{78E487A1-E064-4043-81CD-266574F6C664}" name="Fraction of pasture yield that is removed FFODp" dataDxfId="34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DD13650-F7A5-41A9-96E2-250CE5881E8C}"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B7B4F858-7A26-4D71-930B-8833B309F178}" name="Gas species">
      <calculatedColumnFormula array="1">Common_InputFunctions.Utility_DisplayArrayInTable(AgResidues_SourceData.BurningOfAgriculturalResiduesEFs_Data(), Table_SourceData_BurningResidueEFs[[#Headers],[Gas species]], 0)</calculatedColumnFormula>
    </tableColumn>
    <tableColumn id="2" xr3:uid="{4EE286D2-781A-48F8-B09F-C73617B21D82}" name="Emission factor EFg (Gg element in species/ Gg element in fuel burnt)" dataDxfId="346" dataCellStyle="Content normal">
      <calculatedColumnFormula array="1">Common_InputFunctions.Utility_DisplayArrayInTable(AgResidues_SourceData.BurningOfAgriculturalResiduesEFs_Data(), Table_SourceData_BurningResidueEFs[[#Headers],[Gas species]], 0)</calculatedColumnFormula>
    </tableColumn>
    <tableColumn id="3" xr3:uid="{C5A3140B-5114-4E78-A175-0FF71ECA965D}" name="Elemental to molecular mass conversion factor (Cg)" dataDxfId="34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382BD36-205A-4664-A00C-E1CDBCC751B1}" name="Table_SourceData_CropPurposeAndYields" displayName="Table_SourceData_CropPurposeAndYields" ref="D7:K10" totalsRowShown="0" headerRowDxfId="34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A93AB16-0FBA-4FFA-AA06-AB87538BEBBD}" name="Purpose">
      <calculatedColumnFormula array="1">Common_InputFunctions.Utility_DisplayArrayInTable(Agresidue_SourceData.CropPurposeAndYield_Data(), Table_SourceData_CropPurposeAndYields[[#Headers],[Purpose]], 0)</calculatedColumnFormula>
    </tableColumn>
    <tableColumn id="2" xr3:uid="{C677C0EA-4777-461E-B97F-FB96B6F0BCE9}" name="Per hectare unit">
      <calculatedColumnFormula array="1">Common_InputFunctions.Utility_DisplayArrayInTable(Agresidue_SourceData.CropPurposeAndYield_Data(), Table_SourceData_CropPurposeAndYields[[#Headers],[Purpose]], 0)</calculatedColumnFormula>
    </tableColumn>
    <tableColumn id="3" xr3:uid="{E7AE60B8-6C7B-4D31-A998-F8DF7428F340}" name="harvest term">
      <calculatedColumnFormula array="1">Common_InputFunctions.Utility_DisplayArrayInTable(Agresidue_SourceData.CropPurposeAndYield_Data(), Table_SourceData_CropPurposeAndYields[[#Headers],[Purpose]], 0)</calculatedColumnFormula>
    </tableColumn>
    <tableColumn id="4" xr3:uid="{50159E23-6307-40D1-9994-5A98AAE58D5A}" name="harvest endpoint">
      <calculatedColumnFormula array="1">Common_InputFunctions.Utility_DisplayArrayInTable(Agresidue_SourceData.CropPurposeAndYield_Data(), Table_SourceData_CropPurposeAndYields[[#Headers],[Purpose]], 0)</calculatedColumnFormula>
    </tableColumn>
    <tableColumn id="5" xr3:uid="{CC271AE5-DF1D-42C2-80D7-F2276F1FAB91}" name="Harvest uit">
      <calculatedColumnFormula array="1">Common_InputFunctions.Utility_DisplayArrayInTable(Agresidue_SourceData.CropPurposeAndYield_Data(), Table_SourceData_CropPurposeAndYields[[#Headers],[Purpose]], 0)</calculatedColumnFormula>
    </tableColumn>
    <tableColumn id="6" xr3:uid="{14F06669-D999-4CD1-9303-DB7D3FAF72CF}" name="Yield note">
      <calculatedColumnFormula array="1">Common_InputFunctions.Utility_DisplayArrayInTable(Agresidue_SourceData.CropPurposeAndYield_Data(), Table_SourceData_CropPurposeAndYields[[#Headers],[Purpose]], 0)</calculatedColumnFormula>
    </tableColumn>
    <tableColumn id="8" xr3:uid="{95028F75-28B7-4C76-B35F-EB34A82225A5}" name="Residue crop ratio note">
      <calculatedColumnFormula array="1">Common_InputFunctions.Utility_DisplayArrayInTable(Agresidue_SourceData.CropPurposeAndYield_Data(), Table_SourceData_CropPurposeAndYields[[#Headers],[Purpose]], 0)</calculatedColumnFormula>
    </tableColumn>
    <tableColumn id="9" xr3:uid="{FB26F04F-664E-4AAF-9508-57CD9221CC53}"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339A669C-A3F0-41FD-A2BA-4A4CA312C53D}" name="Table_SourceData_Fertiliser_IrrigationMethods88" displayName="Table_SourceData_Fertiliser_IrrigationMethods88" ref="N21:N26" totalsRowShown="0">
  <autoFilter ref="N21:N26" xr:uid="{1AC5909E-E06C-4A79-81E9-C25A0B6D9E90}">
    <filterColumn colId="0" hiddenButton="1"/>
  </autoFilter>
  <tableColumns count="1">
    <tableColumn id="1" xr3:uid="{D6F9A484-8385-4926-ABF8-00AD6CD13E01}" name="Irrigation method"/>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F8F45A0D-2021-408F-B35B-3100A2E0F20A}"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A8BDCCCF-F073-479B-8E53-60F4FAED64C1}" name="Symbol">
      <calculatedColumnFormula array="1">Common_InputFunctions.Utility_DisplayArrayInTable(CommonLivestock_SourceData.SourceData_Livestock_Common_SymbolsMMS_Data(), Table_Data_MMSSymbols[[#Headers],[Symbol]], 0)</calculatedColumnFormula>
    </tableColumn>
    <tableColumn id="2" xr3:uid="{4A6A41DE-0E9B-4E38-8439-B1A43E2CD5A9}" name="Manure management system">
      <calculatedColumnFormula array="1">Common_InputFunctions.Utility_DisplayArrayInTable(CommonLivestock_SourceData.SourceData_Livestock_Common_SymbolsMMS_Data(), Table_Data_MMSSymbols[[#Headers],[Symbol]], 0)</calculatedColumnFormula>
    </tableColumn>
    <tableColumn id="3" xr3:uid="{43B3CBDA-A5F9-4167-A8C0-30CEC0F514F2}"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F8494ECB-5F1D-4328-9F13-7467FE847946}" name="Table_SourceData_LivestockProduct_Beefcattle" displayName="Table_SourceData_LivestockProduct_Beefcattle" ref="D31:E39" totalsRowShown="0">
  <autoFilter ref="D31:E39" xr:uid="{A0696731-6602-481C-9AD7-5F0AC3A93169}"/>
  <tableColumns count="2">
    <tableColumn id="1" xr3:uid="{0C1AD7EE-34DE-43D1-BFBA-B2DC2DBB7452}" name="Product">
      <calculatedColumnFormula array="1">Common_InputFunctions.Utility_DisplayArrayInTable(CommonLivestock_SourceData.SourceData_Livestock_Product_BeefCattle_Data(),Table_SourceData_LivestockProduct_Beefcattle[[#Headers],[Product]],0)</calculatedColumnFormula>
    </tableColumn>
    <tableColumn id="2" xr3:uid="{CAF207EB-88B1-49AF-80D1-2790D5218F68}" name="Source region" dataDxfId="34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B2D04AB2-7950-4D18-94A8-4CE720C78F7E}" name="Table_SourceData_LivestockProduct_Sheep" displayName="Table_SourceData_LivestockProduct_Sheep" ref="D43:E50" totalsRowShown="0" dataDxfId="342" dataCellStyle="Content normal">
  <autoFilter ref="D43:E50" xr:uid="{F711E95C-01C8-48A7-BB52-9F827483965C}"/>
  <tableColumns count="2">
    <tableColumn id="1" xr3:uid="{F4578365-AB4A-48A0-A315-5213232D7585}" name="Product" dataDxfId="34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AD3094BA-C42B-435A-82FA-B4023ACF9F29}" name="Source region" dataDxfId="34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3808AF89-3129-43C2-A807-AE9A1C6442A2}" name="Table_SourceData_LivestockProduct_Chickens" displayName="Table_SourceData_LivestockProduct_Chickens" ref="D54:E55" totalsRowShown="0" dataDxfId="339" dataCellStyle="Content normal">
  <autoFilter ref="D54:E55" xr:uid="{2A75A840-CA11-4C7B-8899-C3A821D14E27}"/>
  <tableColumns count="2">
    <tableColumn id="1" xr3:uid="{A3914DD0-8A54-4B7E-A906-16D4EB1FB28A}" name="Product" dataDxfId="33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A5C9B53B-5F71-41F0-8A1F-0EBC8483B0CA}" name="Source region" dataDxfId="33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EFDAD36E-7142-45C8-B8F2-2557EE3C0760}" name="Table_SourceData_LivestockProduct_Dairycattle" displayName="Table_SourceData_LivestockProduct_Dairycattle" ref="D59:E60" totalsRowShown="0" dataDxfId="336" dataCellStyle="Content normal">
  <autoFilter ref="D59:E60" xr:uid="{2D888E1E-7753-4DC0-B298-BEAC22F6BD88}"/>
  <tableColumns count="2">
    <tableColumn id="1" xr3:uid="{B6D52D2E-C5B9-47CC-8F67-E29B42D6DB98}" name="Product" dataDxfId="3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68C8D0C3-9D25-4488-A281-C51F9E4412DC}" name="Source region" dataDxfId="33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1CA5913-7F38-4951-9930-EF16FDAACE4A}" name="Table_SourceData_LivestockProduct_Pigs" displayName="Table_SourceData_LivestockProduct_Pigs" ref="D64:E65" totalsRowShown="0" dataDxfId="333" dataCellStyle="Content normal">
  <autoFilter ref="D64:E65" xr:uid="{4DB6C08B-3AF7-4AD1-AB80-46559AA7950B}"/>
  <tableColumns count="2">
    <tableColumn id="1" xr3:uid="{254FF752-541F-40D0-A414-F0731088B9AD}" name="Product" dataDxfId="33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7051B31-0F02-4A7A-B126-E149414F38DF}" name="Source region" dataDxfId="33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7E379CE3-FA10-4C62-8C6C-672221EAC5F5}" name="Table_SourceData_ElectricityEFs" displayName="Table_SourceData_ElectricityEFs" ref="D9:F19" totalsRowShown="0" headerRowDxfId="330">
  <autoFilter ref="D9:F19" xr:uid="{3144A982-7A4D-4CF2-8790-1A30DAE3E0A4}">
    <filterColumn colId="0" hiddenButton="1"/>
    <filterColumn colId="1" hiddenButton="1"/>
    <filterColumn colId="2" hiddenButton="1"/>
  </autoFilter>
  <tableColumns count="3">
    <tableColumn id="1" xr3:uid="{B068BE3B-4A6F-45EF-AA86-D7ACC915AE4A}"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334A5989-8058-4121-BD42-FD874DE77D0F}"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19D0B6E-C99C-463C-A5E7-03C12194399F}"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A3D9C2AF-539F-4166-8413-0DB9721C2F4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5CD94230-3C8D-4DB1-A4F5-5EA5D1E1EC10}"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FB0D6C6A-902D-48AD-B554-9AE30AFA7DCC}"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CBF23FC-BD37-4A16-BA7E-1F4B3629A8F5}"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702BC3D7-281D-4B82-A61E-71C5CA2440C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AD1B3F3-7D27-4304-8199-05DE647564A0}"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8857E971-AA76-4162-ADF3-2257F075910B}"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702945D0-58EF-4D03-9405-571B46FAB339}"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BFC9CD0-1E7A-4F9A-BD7E-CE9A591BF687}" name="FNinorganic f">
      <calculatedColumnFormula array="1">Common_InputFunctions.Utility_DisplayArrayInTable(Fertiliser_SourceData.Fertiliser_ChemicalCompoundElements_Data(),Table_Fertiliser_ChemicalCompounds[[#Headers],[Fertiliser type f]], 0)</calculatedColumnFormula>
    </tableColumn>
    <tableColumn id="3" xr3:uid="{80B6F385-A39A-4E7F-8A4B-C39AD5C2C8AD}" name="FU f">
      <calculatedColumnFormula array="1">Common_InputFunctions.Utility_DisplayArrayInTable(Fertiliser_SourceData.Fertiliser_ChemicalCompoundElements_Data(),Table_Fertiliser_ChemicalCompounds[[#Headers],[Fertiliser type f]], 0)</calculatedColumnFormula>
    </tableColumn>
    <tableColumn id="4" xr3:uid="{E8AEFA0D-1288-4A67-90CE-5EB1BA62B121}" name="Basis">
      <calculatedColumnFormula array="1">Common_InputFunctions.Utility_DisplayArrayInTable(Fertiliser_SourceData.Fertiliser_ChemicalCompoundElements_Data(),Table_Fertiliser_ChemicalCompounds[[#Headers],[Fertiliser type f]], 0)</calculatedColumnFormula>
    </tableColumn>
    <tableColumn id="5" xr3:uid="{338A96A4-14AB-4FD2-B010-1C842C5EA4A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FE9823F-383A-4F7A-AA27-D23F21B3BE2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2A79021F-0234-414F-98D2-61D7CB3EED8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ED1C8176-730D-4833-90C9-3F5A91927B52}" name="Include or Exclude" dataDxfId="329" totalsRowDxfId="328">
      <calculatedColumnFormula array="1">Common_InputFunctions.Utility_DisplayArrayInTable(Fertiliser_SourceData.Fertiliser_Products_Data1(),FertiliserProducts[[#Headers],[Include or Exclude]], -1)</calculatedColumnFormula>
    </tableColumn>
    <tableColumn id="2" xr3:uid="{9E653AA8-6F4D-448C-BBA8-F90157F36C90}" name="Notes" dataDxfId="327" totalsRowDxfId="326">
      <calculatedColumnFormula array="1">Common_InputFunctions.Utility_DisplayArrayInTable(Fertiliser_SourceData.Fertiliser_Products_Data1(),FertiliserProducts[[#Headers],[Include or Exclude]], 0)</calculatedColumnFormula>
    </tableColumn>
    <tableColumn id="3" xr3:uid="{B0170FAE-0BA7-4B6D-91CE-12F15126DD54}" name="Company" dataDxfId="325" totalsRowDxfId="324">
      <calculatedColumnFormula array="1">Common_InputFunctions.Utility_DisplayArrayInTable(Fertiliser_SourceData.Fertiliser_Products_Data1(),FertiliserProducts[[#Headers],[Include or Exclude]], 0)</calculatedColumnFormula>
    </tableColumn>
    <tableColumn id="4" xr3:uid="{5249ED1E-BFC8-4E8F-9F84-6D03C5010944}" name="Product name" dataDxfId="323" totalsRowDxfId="322">
      <calculatedColumnFormula array="1">Common_InputFunctions.Utility_DisplayArrayInTable(Fertiliser_SourceData.Fertiliser_Products_Data1(),FertiliserProducts[[#Headers],[Include or Exclude]], 0)</calculatedColumnFormula>
    </tableColumn>
    <tableColumn id="5" xr3:uid="{0AF9C25F-85B7-4EA2-956A-62B8040BA65C}" name="Unit" dataDxfId="321" totalsRowDxfId="320">
      <calculatedColumnFormula array="1">Common_InputFunctions.Utility_DisplayArrayInTable(Fertiliser_SourceData.Fertiliser_Products_Data1(),FertiliserProducts[[#Headers],[Include or Exclude]], 0,4)</calculatedColumnFormula>
    </tableColumn>
    <tableColumn id="6" xr3:uid="{FD8C3D59-5EB4-4F2B-BE5A-82444E5A9C4C}" name="Density / gravity" dataDxfId="319" totalsRowDxfId="318">
      <calculatedColumnFormula array="1">Common_InputFunctions.Utility_DisplayArrayInTable(Fertiliser_SourceData.Fertiliser_Products_Data1(),FertiliserProducts[[#Headers],[Include or Exclude]], 0,4)</calculatedColumnFormula>
    </tableColumn>
    <tableColumn id="7" xr3:uid="{8B28FA10-9EA7-4961-B934-97CD2A626A79}" name="Urea source" dataDxfId="317" totalsRowDxfId="316">
      <calculatedColumnFormula array="1">Common_InputFunctions.Utility_DisplayArrayInTable(Fertiliser_SourceData.Fertiliser_Products_Data1(),FertiliserProducts[[#Headers],[Include or Exclude]], 0,4)</calculatedColumnFormula>
    </tableColumn>
    <tableColumn id="8" xr3:uid="{7E125C19-2BB4-4461-9C09-D3D0137FF192}" name="Ammonia source" dataDxfId="315" totalsRowDxfId="314">
      <calculatedColumnFormula array="1">Common_InputFunctions.Utility_DisplayArrayInTable(Fertiliser_SourceData.Fertiliser_Products_Data1(),FertiliserProducts[[#Headers],[Include or Exclude]], 0,4)</calculatedColumnFormula>
    </tableColumn>
    <tableColumn id="9" xr3:uid="{D58191E5-44DE-4F18-A676-39ED30ACD3E1}" name="Ingredient 1" dataDxfId="313" totalsRowDxfId="312">
      <calculatedColumnFormula array="1">Common_InputFunctions.Utility_DisplayArrayInTable(Fertiliser_SourceData.Fertiliser_Products_Data1(),FertiliserProducts[[#Headers],[Include or Exclude]], 0,4)</calculatedColumnFormula>
    </tableColumn>
    <tableColumn id="10" xr3:uid="{2578A51B-6144-43C6-A036-A8E91EDC41BB}" name="Ingredient 1 percent" dataDxfId="311" totalsRowDxfId="310">
      <calculatedColumnFormula array="1">Common_InputFunctions.Utility_DisplayArrayInTable(Fertiliser_SourceData.Fertiliser_Products_Data1(),FertiliserProducts[[#Headers],[Include or Exclude]], 0,4)</calculatedColumnFormula>
    </tableColumn>
    <tableColumn id="11" xr3:uid="{925D48C5-E693-437F-8974-BF19B0510B82}" name="Ingredient 2" dataDxfId="309" totalsRowDxfId="308">
      <calculatedColumnFormula array="1">Common_InputFunctions.Utility_DisplayArrayInTable(Fertiliser_SourceData.Fertiliser_Products_Data1(),FertiliserProducts[[#Headers],[Include or Exclude]], 0,4)</calculatedColumnFormula>
    </tableColumn>
    <tableColumn id="12" xr3:uid="{75340E0C-4452-4F2F-9353-0315C4619B25}" name="Ingredient 2 percent" dataDxfId="307" totalsRowDxfId="306">
      <calculatedColumnFormula array="1">Common_InputFunctions.Utility_DisplayArrayInTable(Fertiliser_SourceData.Fertiliser_Products_Data1(),FertiliserProducts[[#Headers],[Include or Exclude]], 0,4)</calculatedColumnFormula>
    </tableColumn>
    <tableColumn id="13" xr3:uid="{2E2D88EC-CA74-4F8B-B97A-5FF696A701F8}" name="Ingredient 3" dataDxfId="305" totalsRowDxfId="304">
      <calculatedColumnFormula array="1">Common_InputFunctions.Utility_DisplayArrayInTable(Fertiliser_SourceData.Fertiliser_Products_Data1(),FertiliserProducts[[#Headers],[Include or Exclude]], 0,4)</calculatedColumnFormula>
    </tableColumn>
    <tableColumn id="14" xr3:uid="{983736EB-48F2-471C-991E-4F920482DBF2}" name="Ingredient 3 percent" dataDxfId="303" totalsRowDxfId="302">
      <calculatedColumnFormula array="1">Common_InputFunctions.Utility_DisplayArrayInTable(Fertiliser_SourceData.Fertiliser_Products_Data1(),FertiliserProducts[[#Headers],[Include or Exclude]], 0,4)</calculatedColumnFormula>
    </tableColumn>
    <tableColumn id="15" xr3:uid="{F3333A35-D4CE-47E6-8119-DAF125EC7F73}" name="Ingredient 4" dataDxfId="301" totalsRowDxfId="300">
      <calculatedColumnFormula array="1">Common_InputFunctions.Utility_DisplayArrayInTable(Fertiliser_SourceData.Fertiliser_Products_Data1(),FertiliserProducts[[#Headers],[Include or Exclude]], 0,4)</calculatedColumnFormula>
    </tableColumn>
    <tableColumn id="16" xr3:uid="{720D1B51-A779-4219-9416-CF1E03057B1E}" name="Ingredient 4 percent" dataDxfId="299" totalsRowDxfId="298">
      <calculatedColumnFormula array="1">Common_InputFunctions.Utility_DisplayArrayInTable(Fertiliser_SourceData.Fertiliser_Products_Data1(),FertiliserProducts[[#Headers],[Include or Exclude]], 0,4)</calculatedColumnFormula>
    </tableColumn>
    <tableColumn id="17" xr3:uid="{0B109DED-1A05-4F4D-9CF4-C4AD562922CD}" name="Ingredient 5" dataDxfId="297" totalsRowDxfId="296">
      <calculatedColumnFormula array="1">Common_InputFunctions.Utility_DisplayArrayInTable(Fertiliser_SourceData.Fertiliser_Products_Data1(),FertiliserProducts[[#Headers],[Include or Exclude]], 0,4)</calculatedColumnFormula>
    </tableColumn>
    <tableColumn id="18" xr3:uid="{2DFE48EC-CB45-4129-BC55-42BE3F6AD000}" name="Ingredient 5 percent" dataDxfId="295" totalsRowDxfId="294">
      <calculatedColumnFormula array="1">Common_InputFunctions.Utility_DisplayArrayInTable(Fertiliser_SourceData.Fertiliser_Products_Data1(),FertiliserProducts[[#Headers],[Include or Exclude]], 0,4)</calculatedColumnFormula>
    </tableColumn>
    <tableColumn id="19" xr3:uid="{78748A5A-B145-44F0-82D3-C08173B84C65}" name="Ingredient 6" dataDxfId="293" totalsRowDxfId="292">
      <calculatedColumnFormula array="1">Common_InputFunctions.Utility_DisplayArrayInTable(Fertiliser_SourceData.Fertiliser_Products_Data1(),FertiliserProducts[[#Headers],[Include or Exclude]], 0,4)</calculatedColumnFormula>
    </tableColumn>
    <tableColumn id="37" xr3:uid="{D35DBD6D-22EE-46E8-92E1-5868AE290C81}" name="Ingredient 6 percent" dataDxfId="291" totalsRowDxfId="290">
      <calculatedColumnFormula array="1">Common_InputFunctions.Utility_DisplayArrayInTable(Fertiliser_SourceData.Fertiliser_Products_Data1(),FertiliserProducts[[#Headers],[Include or Exclude]], 0,4)</calculatedColumnFormula>
    </tableColumn>
    <tableColumn id="20" xr3:uid="{A26A8EEA-0379-40C2-AC03-5A5AA970A295}" name="Ingredient 7" dataDxfId="289">
      <calculatedColumnFormula array="1">Common_InputFunctions.Utility_DisplayArrayInTable(Fertiliser_SourceData.Fertiliser_Products_Data1(),FertiliserProducts[[#Headers],[Include or Exclude]], 0,4)</calculatedColumnFormula>
    </tableColumn>
    <tableColumn id="24" xr3:uid="{8185CFC4-53A4-4EAE-B82C-0106F81E5EA2}" name="Ingredient 7 percent" dataDxfId="288">
      <calculatedColumnFormula array="1">Common_InputFunctions.Utility_DisplayArrayInTable(Fertiliser_SourceData.Fertiliser_Products_Data1(),FertiliserProducts[[#Headers],[Include or Exclude]], 0,4)</calculatedColumnFormula>
    </tableColumn>
    <tableColumn id="23" xr3:uid="{9E716203-B592-443A-8793-239C08627237}" name="Ingredient 8" dataDxfId="287">
      <calculatedColumnFormula array="1">Common_InputFunctions.Utility_DisplayArrayInTable(Fertiliser_SourceData.Fertiliser_Products_Data1(),FertiliserProducts[[#Headers],[Include or Exclude]], 0,4)</calculatedColumnFormula>
    </tableColumn>
    <tableColumn id="26" xr3:uid="{26FD8CA4-B14A-4B63-8D7B-154D2C35B30B}" name="Ingredient 8 percent" dataDxfId="286">
      <calculatedColumnFormula array="1">Common_InputFunctions.Utility_DisplayArrayInTable(Fertiliser_SourceData.Fertiliser_Products_Data1(),FertiliserProducts[[#Headers],[Include or Exclude]], 0,4)</calculatedColumnFormula>
    </tableColumn>
    <tableColumn id="25" xr3:uid="{E2117D10-FC51-47FF-B5A3-0F0D4923E80D}" name="Ingredient 9" dataDxfId="285">
      <calculatedColumnFormula array="1">Common_InputFunctions.Utility_DisplayArrayInTable(Fertiliser_SourceData.Fertiliser_Products_Data1(),FertiliserProducts[[#Headers],[Include or Exclude]], 0,4)</calculatedColumnFormula>
    </tableColumn>
    <tableColumn id="30" xr3:uid="{A5F7D65A-C862-4D8A-A918-4261B703EE76}" name="Ingredient 9 percent" dataDxfId="284">
      <calculatedColumnFormula array="1">Common_InputFunctions.Utility_DisplayArrayInTable(Fertiliser_SourceData.Fertiliser_Products_Data1(),FertiliserProducts[[#Headers],[Include or Exclude]], 0,4)</calculatedColumnFormula>
    </tableColumn>
    <tableColumn id="29" xr3:uid="{CD01F536-6C79-4A17-B190-C6DC3300879B}" name="Imngredient 10" dataDxfId="283">
      <calculatedColumnFormula array="1">Common_InputFunctions.Utility_DisplayArrayInTable(Fertiliser_SourceData.Fertiliser_Products_Data1(),FertiliserProducts[[#Headers],[Include or Exclude]], 0,4)</calculatedColumnFormula>
    </tableColumn>
    <tableColumn id="28" xr3:uid="{1E76B211-E071-410F-9E8D-DBB9CCDCD121}" name="Ingredient 10 percent" dataDxfId="282">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C3E4491-6922-47FB-8058-8797059E072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2F9AFA-A52A-4FD3-A99D-311CD88A092A}" name="Fertiliser type f">
      <calculatedColumnFormula array="1">Common_InputFunctions.Utility_DisplayArrayInTable(Fertiliser_SourceData.Fertiliser_FracGASF_Data(), Table_SourceData_Fertiliser_FracGASF[[#Headers],[Fertiliser type f]], 0)</calculatedColumnFormula>
    </tableColumn>
    <tableColumn id="2" xr3:uid="{DB1E3549-ED22-4EF3-AB88-4CA35558977C}" name="FracGASF f" dataDxfId="28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1556A070-21D5-4BAC-B636-ED9334605936}" name="Table_SourceData_Fertiliser_CropProdSystems" displayName="Table_SourceData_Fertiliser_CropProdSystems" ref="D41:D43" totalsRowShown="0">
  <autoFilter ref="D41:D43" xr:uid="{24F3A11E-40F5-4BB9-BFF4-A71FA2ADA0EF}">
    <filterColumn colId="0" hiddenButton="1"/>
  </autoFilter>
  <tableColumns count="1">
    <tableColumn id="1" xr3:uid="{59665121-259E-4A62-AEAC-D4BEBC55BBFA}" name="Production system">
      <calculatedColumnFormula>#REF!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785BFB57-0D6C-4337-AA94-B46006216D9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7552AAB-0B13-4D78-BEEB-19F97A637136}" name="Irrigation method"/>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D158826-9C82-4926-9E3D-B518BB6D6324}" name="Table_SourceData_Fertiliser_CropTypes" displayName="Table_SourceData_Fertiliser_CropTypes" ref="F41:F45" totalsRowShown="0">
  <autoFilter ref="F41:F45" xr:uid="{CB5044B5-FA3C-4AA2-B1AB-72F7E61D072F}">
    <filterColumn colId="0" hiddenButton="1"/>
  </autoFilter>
  <tableColumns count="1">
    <tableColumn id="1" xr3:uid="{76CB9436-D7C5-46AB-86FB-C318A2C310CD}" name="Production system"/>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BE81B73-DB49-4CEE-9835-5230835D4A60}" name="Table_SourceData_OrganicFertiliserTypes" displayName="Table_SourceData_OrganicFertiliserTypes" ref="J41:J46" totalsRowShown="0">
  <autoFilter ref="J41:J46" xr:uid="{B44627B1-537E-4ABC-92C3-57282CEE5B40}">
    <filterColumn colId="0" hiddenButton="1"/>
  </autoFilter>
  <tableColumns count="1">
    <tableColumn id="1" xr3:uid="{F16BFB6A-60E1-4B5D-B9EB-EDEDDDF68EF8}" name="Organic fertiliser type"/>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9058202E-680F-4A38-82A7-510BC17430B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5FC5329B-EC29-40ED-B32D-10A9ED97F4E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BEB35F3-2D72-4B88-852E-DC6C146551FD}" name="P" dataDxfId="28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C0AB0FD-0975-4F61-9268-9CADE59E9967}" name="EF" dataDxfId="27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3C14185E-50B8-4839-B801-46997674111F}" name="Table2" displayName="Table2" ref="K19:L28" totalsRowShown="0" dataDxfId="278" dataCellStyle="Content normal">
  <autoFilter ref="K19:L28" xr:uid="{27B93029-EB1F-4C4A-A946-CD673A8A6C46}">
    <filterColumn colId="0" hiddenButton="1"/>
    <filterColumn colId="1" hiddenButton="1"/>
  </autoFilter>
  <tableColumns count="2">
    <tableColumn id="1" xr3:uid="{3046246E-51D8-4FC1-BFE3-9BF97607D758}" name="Fertiliser type f" dataDxfId="277" dataCellStyle="Content normal">
      <calculatedColumnFormula array="1">Common_InputFunctions.Utility_DisplayArrayInTable(Fertiliser_SourceData.Fertiliser_FractionNCommonFertilisers_Data(), Table2[[#Headers],[Fertiliser type f]], 0)</calculatedColumnFormula>
    </tableColumn>
    <tableColumn id="2" xr3:uid="{D8B3B5CC-7793-42F5-BB16-9687A5DCA87C}" name="FNinorganic f" dataDxfId="27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4BF9E68-117E-4AB2-A817-84399ACFDBE1}" name="Table28" displayName="Table28" ref="Q19:R28" totalsRowShown="0" dataDxfId="275" dataCellStyle="Content normal">
  <autoFilter ref="Q19:R28" xr:uid="{791CEA59-796C-47AB-86BC-41E8F699030C}">
    <filterColumn colId="0" hiddenButton="1"/>
    <filterColumn colId="1" hiddenButton="1"/>
  </autoFilter>
  <tableColumns count="2">
    <tableColumn id="1" xr3:uid="{1CF09CE7-D59A-45F5-A63A-B56ABD1B347F}" name="Fertiliser type f" dataDxfId="274" dataCellStyle="Content normal">
      <calculatedColumnFormula array="1">Common_InputFunctions.Utility_DisplayArrayInTable(Fertiliser_SourceData.Fertiliser_FractionUreaCommonFertilisers_Data(), Table28[[#Headers],[Fertiliser type f]], 0)</calculatedColumnFormula>
    </tableColumn>
    <tableColumn id="2" xr3:uid="{95F5EBFE-ED8D-469E-B94D-7CF34A313B5D}" name="FNinorganic f" dataDxfId="27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6C605043-31BF-400D-B456-6449E7FB2AB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4149431E-621A-434F-B5E1-146B7C31D8ED}"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D0FFFB1D-250C-4A10-8284-99757827F4F3}" name="Table_Fuel_EFs_StationaryLiquid" displayName="Table_Fuel_EFs_StationaryLiquid" ref="D53:K77" totalsRowShown="0" headerRowDxfId="272" dataDxfId="27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24E8F78-AB26-40E9-8F4B-A7EBC09A8B00}" name="Fuel combusted" dataDxfId="270">
      <calculatedColumnFormula array="1">Common_InputFunctions.Utility_DisplayArrayInTable(Fuel_SourceData.Fuel_Scope1Scope3EmissionFactorsStationaryLiquid_Data(), Table_Fuel_EFs_StationaryLiquid[[#Headers],[Fuel combusted]],0)</calculatedColumnFormula>
    </tableColumn>
    <tableColumn id="2" xr3:uid="{92576345-825E-4D19-B912-19B071DF0AB9}" name="Energy Content Factor (GJ per unit of fuel)" dataDxfId="269">
      <calculatedColumnFormula array="1">Common_InputFunctions.Utility_DisplayArrayInTable(Fuel_SourceData.Fuel_Scope1Scope3EmissionFactorsStationaryLiquid_Data(), Table_Fuel_EFs_StationaryLiquid[[#Headers],[Fuel combusted]],0)</calculatedColumnFormula>
    </tableColumn>
    <tableColumn id="3" xr3:uid="{5C882021-8785-4ADF-A217-6A9F39102DA9}" name="Fuel unit" dataDxfId="268">
      <calculatedColumnFormula array="1">Common_InputFunctions.Utility_DisplayArrayInTable(Fuel_SourceData.Fuel_Scope1Scope3EmissionFactorsStationaryLiquid_Data(), Table_Fuel_EFs_StationaryLiquid[[#Headers],[Fuel combusted]],0)</calculatedColumnFormula>
    </tableColumn>
    <tableColumn id="4" xr3:uid="{0D7FBF98-8C59-4681-833F-4009FAE2C56E}" name="Scope 1 Emission Factor (kg CO2 - e / GJ) CO2" dataDxfId="267">
      <calculatedColumnFormula array="1">Common_InputFunctions.Utility_DisplayArrayInTable(Fuel_SourceData.Fuel_Scope1Scope3EmissionFactorsStationaryLiquid_Data(), Table_Fuel_EFs_StationaryLiquid[[#Headers],[Fuel combusted]],0)</calculatedColumnFormula>
    </tableColumn>
    <tableColumn id="5" xr3:uid="{61A88A8C-DF6F-41D5-9C1E-D6F4252B17DE}" name="Scope 1 Emission Factor (kg CO2 - e / GJ) CH4" dataDxfId="266">
      <calculatedColumnFormula array="1">Common_InputFunctions.Utility_DisplayArrayInTable(Fuel_SourceData.Fuel_Scope1Scope3EmissionFactorsStationaryLiquid_Data(), Table_Fuel_EFs_StationaryLiquid[[#Headers],[Fuel combusted]],0)</calculatedColumnFormula>
    </tableColumn>
    <tableColumn id="6" xr3:uid="{86AB8429-F8DC-4A98-90B6-4D5C91B45014}" name="Scope 1 Emission Factor (kg CO2 - e / GJ) N2O" dataDxfId="265">
      <calculatedColumnFormula array="1">Common_InputFunctions.Utility_DisplayArrayInTable(Fuel_SourceData.Fuel_Scope1Scope3EmissionFactorsStationaryLiquid_Data(), Table_Fuel_EFs_StationaryLiquid[[#Headers],[Fuel combusted]],0)</calculatedColumnFormula>
    </tableColumn>
    <tableColumn id="7" xr3:uid="{172F3CDC-745F-473E-9435-3BCC01BA4F1D}" name="Scope 1 Emission Factor (kg CO2 - e / GJ) Combined gases" dataDxfId="264">
      <calculatedColumnFormula array="1">Common_InputFunctions.Utility_DisplayArrayInTable(Fuel_SourceData.Fuel_Scope1Scope3EmissionFactorsStationaryLiquid_Data(), Table_Fuel_EFs_StationaryLiquid[[#Headers],[Fuel combusted]],0)</calculatedColumnFormula>
    </tableColumn>
    <tableColumn id="8" xr3:uid="{21BEFE71-CDB6-4B38-9A5D-7EF4F77A2041}" name="Scope 3 Emission Factor (kg CO2 - e / GJ)" dataDxfId="26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CD453FE1-E79B-4C0E-A24A-F0E13763B87A}" name="Table_Fuel_EFs_Transport" displayName="Table_Fuel_EFs_Transport" ref="D9:L34" totalsRowShown="0" headerRowDxfId="262" dataDxfId="26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C8FEE20-15FA-45DA-9FAF-DEBE701397BA}" name="Transport type" dataDxfId="260">
      <calculatedColumnFormula array="1">Common_InputFunctions.Utility_DisplayArrayInTable(Fuel_SourceData.Fuel_Scope1Scope3EmissionFactorsTransport_Data(), Table_Fuel_EFs_Transport[[#Headers],[Transport type]], 0)</calculatedColumnFormula>
    </tableColumn>
    <tableColumn id="2" xr3:uid="{40A872DB-2031-4A8F-BB15-70CC2DEB8C17}" name="Fuel combusted" dataDxfId="259">
      <calculatedColumnFormula array="1">Common_InputFunctions.Utility_DisplayArrayInTable(Fuel_SourceData.Fuel_Scope1Scope3EmissionFactorsTransport_Data(), Table_Fuel_EFs_Transport[[#Headers],[Transport type]], 0)</calculatedColumnFormula>
    </tableColumn>
    <tableColumn id="3" xr3:uid="{4F7BF78A-BDF7-4C82-88EE-D8A05957F416}" name="Energy Content Factor (GJ per unit of fuel)" dataDxfId="258">
      <calculatedColumnFormula array="1">Common_InputFunctions.Utility_DisplayArrayInTable(Fuel_SourceData.Fuel_Scope1Scope3EmissionFactorsTransport_Data(), Table_Fuel_EFs_Transport[[#Headers],[Transport type]], 0)</calculatedColumnFormula>
    </tableColumn>
    <tableColumn id="4" xr3:uid="{47F8DE5D-78CD-43C9-941F-B084C68C82FF}" name="Fuel unit" dataDxfId="257">
      <calculatedColumnFormula array="1">Common_InputFunctions.Utility_DisplayArrayInTable(Fuel_SourceData.Fuel_Scope1Scope3EmissionFactorsTransport_Data(), Table_Fuel_EFs_Transport[[#Headers],[Transport type]], 0)</calculatedColumnFormula>
    </tableColumn>
    <tableColumn id="8" xr3:uid="{BE57CC9F-D639-473B-A26F-F34AD34FACDA}" name="Scope 1 Emission Factor (kg CO2 - e / GJ) CO2" dataDxfId="256">
      <calculatedColumnFormula array="1">Common_InputFunctions.Utility_DisplayArrayInTable(Fuel_SourceData.Fuel_Scope1Scope3EmissionFactorsTransport_Data(), Table_Fuel_EFs_Transport[[#Headers],[Transport type]], 0)</calculatedColumnFormula>
    </tableColumn>
    <tableColumn id="9" xr3:uid="{05F596EF-21CE-41E0-9FED-C33544BDA69A}" name="Scope 1 Emission Factor (kg CO2 - e / GJ) CH4" dataDxfId="255">
      <calculatedColumnFormula array="1">Common_InputFunctions.Utility_DisplayArrayInTable(Fuel_SourceData.Fuel_Scope1Scope3EmissionFactorsTransport_Data(), Table_Fuel_EFs_Transport[[#Headers],[Transport type]], 0)</calculatedColumnFormula>
    </tableColumn>
    <tableColumn id="10" xr3:uid="{B68D0DFA-28C7-4552-8D96-FB7F15E5039B}" name="Scope 1 Emission Factor (kg CO2 - e / GJ) N2O" dataDxfId="254">
      <calculatedColumnFormula array="1">Common_InputFunctions.Utility_DisplayArrayInTable(Fuel_SourceData.Fuel_Scope1Scope3EmissionFactorsTransport_Data(), Table_Fuel_EFs_Transport[[#Headers],[Transport type]], 0)</calculatedColumnFormula>
    </tableColumn>
    <tableColumn id="11" xr3:uid="{DBB0F8A3-904B-420C-AE11-6E73C61CBDC7}" name="Scope 1 Emission Factor (kg CO2 - e / GJ) Combined gases" dataDxfId="253">
      <calculatedColumnFormula array="1">Common_InputFunctions.Utility_DisplayArrayInTable(Fuel_SourceData.Fuel_Scope1Scope3EmissionFactorsTransport_Data(), Table_Fuel_EFs_Transport[[#Headers],[Transport type]], 0)</calculatedColumnFormula>
    </tableColumn>
    <tableColumn id="12" xr3:uid="{4F7F5B8E-7EF3-436A-A344-86E2F3646EC0}" name="Scope 3 Emission Factor (kg CO2 - e / GJ)" dataDxfId="25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F004778D-4C98-4A3B-8F62-A5D8805D4DD0}" name="Table_FuelTypesPerUse" displayName="Table_FuelTypesPerUse" ref="D130:I139" totalsRowShown="0" headerRowDxfId="251" dataDxfId="250">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0F6ADE8B-CAEF-403C-BD6A-61EB1676265A}" name="Generators" dataDxfId="249"/>
    <tableColumn id="2" xr3:uid="{415AEDB5-917A-4D59-B543-F79E98B4595B}" name="Power standalone machinery or heating" dataDxfId="248"/>
    <tableColumn id="3" xr3:uid="{7A96D3C4-602E-4C37-B93F-426C992AD0F2}" name="Aviation" dataDxfId="247"/>
    <tableColumn id="5" xr3:uid="{DD003E97-8DDD-42F7-B15F-8B36F6C88BB8}" name="Cars and light commercial vehicles" dataDxfId="246"/>
    <tableColumn id="7" xr3:uid="{C189073C-FAB0-4519-94F1-32EEE7DA742F}" name="Off-road Agriculture and forestry equipment" dataDxfId="245" dataCellStyle="Content bold"/>
    <tableColumn id="8" xr3:uid="{232D51FA-42DB-4E37-822A-508478C87ECA}" name="Vessels" dataDxfId="244" dataCellStyle="Content bold"/>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AAB2D65-A690-4FD3-BFAC-86EACBEEFBBE}" name="Table_Fuel_EFs_StationaryGaseous" displayName="Table_Fuel_EFs_StationaryGaseous" ref="D86:J104" totalsRowShown="0" headerRowDxfId="243" dataDxfId="242">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EF6FD53-DF5C-4CD4-BFFF-81226490D502}" name="Fuel combusted" dataDxfId="241">
      <calculatedColumnFormula array="1">Common_InputFunctions.Utility_DisplayArrayInTable(Fuel_SourceData.Fuel_Scope1EmissionFactorsStationaryGaseous_Data(), Table_Fuel_EFs_StationaryGaseous[[#Headers],[Fuel combusted]],0)</calculatedColumnFormula>
    </tableColumn>
    <tableColumn id="2" xr3:uid="{1F20906B-B97F-49BD-886A-9102F563E169}" name="Energy Content Factor (GJ per unit of fuel)" dataDxfId="240">
      <calculatedColumnFormula array="1">Common_InputFunctions.Utility_DisplayArrayInTable(Fuel_SourceData.Fuel_Scope1EmissionFactorsStationaryGaseous_Data(), Table_Fuel_EFs_StationaryGaseous[[#Headers],[Fuel combusted]],0)</calculatedColumnFormula>
    </tableColumn>
    <tableColumn id="3" xr3:uid="{6E323227-844E-47A3-90C4-60D8E900C9E0}" name="Fuel unit" dataDxfId="239">
      <calculatedColumnFormula array="1">Common_InputFunctions.Utility_DisplayArrayInTable(Fuel_SourceData.Fuel_Scope1EmissionFactorsStationaryGaseous_Data(), Table_Fuel_EFs_StationaryGaseous[[#Headers],[Fuel combusted]],0)</calculatedColumnFormula>
    </tableColumn>
    <tableColumn id="4" xr3:uid="{594BAFBC-0B6A-4D52-AC76-93A159866AC9}" name="Scope 1 Emission Factor (kg CO2 - e / GJ) CO2" dataDxfId="238">
      <calculatedColumnFormula array="1">Common_InputFunctions.Utility_DisplayArrayInTable(Fuel_SourceData.Fuel_Scope1EmissionFactorsStationaryGaseous_Data(), Table_Fuel_EFs_StationaryGaseous[[#Headers],[Fuel combusted]],0)</calculatedColumnFormula>
    </tableColumn>
    <tableColumn id="5" xr3:uid="{85B3243B-0BF3-4875-89B2-03B2930E6DFB}" name="Scope 1 Emission Factor (kg CO2 - e / GJ) CH4" dataDxfId="237">
      <calculatedColumnFormula array="1">Common_InputFunctions.Utility_DisplayArrayInTable(Fuel_SourceData.Fuel_Scope1EmissionFactorsStationaryGaseous_Data(), Table_Fuel_EFs_StationaryGaseous[[#Headers],[Fuel combusted]],0)</calculatedColumnFormula>
    </tableColumn>
    <tableColumn id="6" xr3:uid="{9FBB199B-C4CF-415B-A713-D15D61FB1E48}" name="Scope 1 Emission Factor (kg CO2 - e / GJ) N2O" dataDxfId="236">
      <calculatedColumnFormula array="1">Common_InputFunctions.Utility_DisplayArrayInTable(Fuel_SourceData.Fuel_Scope1EmissionFactorsStationaryGaseous_Data(), Table_Fuel_EFs_StationaryGaseous[[#Headers],[Fuel combusted]],0)</calculatedColumnFormula>
    </tableColumn>
    <tableColumn id="7" xr3:uid="{9426A5C9-BEAD-44CC-BC3F-147C30D3C2F5}" name="Scope 1 Emission Factor (kg CO2 - e / GJ) Combined gases" dataDxfId="235">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696EC6BA-4B64-4429-811A-5F9C0DF76480}" name="Table_Fuel_EFs_StationaryGaseous34" displayName="Table_Fuel_EFs_StationaryGaseous34" ref="D112:F120" headerRowDxfId="234" totalsRowDxfId="233">
  <autoFilter ref="D112:F120" xr:uid="{7D6CE29D-2354-4FAC-9965-9A66FFA42416}">
    <filterColumn colId="0" hiddenButton="1"/>
    <filterColumn colId="1" hiddenButton="1"/>
    <filterColumn colId="2" hiddenButton="1"/>
  </autoFilter>
  <tableColumns count="3">
    <tableColumn id="1" xr3:uid="{B543F0BB-17D3-4FB2-97EB-25C28FC8B228}" name="State or territory" totalsRowDxfId="232">
      <calculatedColumnFormula array="1">Common_InputFunctions.Utility_DisplayArrayInTable(Fuel_SourceData.Fuel_Scope3EmissionFactorsStationaryGaseous_Data(), Table_Fuel_EFs_StationaryGaseous34[[#Headers],[State or territory]],0)</calculatedColumnFormula>
    </tableColumn>
    <tableColumn id="2" xr3:uid="{5059628F-D6B7-4F93-BD80-514724C86A56}" name="Metro" totalsRowDxfId="231">
      <calculatedColumnFormula array="1">Common_InputFunctions.Utility_DisplayArrayInTable(Fuel_SourceData.Fuel_Scope3EmissionFactorsStationaryGaseous_Data(), Table_Fuel_EFs_StationaryGaseous34[[#Headers],[State or territory]],0)</calculatedColumnFormula>
    </tableColumn>
    <tableColumn id="3" xr3:uid="{663A84AF-35BA-498D-9C45-B49A3D78F2FC}" name="Non-metro" totalsRowDxfId="230">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00EA189-2517-4182-8CFE-EB12B0E4AC4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5FBE35C-D32F-4A98-9FEB-B92FBD8E5A79}" name="Fuel type"/>
    <tableColumn id="2" xr3:uid="{3091B786-3A2F-491B-992C-E572B69997A3}" name="Unit"/>
    <tableColumn id="3" xr3:uid="{0A10AFEB-F14C-4F25-B4D3-7AE7CCA253DD}" name="Input Unit" dataDxfId="229"/>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BEB7D8D-5DA7-44C8-856F-5208AA86E8B6}"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69A09CE-49BB-423A-810E-9C747157C84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4FB6E6C-D61E-4024-9E23-237A1590B0A5}" name="Fuel type q" dataDxfId="2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954FC1F-959B-440B-99B7-FD70A70ABB32}" name="ECTrans,q (GJ/kL)" dataDxfId="2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C49E9F-AB85-448A-AE80-B3E0932284D8}" name="Scope 1 CO2 EFTran,1,tqg (kg CO2-e/GJ)"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CB8BCFF-8605-48B3-8E4A-15ED2BB75E5F}" name="Scope 1 CH4 EFTran,1,tgg (kg CO2-e/GJ)"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A508A52-6133-4ECC-93D7-308CED5A6DF8}" name="Scope 1 N2O EFTran,1,tgg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EDBD94CE-F34F-425D-9D46-6C33C77602E0}" name="Scope 3 EFTrans,3,q (kg CO2-e/GJ)" dataDxfId="2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EC6CA33-D35A-49DA-8227-1749770042B1}" name="Table_SourceData_Scope3_Animals100" displayName="Table_SourceData_Scope3_Animals100"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9F237208-1B5F-4F16-B80F-731D7A09457E}" name="Category" dataDxfId="222" dataCellStyle="Content normal">
      <calculatedColumnFormula array="1">Common_InputFunctions.Utility_DisplayArrayInTable(Scope3_SourceData.Scope3_Livestock_Data(), Table_SourceData_Scope3_Animals100[[#Headers],[Category]], 0, 2)</calculatedColumnFormula>
    </tableColumn>
    <tableColumn id="2" xr3:uid="{126013A1-C8A9-42CA-85B1-4CE71FA44556}" name="Product" dataDxfId="221" dataCellStyle="Content normal">
      <calculatedColumnFormula array="1">Common_InputFunctions.Utility_DisplayArrayInTable(Scope3_SourceData.Scope3_Livestock_Data(), Table_SourceData_Scope3_Animals100[[#Headers],[Category]], 0, 2)</calculatedColumnFormula>
    </tableColumn>
    <tableColumn id="3" xr3:uid="{89039106-0658-4197-8F7B-78D625A494B8}" name="Region of origin" dataDxfId="220" dataCellStyle="Content normal">
      <calculatedColumnFormula array="1">Common_InputFunctions.Utility_DisplayArrayInTable(Scope3_SourceData.Scope3_Livestock_Data(), Table_SourceData_Scope3_Animals100[[#Headers],[Category]], 0, 2)</calculatedColumnFormula>
    </tableColumn>
    <tableColumn id="8" xr3:uid="{4A395062-8E65-4532-B611-B847F2FF9A1B}" name="Quantity Unit" dataDxfId="219" dataCellStyle="Content normal">
      <calculatedColumnFormula array="1">Common_InputFunctions.Utility_DisplayArrayInTable(Scope3_SourceData.Scope3_Livestock_Data(), Table_SourceData_Scope3_Animals100[[#Headers],[Category]], 0, 2)</calculatedColumnFormula>
    </tableColumn>
    <tableColumn id="9" xr3:uid="{241E2FAE-441C-4C71-9547-40A8342DDFFE}" name="AusLCI Emissions intensity" dataDxfId="218" dataCellStyle="Content normal">
      <calculatedColumnFormula array="1">Common_InputFunctions.Utility_DisplayArrayInTable(Scope3_SourceData.Scope3_Livestock_Data(), Table_SourceData_Scope3_Animals100[[#Headers],[Category]], 0, 2)</calculatedColumnFormula>
    </tableColumn>
    <tableColumn id="10" xr3:uid="{31E66194-2444-4D09-BC4F-84DE9BE515E2}" name="System boundary" dataDxfId="217" dataCellStyle="Content normal">
      <calculatedColumnFormula array="1">Common_InputFunctions.Utility_DisplayArrayInTable(Scope3_SourceData.Scope3_Livestock_Data(), Table_SourceData_Scope3_Animals100[[#Headers],[Category]],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CF303661-1179-4493-A1ED-A4EBAFD407CD}"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11A2939-D6E4-4081-9330-2A89F26D6EA6}" name="Category" dataDxfId="216" dataCellStyle="Content normal">
      <calculatedColumnFormula array="1">Common_InputFunctions.Utility_DisplayArrayInTable(Scope3_SourceData.Scope3_Chemicals_Data(), Table_SourceData_Scope3_ChemicalsCleaning[[#Headers],[Category]], 0, 2)</calculatedColumnFormula>
    </tableColumn>
    <tableColumn id="2" xr3:uid="{B5530D76-6905-423E-B531-A9234591E60C}" name="Product" dataDxfId="215" dataCellStyle="Content normal">
      <calculatedColumnFormula array="1">Common_InputFunctions.Utility_DisplayArrayInTable(Scope3_SourceData.Scope3_Chemicals_Data(), Table_SourceData_Scope3_ChemicalsCleaning[[#Headers],[Category]], 0, 2)</calculatedColumnFormula>
    </tableColumn>
    <tableColumn id="3" xr3:uid="{68CA87BD-1B6C-40D5-B0D5-2086D078EE5D}" name="Region of origin" dataDxfId="214" dataCellStyle="Content normal">
      <calculatedColumnFormula array="1">Common_InputFunctions.Utility_DisplayArrayInTable(Scope3_SourceData.Scope3_Chemicals_Data(), Table_SourceData_Scope3_ChemicalsCleaning[[#Headers],[Category]], 0, 2)</calculatedColumnFormula>
    </tableColumn>
    <tableColumn id="8" xr3:uid="{9CA39BA8-57A7-43A5-B52E-138F5446A151}" name="Quantity Unit" dataDxfId="213" dataCellStyle="Content normal">
      <calculatedColumnFormula array="1">Common_InputFunctions.Utility_DisplayArrayInTable(Scope3_SourceData.Scope3_Chemicals_Data(), Table_SourceData_Scope3_ChemicalsCleaning[[#Headers],[Category]], 0, 2)</calculatedColumnFormula>
    </tableColumn>
    <tableColumn id="9" xr3:uid="{A9D25F2A-7C97-4AC2-8AA6-24F77592FF34}" name="AusLCI Emissions intensity" dataDxfId="212" dataCellStyle="Content normal">
      <calculatedColumnFormula array="1">Common_InputFunctions.Utility_DisplayArrayInTable(Scope3_SourceData.Scope3_Chemicals_Data(), Table_SourceData_Scope3_ChemicalsCleaning[[#Headers],[Category]], 0, 2)</calculatedColumnFormula>
    </tableColumn>
    <tableColumn id="10" xr3:uid="{57D6EB2A-176D-4495-AC85-ECEBA2C946E4}" name="System boundary" dataDxfId="211"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815E3321-7210-4C18-9678-93E546C4F63B}" name="Table_SourceData_Scope3_Feed" displayName="Table_SourceData_Scope3_Feed" ref="D89:I159" totalsRowShown="0" dataDxfId="210"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45A48437-3243-43AA-9C08-4147F2BC9A48}" name="Category" dataDxfId="209" dataCellStyle="Content normal">
      <calculatedColumnFormula array="1">Common_InputFunctions.Utility_DisplayArrayInTable(Scope3_SourceData.Scope3_Feed_Data(), Table_SourceData_Scope3_Feed[[#Headers],[Category]], 0, 2)</calculatedColumnFormula>
    </tableColumn>
    <tableColumn id="2" xr3:uid="{47F33500-C713-4814-83F0-07BA5BDB546C}" name="Product" dataDxfId="208" dataCellStyle="Content normal">
      <calculatedColumnFormula array="1">Common_InputFunctions.Utility_DisplayArrayInTable(Scope3_SourceData.Scope3_Feed_Data(), Table_SourceData_Scope3_Feed[[#Headers],[Category]], 0, 2)</calculatedColumnFormula>
    </tableColumn>
    <tableColumn id="3" xr3:uid="{972F0D10-67CF-4B7E-AB25-A2831ED05126}" name="Region of origin" dataDxfId="207" dataCellStyle="Content normal">
      <calculatedColumnFormula array="1">Common_InputFunctions.Utility_DisplayArrayInTable(Scope3_SourceData.Scope3_Feed_Data(), Table_SourceData_Scope3_Feed[[#Headers],[Category]], 0, 2)</calculatedColumnFormula>
    </tableColumn>
    <tableColumn id="8" xr3:uid="{59F5F05C-95CD-4D77-A6DF-D485F546A4B1}" name="Quantity Unit" dataDxfId="206" dataCellStyle="Content normal">
      <calculatedColumnFormula array="1">Common_InputFunctions.Utility_DisplayArrayInTable(Scope3_SourceData.Scope3_Feed_Data(), Table_SourceData_Scope3_Feed[[#Headers],[Category]], 0, 2)</calculatedColumnFormula>
    </tableColumn>
    <tableColumn id="9" xr3:uid="{EE27C080-466C-4FBF-AA1A-BE68BCAB1BEF}" name="AusLCI Emissions intensity" dataDxfId="205" dataCellStyle="Content normal">
      <calculatedColumnFormula array="1">Common_InputFunctions.Utility_DisplayArrayInTable(Scope3_SourceData.Scope3_Feed_Data(), Table_SourceData_Scope3_Feed[[#Headers],[Category]], 0, 2)</calculatedColumnFormula>
    </tableColumn>
    <tableColumn id="10" xr3:uid="{05F83147-3118-419E-9CF7-C10B766C2CE0}" name="System boundary" dataDxfId="204"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93ED225F-3584-4949-AE42-0A492373BAF3}"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DFC5F6-102B-4178-8510-8FE99C7131AF}" name="Category">
      <calculatedColumnFormula array="1">Common_InputFunctions.Utility_DisplayArrayInTable(Scope3_SourceData.Scope3_InorganicFertilisers_Data(), Table_SourceData_Scope3_InorganicFertiliser[[#Headers],[Category]], 0, 2)</calculatedColumnFormula>
    </tableColumn>
    <tableColumn id="2" xr3:uid="{5A1FD8C2-C734-4354-A2BA-694C0B314728}" name="Product">
      <calculatedColumnFormula array="1">Common_InputFunctions.Utility_DisplayArrayInTable(Scope3_SourceData.Scope3_InorganicFertilisers_Data(), Table_SourceData_Scope3_InorganicFertiliser[[#Headers],[Category]], 0, 2)</calculatedColumnFormula>
    </tableColumn>
    <tableColumn id="3" xr3:uid="{8FAC6820-6178-4C8B-A3A4-0904DDAE2D05}" name="Region of origin">
      <calculatedColumnFormula array="1">Common_InputFunctions.Utility_DisplayArrayInTable(Scope3_SourceData.Scope3_InorganicFertilisers_Data(), Table_SourceData_Scope3_InorganicFertiliser[[#Headers],[Category]], 0, 2)</calculatedColumnFormula>
    </tableColumn>
    <tableColumn id="4" xr3:uid="{F466B087-A2A2-4AF8-A54C-EC57FCC0BCED}" name="Chemical compound"/>
    <tableColumn id="5" xr3:uid="{C3FDB33F-E571-4783-9647-F26529C4749B}" name="Urea source"/>
    <tableColumn id="6" xr3:uid="{7FE23642-AFDB-4196-94C6-746658655D86}" name="Ammonia source"/>
    <tableColumn id="7" xr3:uid="{1310A13F-48E9-4AF5-A1F0-7C6F5AEF9256}" name="Quantity"/>
    <tableColumn id="8" xr3:uid="{3C61E764-61FF-41F5-B14E-FE605C3D1CFA}" name="Quantity Unit">
      <calculatedColumnFormula array="1">Common_InputFunctions.Utility_DisplayArrayInTable(Scope3_SourceData.Scope3_InorganicFertilisers_Data(), Table_SourceData_Scope3_InorganicFertiliser[[#Headers],[Category]], 0, -2)</calculatedColumnFormula>
    </tableColumn>
    <tableColumn id="9" xr3:uid="{E075BFD4-0189-4E7C-A744-998C3818ADD0}"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9A1146B8-C1A1-4A7A-8D05-DA1C32FE3F14}" name="System boundary" dataDxfId="203"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6FDE97CC-E3FB-47A3-AE3A-598A3E256A2F}" name="Table_SourceData_Scope3_Other" displayName="Table_SourceData_Scope3_Other" ref="D201:I209" totalsRowShown="0" dataDxfId="202"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5089AD75-05C8-4B53-94BE-6736B5B173E1}" name="Category" dataDxfId="201" dataCellStyle="Content normal">
      <calculatedColumnFormula array="1">Common_InputFunctions.Utility_DisplayArrayInTable(Scope3_SourceData.Scope3_Other_Data(), Table_SourceData_Scope3_Other[[#Headers],[Category]], 0, 2)</calculatedColumnFormula>
    </tableColumn>
    <tableColumn id="2" xr3:uid="{A8D6D277-71A0-4D21-B962-28A54B1DFA72}" name="Product" dataDxfId="200" dataCellStyle="Content normal">
      <calculatedColumnFormula array="1">Common_InputFunctions.Utility_DisplayArrayInTable(Scope3_SourceData.Scope3_Other_Data(), Table_SourceData_Scope3_Other[[#Headers],[Category]], 0, 2)</calculatedColumnFormula>
    </tableColumn>
    <tableColumn id="3" xr3:uid="{468A2C89-F507-4CE7-8181-427D3A2CC8B2}" name="Region of origin" dataDxfId="199" dataCellStyle="Content normal">
      <calculatedColumnFormula array="1">Common_InputFunctions.Utility_DisplayArrayInTable(Scope3_SourceData.Scope3_Other_Data(), Table_SourceData_Scope3_Other[[#Headers],[Category]], 0, 2)</calculatedColumnFormula>
    </tableColumn>
    <tableColumn id="8" xr3:uid="{296CD9E6-CBD8-41F7-A875-84538970254F}" name="Quantity Unit" dataDxfId="198" dataCellStyle="Content normal">
      <calculatedColumnFormula array="1">Common_InputFunctions.Utility_DisplayArrayInTable(Scope3_SourceData.Scope3_Other_Data(), Table_SourceData_Scope3_Other[[#Headers],[Category]], 0, 2)</calculatedColumnFormula>
    </tableColumn>
    <tableColumn id="9" xr3:uid="{6CFB5EE0-8933-460C-AD0B-CFBDBD901B86}" name="AusLCI Emissions intensity" dataDxfId="197" dataCellStyle="Content normal">
      <calculatedColumnFormula array="1">Common_InputFunctions.Utility_DisplayArrayInTable(Scope3_SourceData.Scope3_Other_Data(), Table_SourceData_Scope3_Other[[#Headers],[Category]], 0, 2)</calculatedColumnFormula>
    </tableColumn>
    <tableColumn id="10" xr3:uid="{36A0DA2F-F371-4C72-8765-3C027273D32E}" name="System boundary" dataDxfId="196"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89C323BD-25DC-4DD9-AEE3-0B9A1DEB4B78}" name="Table_SourceData_Scope3_Packaging" displayName="Table_SourceData_Scope3_Packaging" ref="D212:I216" totalsRowShown="0" dataDxfId="195"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CCFBA2A9-6783-4BEF-9F3E-B38CF138DC73}" name="Category" dataDxfId="194" dataCellStyle="Content normal">
      <calculatedColumnFormula array="1">Common_InputFunctions.Utility_DisplayArrayInTable(Scope3_SourceData.Scope3_Packaging_Data(), Table_SourceData_Scope3_Packaging[[#Headers],[Category]], 0, 2)</calculatedColumnFormula>
    </tableColumn>
    <tableColumn id="2" xr3:uid="{B4B64873-1096-4F21-B229-17CBCA227974}" name="Product" dataDxfId="193" dataCellStyle="Content normal">
      <calculatedColumnFormula array="1">Common_InputFunctions.Utility_DisplayArrayInTable(Scope3_SourceData.Scope3_Packaging_Data(), Table_SourceData_Scope3_Packaging[[#Headers],[Category]], 0, 2)</calculatedColumnFormula>
    </tableColumn>
    <tableColumn id="3" xr3:uid="{17C9BF70-7E92-40AD-8721-FEB353C2DE30}" name="Region of origin" dataDxfId="192" dataCellStyle="Content normal">
      <calculatedColumnFormula array="1">Common_InputFunctions.Utility_DisplayArrayInTable(Scope3_SourceData.Scope3_Packaging_Data(), Table_SourceData_Scope3_Packaging[[#Headers],[Category]], 0, 2)</calculatedColumnFormula>
    </tableColumn>
    <tableColumn id="8" xr3:uid="{825F2AD8-5DDF-4DE4-B43A-B889A9702FC8}" name="Quantity Unit" dataDxfId="191" dataCellStyle="Content normal">
      <calculatedColumnFormula array="1">Common_InputFunctions.Utility_DisplayArrayInTable(Scope3_SourceData.Scope3_Packaging_Data(), Table_SourceData_Scope3_Packaging[[#Headers],[Category]], 0, 2)</calculatedColumnFormula>
    </tableColumn>
    <tableColumn id="9" xr3:uid="{F07C4190-2751-4978-889D-EC031B5B2B64}" name="AusLCI Emissions intensity" dataDxfId="190" dataCellStyle="Content normal">
      <calculatedColumnFormula array="1">Common_InputFunctions.Utility_DisplayArrayInTable(Scope3_SourceData.Scope3_Packaging_Data(), Table_SourceData_Scope3_Packaging[[#Headers],[Category]], 0, 2)</calculatedColumnFormula>
    </tableColumn>
    <tableColumn id="10" xr3:uid="{A8D0350D-E1F8-4E60-9F0E-DCB88D74AA1D}" name="System boundary" dataDxfId="189"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9E8792E-95D9-4E31-A7F5-F34E2A45E835}" name="Table_SourceData_Scope3_Pesticides" displayName="Table_SourceData_Scope3_Pesticides" ref="D219:I231" totalsRowShown="0" dataDxfId="188"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B2CB0CD8-93E6-4E18-ACBA-7674BCB3D3AE}" name="Category" dataDxfId="187" dataCellStyle="Content normal">
      <calculatedColumnFormula array="1">Common_InputFunctions.Utility_DisplayArrayInTable(Scope3_SourceData.Scope3_Pesticides_Data(), Table_SourceData_Scope3_Pesticides[[#Headers],[Category]], 0, 2)</calculatedColumnFormula>
    </tableColumn>
    <tableColumn id="2" xr3:uid="{9BC2DBAC-DFDA-4438-A206-36D01962828D}" name="Product" dataDxfId="186" dataCellStyle="Content normal">
      <calculatedColumnFormula array="1">Common_InputFunctions.Utility_DisplayArrayInTable(Scope3_SourceData.Scope3_Pesticides_Data(), Table_SourceData_Scope3_Pesticides[[#Headers],[Category]], 0, 2)</calculatedColumnFormula>
    </tableColumn>
    <tableColumn id="3" xr3:uid="{BD62EC98-31DA-4B8B-8E22-3DF230D1EA53}" name="Region of origin" dataDxfId="185" dataCellStyle="Content normal">
      <calculatedColumnFormula array="1">Common_InputFunctions.Utility_DisplayArrayInTable(Scope3_SourceData.Scope3_Pesticides_Data(), Table_SourceData_Scope3_Pesticides[[#Headers],[Category]], 0, 2)</calculatedColumnFormula>
    </tableColumn>
    <tableColumn id="8" xr3:uid="{267056D2-3100-4C7A-AE5D-F297CC6F9BDB}" name="Quantity Unit" dataDxfId="184" dataCellStyle="Content normal">
      <calculatedColumnFormula array="1">Common_InputFunctions.Utility_DisplayArrayInTable(Scope3_SourceData.Scope3_Pesticides_Data(), Table_SourceData_Scope3_Pesticides[[#Headers],[Category]], 0, 2)</calculatedColumnFormula>
    </tableColumn>
    <tableColumn id="9" xr3:uid="{9E0D00B7-CAD6-4A14-BF7E-5C6541A3ACC8}" name="AusLCI Emissions intensity" dataDxfId="183" dataCellStyle="Content normal">
      <calculatedColumnFormula array="1">Common_InputFunctions.Utility_DisplayArrayInTable(Scope3_SourceData.Scope3_Pesticides_Data(), Table_SourceData_Scope3_Pesticides[[#Headers],[Category]], 0, 2)</calculatedColumnFormula>
    </tableColumn>
    <tableColumn id="10" xr3:uid="{DB1FAAFD-1C6C-4350-8B55-9F1424DD4293}" name="System boundary" dataDxfId="182"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AB11A45C-82A7-4BB2-8C4B-6FE81DD10454}" name="Table_SourceData_Scope3_SoilAmeliorants" displayName="Table_SourceData_Scope3_SoilAmeliorants" ref="D234:I237" totalsRowShown="0" dataDxfId="181"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FA012EC9-1275-4598-B7C7-44700C27BF5F}" name="Category" dataDxfId="180" dataCellStyle="Content normal">
      <calculatedColumnFormula array="1">Common_InputFunctions.Utility_DisplayArrayInTable(Scope3_SourceData.Scope3_SoilAmendments_Data(), Table_SourceData_Scope3_SoilAmeliorants[[#Headers],[Category]], 0, 2)</calculatedColumnFormula>
    </tableColumn>
    <tableColumn id="2" xr3:uid="{3AB5F28E-F2C2-4E4A-B705-72A3F4081C50}" name="Product" dataDxfId="179" dataCellStyle="Content normal">
      <calculatedColumnFormula array="1">Common_InputFunctions.Utility_DisplayArrayInTable(Scope3_SourceData.Scope3_SoilAmendments_Data(), Table_SourceData_Scope3_SoilAmeliorants[[#Headers],[Category]], 0, 2)</calculatedColumnFormula>
    </tableColumn>
    <tableColumn id="3" xr3:uid="{9D8C087B-C47A-40A8-BB9F-D3F503AA3C48}" name="Region of origin" dataDxfId="178" dataCellStyle="Content normal">
      <calculatedColumnFormula array="1">Common_InputFunctions.Utility_DisplayArrayInTable(Scope3_SourceData.Scope3_SoilAmendments_Data(), Table_SourceData_Scope3_SoilAmeliorants[[#Headers],[Category]], 0, 2)</calculatedColumnFormula>
    </tableColumn>
    <tableColumn id="8" xr3:uid="{D3360802-048E-4714-83E1-AABEB3A355CE}" name="Quantity Unit" dataDxfId="177" dataCellStyle="Content normal">
      <calculatedColumnFormula array="1">Common_InputFunctions.Utility_DisplayArrayInTable(Scope3_SourceData.Scope3_SoilAmendments_Data(), Table_SourceData_Scope3_SoilAmeliorants[[#Headers],[Category]], 0, 2)</calculatedColumnFormula>
    </tableColumn>
    <tableColumn id="9" xr3:uid="{D6C17E6D-5A7C-416E-82A8-BCCA8C213B4D}" name="AusLCI Emissions intensity" dataDxfId="176" dataCellStyle="Content normal">
      <calculatedColumnFormula array="1">Common_InputFunctions.Utility_DisplayArrayInTable(Scope3_SourceData.Scope3_SoilAmendments_Data(), Table_SourceData_Scope3_SoilAmeliorants[[#Headers],[Category]], 0, 2)</calculatedColumnFormula>
    </tableColumn>
    <tableColumn id="10" xr3:uid="{5FD505F3-1E17-4B6F-A2CF-880FC9D3A730}" name="System boundary" dataDxfId="175"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793A4489-AC30-49D2-9F48-1525568E3D44}" name="Table_SourceData_Scope3_ChemicalsPharmacy" displayName="Table_SourceData_Scope3_ChemicalsPharmacy" ref="D82:I86" totalsRowShown="0" dataDxfId="174"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EA49D789-421E-48A8-9E27-132EF6CE01CF}" name="Category" dataDxfId="173" dataCellStyle="Content normal">
      <calculatedColumnFormula array="1">Common_InputFunctions.Utility_DisplayArrayInTable(Scope3_SourceData.Scope3_Chemicals_Data(), Table_SourceData_Scope3_ChemicalsPharmacy[[#Headers],[Category]], -3, 2)</calculatedColumnFormula>
    </tableColumn>
    <tableColumn id="2" xr3:uid="{B93FAE19-7F72-445C-9C48-BB86CAD1796E}" name="Product" dataDxfId="172" dataCellStyle="Content normal">
      <calculatedColumnFormula array="1">Common_InputFunctions.Utility_DisplayArrayInTable(Scope3_SourceData.Scope3_Chemicals_Data(), Table_SourceData_Scope3_ChemicalsPharmacy[[#Headers],[Category]], -3, 2)</calculatedColumnFormula>
    </tableColumn>
    <tableColumn id="3" xr3:uid="{C704FC4C-A62A-4BC9-BAA9-3933E556F86C}" name="Region of origin" dataDxfId="171" dataCellStyle="Content normal">
      <calculatedColumnFormula array="1">Common_InputFunctions.Utility_DisplayArrayInTable(Scope3_SourceData.Scope3_Chemicals_Data(), Table_SourceData_Scope3_ChemicalsPharmacy[[#Headers],[Category]], -3, 2)</calculatedColumnFormula>
    </tableColumn>
    <tableColumn id="8" xr3:uid="{C726F6D0-8627-4F3E-90F2-A11675E2FA92}" name="Quantity Unit" dataDxfId="170" dataCellStyle="Content normal">
      <calculatedColumnFormula array="1">Common_InputFunctions.Utility_DisplayArrayInTable(Scope3_SourceData.Scope3_Chemicals_Data(), Table_SourceData_Scope3_ChemicalsPharmacy[[#Headers],[Category]], -3, 2)</calculatedColumnFormula>
    </tableColumn>
    <tableColumn id="9" xr3:uid="{BD0718D7-6BB9-4E95-A2F5-A33266AD8538}" name="AusLCI Emissions intensity" dataDxfId="169" dataCellStyle="Content normal">
      <calculatedColumnFormula array="1">Common_InputFunctions.Utility_DisplayArrayInTable(Scope3_SourceData.Scope3_Chemicals_Data(), Table_SourceData_Scope3_ChemicalsPharmacy[[#Headers],[Category]], -3, 2)</calculatedColumnFormula>
    </tableColumn>
    <tableColumn id="10" xr3:uid="{A1643818-E8D5-4D29-952C-BE8C56F3E063}" name="System boundary" dataDxfId="168"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EDE9551A-F8D8-4B65-82DA-60C8C1DBC107}" name="Table_SourceData_Scope3_LickBlocks" displayName="Table_SourceData_Scope3_LickBlocks" ref="D167:I170" totalsRowShown="0" headerRowDxfId="167"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9E3D7AD8-F889-4117-9AF9-03C2A914EDDB}" name="Category" dataDxfId="166" dataCellStyle="Content normal">
      <calculatedColumnFormula array="1">Common_InputFunctions.Utility_DisplayArrayInTable(Scope3_SourceData.Scope3_Feed_Data(), Table_SourceData_Scope3_LickBlocks[[#Headers],[Category]], -73, 2)</calculatedColumnFormula>
    </tableColumn>
    <tableColumn id="2" xr3:uid="{F5774946-A57E-49DE-B097-6DB1066649B8}" name="Product" dataDxfId="165" dataCellStyle="Content normal">
      <calculatedColumnFormula array="1">Common_InputFunctions.Utility_DisplayArrayInTable(Scope3_SourceData.Scope3_Feed_Data(), Table_SourceData_Scope3_LickBlocks[[#Headers],[Category]], -73, 2)</calculatedColumnFormula>
    </tableColumn>
    <tableColumn id="3" xr3:uid="{3AF0624B-4C06-4360-8D7F-519EDBF9F6C9}" name="Region of origin" dataDxfId="164" dataCellStyle="Content normal">
      <calculatedColumnFormula array="1">Common_InputFunctions.Utility_DisplayArrayInTable(Scope3_SourceData.Scope3_Feed_Data(), Table_SourceData_Scope3_LickBlocks[[#Headers],[Category]], -73, 2)</calculatedColumnFormula>
    </tableColumn>
    <tableColumn id="4" xr3:uid="{A2CF7CB4-8E84-4F7A-A0F0-BCCAABF1647D}" name="Quantity Unit" dataDxfId="163" dataCellStyle="Content normal">
      <calculatedColumnFormula array="1">Common_InputFunctions.Utility_DisplayArrayInTable(Scope3_SourceData.Scope3_Feed_Data(), Table_SourceData_Scope3_LickBlocks[[#Headers],[Category]], -73, 2)</calculatedColumnFormula>
    </tableColumn>
    <tableColumn id="5" xr3:uid="{A3C3154F-38B8-4E7F-9D04-9371FE52AA1C}" name="AusLCI Emissions intensity" dataDxfId="162" dataCellStyle="Content normal">
      <calculatedColumnFormula array="1">Common_InputFunctions.Utility_DisplayArrayInTable(Scope3_SourceData.Scope3_Feed_Data(), Table_SourceData_Scope3_LickBlocks[[#Headers],[Category]], -73, 2)</calculatedColumnFormula>
    </tableColumn>
    <tableColumn id="6" xr3:uid="{4C7CD5FE-C058-4E0C-B5CB-1FFB89EAF2CA}" name="System boundary" dataDxfId="161"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E6805FC-626E-4A4B-8B15-67521B8DFC87}" name="Table_SourceData_Scope3_MixedRations" displayName="Table_SourceData_Scope3_MixedRations" ref="D161:I165" totalsRowShown="0" headerRowDxfId="160"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25EA769F-2696-4DC2-9044-07198623168F}" name="Category" dataDxfId="159" dataCellStyle="Content normal">
      <calculatedColumnFormula array="1">Common_InputFunctions.Utility_DisplayArrayInTable(Scope3_SourceData.Scope3_Feed_Data(), Table_SourceData_Scope3_MixedRations[[#Headers],[Category]], -66, 2)</calculatedColumnFormula>
    </tableColumn>
    <tableColumn id="2" xr3:uid="{E9F340DA-F85F-41E2-A08D-5DDBC071FEA2}" name="Product" dataDxfId="158" dataCellStyle="Content normal">
      <calculatedColumnFormula array="1">Common_InputFunctions.Utility_DisplayArrayInTable(Scope3_SourceData.Scope3_Feed_Data(), Table_SourceData_Scope3_MixedRations[[#Headers],[Category]], -66, 2)</calculatedColumnFormula>
    </tableColumn>
    <tableColumn id="3" xr3:uid="{9F664CA0-7A09-48B5-9CDB-9CFB4E61DACA}" name="Region of origin" dataDxfId="157" dataCellStyle="Content normal">
      <calculatedColumnFormula array="1">Common_InputFunctions.Utility_DisplayArrayInTable(Scope3_SourceData.Scope3_Feed_Data(), Table_SourceData_Scope3_MixedRations[[#Headers],[Category]], -66, 2)</calculatedColumnFormula>
    </tableColumn>
    <tableColumn id="4" xr3:uid="{5790C493-E9B0-4B03-A597-D83AB76D3FA9}" name="Quantity Unit" dataDxfId="156" dataCellStyle="Content normal">
      <calculatedColumnFormula array="1">Common_InputFunctions.Utility_DisplayArrayInTable(Scope3_SourceData.Scope3_Feed_Data(), Table_SourceData_Scope3_MixedRations[[#Headers],[Category]], -66, 2)</calculatedColumnFormula>
    </tableColumn>
    <tableColumn id="5" xr3:uid="{2F3075FA-C774-4A45-9F82-66755A2B6676}" name="AusLCI Emissions intensity" dataDxfId="155" dataCellStyle="Content normal">
      <calculatedColumnFormula array="1">Common_InputFunctions.Utility_DisplayArrayInTable(Scope3_SourceData.Scope3_Feed_Data(), Table_SourceData_Scope3_MixedRations[[#Headers],[Category]], -66, 2)</calculatedColumnFormula>
    </tableColumn>
    <tableColumn id="6" xr3:uid="{936E1DA4-7F2F-4A0A-BBF1-11ADEFB205B5}" name="System boundary" dataDxfId="154"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9974E35-3F24-46E0-B398-E540FB27C88E}"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6F04CB8C-1565-42B6-843A-8443D40C8BBB}" name="Product">
      <calculatedColumnFormula>Table_SourceData_Scope3_Feed[[#This Row],[Product]]</calculatedColumnFormula>
    </tableColumn>
    <tableColumn id="2" xr3:uid="{6134D43F-541C-4281-9E67-85E3F6FB966E}"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C4DA616-65D1-4456-94BD-269E10E2D38E}"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133EFECA-4B91-414B-8546-7765B139390E}" name="Product">
      <calculatedColumnFormula>Table_SourceData_Scope3_Feed[[#This Row],[Product]]</calculatedColumnFormula>
    </tableColumn>
    <tableColumn id="2" xr3:uid="{2362B7B6-85FB-4BB1-8987-5896D3357713}"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A5B0BF4-EBEE-48B0-AA89-A4684AE9DF4B}" name="Table_ProductRegions_Maizegrain" displayName="Table_ProductRegions_Maizegrain" ref="K98:L105" totalsRowShown="0" headerRowDxfId="153" headerRowCellStyle="Content normal">
  <autoFilter ref="K98:L105" xr:uid="{70F320A7-5DBE-4A83-91E4-C9B3BDA564BD}">
    <filterColumn colId="0" hiddenButton="1"/>
    <filterColumn colId="1" hiddenButton="1"/>
  </autoFilter>
  <tableColumns count="2">
    <tableColumn id="1" xr3:uid="{BDFD2317-2FEF-40B8-9879-633538D99CA0}" name="Product">
      <calculatedColumnFormula>Table_SourceData_Scope3_Feed[[#This Row],[Product]]</calculatedColumnFormula>
    </tableColumn>
    <tableColumn id="2" xr3:uid="{E7B9EB48-956B-4CC7-B180-35FC8806AE6A}"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FB2AC6BB-3FD8-45F3-BF3C-BEAAF89D5619}" name="Table_ProductRegions_Sorghumgrain" displayName="Table_ProductRegions_Sorghumgrain" ref="N105:O110" totalsRowShown="0" headerRowDxfId="152" headerRowCellStyle="Content normal">
  <autoFilter ref="N105:O110" xr:uid="{90205417-8A77-41A3-A4E2-624BD92B7269}">
    <filterColumn colId="0" hiddenButton="1"/>
    <filterColumn colId="1" hiddenButton="1"/>
  </autoFilter>
  <tableColumns count="2">
    <tableColumn id="1" xr3:uid="{C0DB0CF3-4C3D-446E-A7EE-BF1E56C33C2C}" name="Product">
      <calculatedColumnFormula>Table_SourceData_Scope3_Feed[[#This Row],[Product]]</calculatedColumnFormula>
    </tableColumn>
    <tableColumn id="2" xr3:uid="{95FFC59F-4764-49B4-BE99-D251FA181BDA}"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80556095-E3D3-4948-B22B-70720F7460D0}" name="Table_ProductRegions_Wheatgrain" displayName="Table_ProductRegions_Wheatgrain" ref="K110:L118" totalsRowShown="0" headerRowDxfId="151" headerRowCellStyle="Content normal">
  <autoFilter ref="K110:L118" xr:uid="{9DD7D3AD-59A1-48FC-B80D-99C25A2A79F5}">
    <filterColumn colId="0" hiddenButton="1"/>
    <filterColumn colId="1" hiddenButton="1"/>
  </autoFilter>
  <tableColumns count="2">
    <tableColumn id="1" xr3:uid="{726A403D-A1A3-413E-BDDF-5ACBE6A7C7D8}" name="Product">
      <calculatedColumnFormula>Table_SourceData_Scope3_Feed[[#This Row],[Product]]</calculatedColumnFormula>
    </tableColumn>
    <tableColumn id="2" xr3:uid="{70220699-D422-49EC-A60F-3F502DCAAB72}"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4DB8D6AC-81E6-49F6-B9A0-B61BB85FE581}"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F3361565-2F72-4DA4-97C9-98DDFEC56DA2}" name="Product">
      <calculatedColumnFormula>Table_SourceData_Scope3_Feed[[#This Row],[Product]]</calculatedColumnFormula>
    </tableColumn>
    <tableColumn id="2" xr3:uid="{BA2F5660-8F9F-48BA-8010-A51E7ED68748}"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BA8DE8B8-615C-4592-AC2C-7CDB20A6F4F7}"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3F68C777-054E-4DDA-BA44-F97A8EDE3F66}" name="Product">
      <calculatedColumnFormula>Table_SourceData_Scope3_Feed[[#This Row],[Product]]</calculatedColumnFormula>
    </tableColumn>
    <tableColumn id="2" xr3:uid="{94240663-AC70-4B0D-9D86-72F8F6F8D12D}"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F323F51-4439-48F7-8ADF-1051FE5B9681}"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65D866A0-068A-4531-A631-72DEC7C8100E}" name="Product">
      <calculatedColumnFormula>Table_SourceData_Scope3_Feed[[#This Row],[Product]]</calculatedColumnFormula>
    </tableColumn>
    <tableColumn id="2" xr3:uid="{63D0D0D2-A96A-460A-8ADD-218224D05C53}"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9105BA6F-6E79-45B4-996D-05B6B63B8C89}"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1322C9F-4448-4DAF-99A6-55E0F77C92CB}" name="Product">
      <calculatedColumnFormula>Table_SourceData_Scope3_Feed[[#This Row],[Product]]</calculatedColumnFormula>
    </tableColumn>
    <tableColumn id="2" xr3:uid="{6A54585B-54D0-4136-B864-357952A8C74D}"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4DD66297-CEA1-48FD-84D5-518F7F9D1A45}"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CF50CB16-DA93-4149-8AB4-EDCF13AE62F9}" name="Product">
      <calculatedColumnFormula>Table_SourceData_Scope3_Feed[[#This Row],[Product]]</calculatedColumnFormula>
    </tableColumn>
    <tableColumn id="2" xr3:uid="{513C9119-7A54-4645-A6FC-7D26BE2E5E2E}"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1EB547C4-7715-48E4-B9DA-0CE62FC597F7}" name="Table_ProductRegions_Canolameal" displayName="Table_ProductRegions_Canolameal" ref="K151:L152" totalsRowShown="0" headerRowDxfId="150" headerRowCellStyle="Content normal" dataCellStyle="Content normal">
  <autoFilter ref="K151:L152" xr:uid="{58F78B6F-294E-4D4E-8E3B-BFE4FA85583E}">
    <filterColumn colId="0" hiddenButton="1"/>
    <filterColumn colId="1" hiddenButton="1"/>
  </autoFilter>
  <tableColumns count="2">
    <tableColumn id="1" xr3:uid="{B280BA6C-3E9D-431B-BC02-38BDB8C50E2C}" name="Product" dataCellStyle="Content normal">
      <calculatedColumnFormula>Table_SourceData_Scope3_Feed[[#This Row],[Product]]</calculatedColumnFormula>
    </tableColumn>
    <tableColumn id="2" xr3:uid="{77DF27A5-E8D8-4B1B-A159-2857D3F0D812}"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C04964ED-4E9F-4C62-B789-C9EE9B3CC253}"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BDF571A6-A759-45B6-904C-5FC6253DC327}" name="Product">
      <calculatedColumnFormula>Table_SourceData_Scope3_Feed[[#This Row],[Product]]</calculatedColumnFormula>
    </tableColumn>
    <tableColumn id="2" xr3:uid="{96C0CE40-953C-4FA0-A611-732F3638F669}"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5138CD20-3951-487C-89CD-4C88C96EAA3F}"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E029C600-41C3-4336-96E9-9C6798897EDE}" name="Product">
      <calculatedColumnFormula>Table_SourceData_Scope3_Feed[[#This Row],[Product]]</calculatedColumnFormula>
    </tableColumn>
    <tableColumn id="2" xr3:uid="{39CA7EC8-CF6E-4652-B48C-912BBBAC2086}"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9C55A9A2-6BA4-44F9-8F25-8122CA55969A}"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D39AE7F0-2F2E-43DE-9ABC-4FD457B2497E}" name="Product">
      <calculatedColumnFormula>Table_SourceData_Scope3_Feed[[#This Row],[Product]]</calculatedColumnFormula>
    </tableColumn>
    <tableColumn id="2" xr3:uid="{3E1E8D33-114D-4735-830B-DBAEEEBFAA92}"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D5AFB7C3-7294-4AC4-8293-25A8B028A5F7}"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BF970317-8ED0-406A-B98B-7441DEA14233}" name="Product">
      <calculatedColumnFormula>Table_SourceData_Scope3_Feed[[#This Row],[Product]]</calculatedColumnFormula>
    </tableColumn>
    <tableColumn id="2" xr3:uid="{A9B0D561-5851-4FBA-AD2C-733094A803B8}"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43F5ACB4-D000-46AF-AE30-C48AEFB50A78}"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C66ABD5F-01EE-4C8D-AAE3-21BC58424E79}" name="Product">
      <calculatedColumnFormula>Table_SourceData_Scope3_Feed[[#This Row],[Product]]</calculatedColumnFormula>
    </tableColumn>
    <tableColumn id="2" xr3:uid="{BFEF1EF6-CBF4-41B3-84A4-6685400CE6EF}"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A87C547-11E7-4D19-8638-4013BFA3852E}"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7E1FE45-3C3F-4D7D-A1CA-6917585772DD}" name="Product">
      <calculatedColumnFormula>Table_SourceData_Scope3_Feed[[#This Row],[Product]]</calculatedColumnFormula>
    </tableColumn>
    <tableColumn id="2" xr3:uid="{825D2311-39EE-4BB5-813D-28FF982A94FD}"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88D42617-6A69-4074-BE2D-25101D9E274C}"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9C277856-EC90-4DD4-A55B-8CE65CFD15EE}" name="Product">
      <calculatedColumnFormula>Table_SourceData_Scope3_Feed[[#This Row],[Product]]</calculatedColumnFormula>
    </tableColumn>
    <tableColumn id="2" xr3:uid="{DAF60811-4AFF-4563-9FD4-71F3E75B1095}"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3D8E9D92-F78E-498B-9043-4ECB6D55CB92}" name="Table_ProductRegions_Beefcattle129" displayName="Table_ProductRegions_Beefcattle129" ref="K33:L49" totalsRowShown="0">
  <autoFilter ref="K33:L49" xr:uid="{77539992-728B-4655-965B-FB28372E4BBC}">
    <filterColumn colId="0" hiddenButton="1"/>
    <filterColumn colId="1" hiddenButton="1"/>
  </autoFilter>
  <tableColumns count="2">
    <tableColumn id="1" xr3:uid="{A68F1B30-D98E-46F9-9446-ACDFDC10C9A2}" name="Region"/>
    <tableColumn id="2" xr3:uid="{13D0FB7B-8695-4291-9C10-131F8F4327B5}" name="Scope3 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A20058CD-8A63-4F1B-8FD2-FF5A960F92B6}"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F31B6D6-7634-4903-877F-C462E8383FD9}" name="Description"/>
    <tableColumn id="5" xr3:uid="{F0C05B49-96AB-457A-AB19-18B7FFFB37B0}" name="Treatment type (select)" dataCellStyle="Input select"/>
    <tableColumn id="2" xr3:uid="{DA6B36F1-D991-4C2B-BAEF-2FDBA8A09046}" name="Waste type (select)" dataCellStyle="Input select"/>
    <tableColumn id="3" xr3:uid="{5077782C-5243-4E05-9945-0737A74AC0AE}" name="Treatment location (select)" dataCellStyle="Input select"/>
    <tableColumn id="4" xr3:uid="{C8FD1069-F2A4-46AE-95C4-8F864EA089A8}" name="Amount" dataCellStyle="Input number general"/>
    <tableColumn id="7" xr3:uid="{886F52F9-2DDA-4784-85F2-841260AD791B}" name="Amount unit (select)" dataCellStyle="Input select"/>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F3918BA-4165-4F28-B2B4-9076F1E721B2}"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3969333B-8164-4875-9B0E-3F1DEFDD146A}"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B5C00BC-EB08-4413-B476-76A601A55FB9}" name="Waste type w" dataDxfId="11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1DDDF83-8B5E-49E2-A81D-81FCD4E2B089}" name="EFwt" dataDxfId="11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D3063050-0575-49AA-AB43-93EC4E026DA3}" name="EF source"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BA1E034-CADD-4F6E-8AF6-B897889AA582}"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391B0C0-1488-42A2-8554-BF597695C6FE}"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3D6F931-21FD-425E-8391-BFDC7015578E}" name="VTMw" dataDxfId="11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4A1D91E-9DC9-4433-B6F7-2B3DA80E3B64}" name="Table_WasteTypes_Landfill" displayName="Table_WasteTypes_Landfill" ref="I16:I27" totalsRowShown="0">
  <autoFilter ref="I16:I27" xr:uid="{99B942E3-1D24-4166-921C-DCC10960718D}">
    <filterColumn colId="0" hiddenButton="1"/>
  </autoFilter>
  <tableColumns count="1">
    <tableColumn id="1" xr3:uid="{0F53844F-0496-4B9A-8DDD-D40706DE5760}"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19BA26A5-14C8-44EE-B230-2B06E26075B7}" name="Table_WasteTypes_Incineration" displayName="Table_WasteTypes_Incineration" ref="K16:K26" totalsRowShown="0" headerRowDxfId="109" headerRowCellStyle="Content normal" dataCellStyle="Content normal">
  <autoFilter ref="K16:K26" xr:uid="{9A900595-7035-4239-9059-ACC16835BF72}">
    <filterColumn colId="0" hiddenButton="1"/>
  </autoFilter>
  <tableColumns count="1">
    <tableColumn id="1" xr3:uid="{359D92C2-1057-43BD-B978-22424A6E3717}" name="Waste type w" dataCellStyle="Content normal">
      <calculatedColumnFormula>E29</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E81BF66-ECD3-4D8E-BA08-46A1E0406F32}" name="Table_WasteTypes_Composting" displayName="Table_WasteTypes_Composting" ref="M16:M21" totalsRowShown="0" headerRowDxfId="108" headerRowCellStyle="Content normal" dataCellStyle="Content normal">
  <autoFilter ref="M16:M21" xr:uid="{5C8D39D3-1330-49EB-B431-1B2B8C8238DC}">
    <filterColumn colId="0" hiddenButton="1"/>
  </autoFilter>
  <tableColumns count="1">
    <tableColumn id="1" xr3:uid="{D894891F-D90E-4621-8A49-6B657A49CFCF}" name="Waste type w" totalsRowDxfId="107" dataCellStyle="Content normal">
      <calculatedColumnFormula>E40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73C6D0E-7DFE-49A1-AE3F-C5829FC541F7}" name="Table_WasteTypes_Anaerobicdigestion" displayName="Table_WasteTypes_Anaerobicdigestion" ref="O16:O21" totalsRowShown="0" headerRowDxfId="106" headerRowCellStyle="Content normal" dataCellStyle="Content normal">
  <autoFilter ref="O16:O21" xr:uid="{331EC43E-DF68-429F-A2A4-58BFE6216EC3}">
    <filterColumn colId="0" hiddenButton="1"/>
  </autoFilter>
  <tableColumns count="1">
    <tableColumn id="1" xr3:uid="{C7BFB9EF-6A5F-463D-9063-A9BD56D90B54}" name="Waste type w" totalsRowDxfId="105"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table" Target="../tables/table31.xml"/><Relationship Id="rId18" Type="http://schemas.openxmlformats.org/officeDocument/2006/relationships/table" Target="../tables/table36.xml"/><Relationship Id="rId26" Type="http://schemas.openxmlformats.org/officeDocument/2006/relationships/table" Target="../tables/table44.xml"/><Relationship Id="rId3" Type="http://schemas.openxmlformats.org/officeDocument/2006/relationships/table" Target="../tables/table21.xml"/><Relationship Id="rId21" Type="http://schemas.openxmlformats.org/officeDocument/2006/relationships/table" Target="../tables/table39.xml"/><Relationship Id="rId7" Type="http://schemas.openxmlformats.org/officeDocument/2006/relationships/table" Target="../tables/table25.xml"/><Relationship Id="rId12" Type="http://schemas.openxmlformats.org/officeDocument/2006/relationships/table" Target="../tables/table30.xml"/><Relationship Id="rId17" Type="http://schemas.openxmlformats.org/officeDocument/2006/relationships/table" Target="../tables/table35.xml"/><Relationship Id="rId25" Type="http://schemas.openxmlformats.org/officeDocument/2006/relationships/table" Target="../tables/table43.xml"/><Relationship Id="rId2" Type="http://schemas.openxmlformats.org/officeDocument/2006/relationships/table" Target="../tables/table20.xml"/><Relationship Id="rId16" Type="http://schemas.openxmlformats.org/officeDocument/2006/relationships/table" Target="../tables/table34.xml"/><Relationship Id="rId20" Type="http://schemas.openxmlformats.org/officeDocument/2006/relationships/table" Target="../tables/table38.xml"/><Relationship Id="rId1" Type="http://schemas.openxmlformats.org/officeDocument/2006/relationships/printerSettings" Target="../printerSettings/printerSettings25.bin"/><Relationship Id="rId6" Type="http://schemas.openxmlformats.org/officeDocument/2006/relationships/table" Target="../tables/table24.xml"/><Relationship Id="rId11" Type="http://schemas.openxmlformats.org/officeDocument/2006/relationships/table" Target="../tables/table29.xml"/><Relationship Id="rId24" Type="http://schemas.openxmlformats.org/officeDocument/2006/relationships/table" Target="../tables/table42.xml"/><Relationship Id="rId5" Type="http://schemas.openxmlformats.org/officeDocument/2006/relationships/table" Target="../tables/table23.xml"/><Relationship Id="rId15" Type="http://schemas.openxmlformats.org/officeDocument/2006/relationships/table" Target="../tables/table33.xml"/><Relationship Id="rId23" Type="http://schemas.openxmlformats.org/officeDocument/2006/relationships/table" Target="../tables/table41.xml"/><Relationship Id="rId28" Type="http://schemas.openxmlformats.org/officeDocument/2006/relationships/table" Target="../tables/table46.xml"/><Relationship Id="rId10" Type="http://schemas.openxmlformats.org/officeDocument/2006/relationships/table" Target="../tables/table28.xml"/><Relationship Id="rId19" Type="http://schemas.openxmlformats.org/officeDocument/2006/relationships/table" Target="../tables/table37.xml"/><Relationship Id="rId4" Type="http://schemas.openxmlformats.org/officeDocument/2006/relationships/table" Target="../tables/table22.xml"/><Relationship Id="rId9" Type="http://schemas.openxmlformats.org/officeDocument/2006/relationships/table" Target="../tables/table27.xml"/><Relationship Id="rId14" Type="http://schemas.openxmlformats.org/officeDocument/2006/relationships/table" Target="../tables/table32.xml"/><Relationship Id="rId22" Type="http://schemas.openxmlformats.org/officeDocument/2006/relationships/table" Target="../tables/table40.xml"/><Relationship Id="rId27" Type="http://schemas.openxmlformats.org/officeDocument/2006/relationships/table" Target="../tables/table45.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6.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 Id="rId9" Type="http://schemas.openxmlformats.org/officeDocument/2006/relationships/table" Target="../tables/table54.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printerSettings" Target="../printerSettings/printerSettings27.bin"/><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12" Type="http://schemas.openxmlformats.org/officeDocument/2006/relationships/table" Target="../tables/table73.xml"/><Relationship Id="rId2" Type="http://schemas.openxmlformats.org/officeDocument/2006/relationships/table" Target="../tables/table63.xml"/><Relationship Id="rId1" Type="http://schemas.openxmlformats.org/officeDocument/2006/relationships/printerSettings" Target="../printerSettings/printerSettings28.bin"/><Relationship Id="rId6" Type="http://schemas.openxmlformats.org/officeDocument/2006/relationships/table" Target="../tables/table67.xml"/><Relationship Id="rId11" Type="http://schemas.openxmlformats.org/officeDocument/2006/relationships/table" Target="../tables/table72.xml"/><Relationship Id="rId5" Type="http://schemas.openxmlformats.org/officeDocument/2006/relationships/table" Target="../tables/table66.xml"/><Relationship Id="rId10" Type="http://schemas.openxmlformats.org/officeDocument/2006/relationships/table" Target="../tables/table71.xml"/><Relationship Id="rId4" Type="http://schemas.openxmlformats.org/officeDocument/2006/relationships/table" Target="../tables/table65.xml"/><Relationship Id="rId9" Type="http://schemas.openxmlformats.org/officeDocument/2006/relationships/table" Target="../tables/table70.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table" Target="../tables/table74.xml"/><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26" Type="http://schemas.openxmlformats.org/officeDocument/2006/relationships/table" Target="../tables/table106.xml"/><Relationship Id="rId3" Type="http://schemas.openxmlformats.org/officeDocument/2006/relationships/table" Target="../tables/table83.xml"/><Relationship Id="rId21" Type="http://schemas.openxmlformats.org/officeDocument/2006/relationships/table" Target="../tables/table101.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5" Type="http://schemas.openxmlformats.org/officeDocument/2006/relationships/table" Target="../tables/table105.xml"/><Relationship Id="rId2" Type="http://schemas.openxmlformats.org/officeDocument/2006/relationships/table" Target="../tables/table82.xml"/><Relationship Id="rId16" Type="http://schemas.openxmlformats.org/officeDocument/2006/relationships/table" Target="../tables/table96.xml"/><Relationship Id="rId20" Type="http://schemas.openxmlformats.org/officeDocument/2006/relationships/table" Target="../tables/table100.xml"/><Relationship Id="rId29" Type="http://schemas.openxmlformats.org/officeDocument/2006/relationships/table" Target="../tables/table109.xml"/><Relationship Id="rId1" Type="http://schemas.openxmlformats.org/officeDocument/2006/relationships/table" Target="../tables/table81.xml"/><Relationship Id="rId6" Type="http://schemas.openxmlformats.org/officeDocument/2006/relationships/table" Target="../tables/table86.xml"/><Relationship Id="rId11" Type="http://schemas.openxmlformats.org/officeDocument/2006/relationships/table" Target="../tables/table91.xml"/><Relationship Id="rId24" Type="http://schemas.openxmlformats.org/officeDocument/2006/relationships/table" Target="../tables/table104.xml"/><Relationship Id="rId5" Type="http://schemas.openxmlformats.org/officeDocument/2006/relationships/table" Target="../tables/table85.xml"/><Relationship Id="rId15" Type="http://schemas.openxmlformats.org/officeDocument/2006/relationships/table" Target="../tables/table95.xml"/><Relationship Id="rId23" Type="http://schemas.openxmlformats.org/officeDocument/2006/relationships/table" Target="../tables/table103.xml"/><Relationship Id="rId28" Type="http://schemas.openxmlformats.org/officeDocument/2006/relationships/table" Target="../tables/table108.xml"/><Relationship Id="rId10" Type="http://schemas.openxmlformats.org/officeDocument/2006/relationships/table" Target="../tables/table90.xml"/><Relationship Id="rId19" Type="http://schemas.openxmlformats.org/officeDocument/2006/relationships/table" Target="../tables/table99.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 Id="rId22" Type="http://schemas.openxmlformats.org/officeDocument/2006/relationships/table" Target="../tables/table102.xml"/><Relationship Id="rId27" Type="http://schemas.openxmlformats.org/officeDocument/2006/relationships/table" Target="../tables/table107.xml"/><Relationship Id="rId30" Type="http://schemas.openxmlformats.org/officeDocument/2006/relationships/table" Target="../tables/table110.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3" Type="http://schemas.openxmlformats.org/officeDocument/2006/relationships/table" Target="../tables/table112.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 Type="http://schemas.openxmlformats.org/officeDocument/2006/relationships/table" Target="../tables/table111.xml"/><Relationship Id="rId16" Type="http://schemas.openxmlformats.org/officeDocument/2006/relationships/table" Target="../tables/table125.xml"/><Relationship Id="rId1" Type="http://schemas.openxmlformats.org/officeDocument/2006/relationships/printerSettings" Target="../printerSettings/printerSettings29.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5" Type="http://schemas.openxmlformats.org/officeDocument/2006/relationships/table" Target="../tables/table12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128.xml"/><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printerSettings" Target="../printerSettings/printerSettings32.bin"/><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8"/>
  <sheetViews>
    <sheetView workbookViewId="0" zoomScale="100" zoomScaleNormal="100">
      <selection activeCell="A58" sqref="A58"/>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6"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5"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workbookViewId="0" zoomScale="100" zoomScaleNormal="100">
      <selection activeCell="A58" sqref="A5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54.699181903674365</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1531.5770933028823</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Farm Inputs'!A1", "Farm Inputs")</f>
        <v>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Freight'!A1", "Freight")</f>
        <v>Freight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Manure sent off-site'!A1", "Manure sent off-site")</f>
        <v>Manure sent off-site</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Solid waste'!A1", "Solid waste")</f>
        <v>Solid waste</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6" t="s">
        <v>2</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HYPERLINK("#'3.2.1.1-2 Enteric Methane'!A1", "3.2.1.1-2 Enteric methane")</f>
        <v>3.2.1.1-2 Enteric methane</v>
      </c>
      <c r="C27" s="8"/>
      <c r="D27" s="1" t="s">
        <v>170</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HYPERLINK("#'4.2.1.1-2 Methane'!A1", "4.2.1.1-2 Manure methane")</f>
        <v>4.2.1.1-2 Manure methane</v>
      </c>
      <c r="C28" s="8"/>
      <c r="D28" s="14" t="s">
        <v>4</v>
      </c>
      <c r="E28" s="9"/>
      <c r="F28" s="9"/>
      <c r="G28" s="14"/>
      <c r="H28" s="19">
        <f ca="1">SUM(H7:H27)</f>
        <v>3346.1586963070749</v>
      </c>
      <c r="I28" s="19">
        <f ca="1">SUM(I7:I27)</f>
        <v>3344.5965329307064</v>
      </c>
      <c r="J28" s="15" t="s">
        <v>7</v>
      </c>
      <c r="K28" s="8"/>
    </row>
    <row r="29" spans="1:11" ht="20.100000000000001" customHeight="1" x14ac:dyDescent="0.3">
      <c r="A29" s="5" t="str">
        <f>HYPERLINK("#'4.2.1.3-4 Soil direct N20'!A1", "4.2.1.3-4 Soil direct N2O")</f>
        <v>4.2.1.3-4 Soil direct N2O</v>
      </c>
      <c r="C29" s="8"/>
      <c r="D29" s="1"/>
      <c r="E29" s="1"/>
      <c r="F29" s="1"/>
      <c r="G29" s="1"/>
      <c r="H29" s="13"/>
      <c r="I29" s="8"/>
      <c r="J29" s="8"/>
      <c r="K29" s="8"/>
    </row>
    <row r="30" spans="1:11" ht="20.100000000000001" customHeight="1" x14ac:dyDescent="0.3">
      <c r="A30" s="5" t="str">
        <f>HYPERLINK("#'4.2.1.5-6 Soil Atmos Dep'!A1", "4.2.1.5-6 Soil atm. deposition")</f>
        <v>4.2.1.5-6 Soil atm. deposition</v>
      </c>
      <c r="C30" s="8"/>
      <c r="D30" s="1"/>
      <c r="E30" s="1"/>
      <c r="F30" s="1"/>
      <c r="G30" s="1"/>
      <c r="H30" s="13"/>
      <c r="I30" s="8"/>
      <c r="J30" s="8"/>
      <c r="K30" s="8"/>
    </row>
    <row r="31" spans="1:11" ht="20.100000000000001" customHeight="1" x14ac:dyDescent="0.3">
      <c r="A31" s="5" t="str">
        <f>HYPERLINK("#'4.2.1.7-8 Soil leach runoff'!A1", "4.2.1.7-8 Soil leach &amp; runoff")</f>
        <v>4.2.1.7-8 Soil leach &amp; runoff</v>
      </c>
      <c r="C31" s="8"/>
      <c r="D31" s="1"/>
      <c r="E31" s="1"/>
      <c r="F31" s="1"/>
      <c r="G31" s="1"/>
      <c r="H31" s="13"/>
      <c r="I31" s="8"/>
      <c r="J31" s="8"/>
      <c r="K31" s="8"/>
    </row>
    <row r="32" spans="1:11" ht="20.100000000000001" customHeight="1" x14ac:dyDescent="0.3">
      <c r="A32" s="5" t="str">
        <f>HYPERLINK("#'5.1.1.1-2 Inorganic fert N2O'!A1", "5.1.1.1-2 Inorganic fert N2O")</f>
        <v>5.1.1.1-2 Inorganic fert N2O</v>
      </c>
      <c r="C32" s="8"/>
      <c r="D32" s="2" t="s">
        <v>125</v>
      </c>
      <c r="E32" s="1"/>
      <c r="F32" s="1"/>
      <c r="G32" s="1"/>
      <c r="H32" s="13"/>
      <c r="I32" s="8"/>
      <c r="J32" s="8"/>
      <c r="K32" s="8"/>
    </row>
    <row r="33" spans="1:11" ht="20.100000000000001" customHeight="1" x14ac:dyDescent="0.3">
      <c r="A33" s="5" t="str">
        <f>HYPERLINK("#'5.1.1.3-4 Inorganic fert CO2'!A1", "5.1.1.3-4 Inorganic fert CO2")</f>
        <v>5.1.1.3-4 Inorganic fert CO2</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HYPERLINK("#'5.2.1.1-2 Organic Fert N2O'!A1", "5.2.1.1-2 Organic fert N2O")</f>
        <v>5.2.1.1-2 Organic fert N2O</v>
      </c>
      <c r="C34" s="8"/>
      <c r="D34" s="1" t="s">
        <v>127</v>
      </c>
      <c r="E34" s="1"/>
      <c r="F34" s="1"/>
      <c r="G34" s="1"/>
      <c r="H34" s="13"/>
      <c r="I34" s="8"/>
      <c r="J34" s="8"/>
      <c r="K34" s="8"/>
    </row>
    <row r="35" spans="1:11" ht="20.100000000000001" customHeight="1" x14ac:dyDescent="0.3">
      <c r="A35" s="5" t="str">
        <f>HYPERLINK("#'5.3.1.1-2 Lime CO2'!A1", "5.3.1.1-2 Lime CO2")</f>
        <v>5.3.1.1-2 Lime CO2</v>
      </c>
      <c r="C35" s="8"/>
      <c r="D35" s="1"/>
      <c r="E35" s="1"/>
      <c r="F35" s="1"/>
      <c r="G35" s="1"/>
      <c r="H35" s="13"/>
      <c r="I35" s="8"/>
      <c r="J35" s="8"/>
      <c r="K35" s="8"/>
    </row>
    <row r="36" spans="1:11" ht="20.100000000000001" customHeight="1" x14ac:dyDescent="0.3">
      <c r="A36" s="5" t="str">
        <f>HYPERLINK("#'5.4.1.1-4 Atmos deposition'!A1", "5.4.1.1-4 Atmos. deposition")</f>
        <v>5.4.1.1-4 Atmos. deposition</v>
      </c>
      <c r="C36" s="8"/>
      <c r="D36" s="20" t="s">
        <v>126</v>
      </c>
      <c r="E36" s="20" t="s">
        <v>10</v>
      </c>
      <c r="F36" s="20" t="s">
        <v>11</v>
      </c>
      <c r="G36" s="1"/>
      <c r="H36" s="13"/>
      <c r="I36" s="8"/>
      <c r="J36" s="8"/>
      <c r="K36" s="8"/>
    </row>
    <row r="37" spans="1:11" ht="20.100000000000001" customHeight="1" x14ac:dyDescent="0.3">
      <c r="A37" s="5" t="str">
        <f>HYPERLINK("#'5.5.1.1-2 Leaching and runoff'!A1", "5.5.1.1-2 Leaching &amp; runoff")</f>
        <v>5.5.1.1-2 Leaching &amp; runoff</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HYPERLINK("#'6.2.1.1-2 Pasture residue N2O'!A1", "6.2.1.1-2 Pasture residue N2O")</f>
        <v>6.2.1.1-2 Pasture residue N2O</v>
      </c>
      <c r="C38" s="8"/>
      <c r="D38" s="1" t="str">
        <v>01 Jan 2024 to 31 Dec 2024 (This reporting cycle)</v>
      </c>
      <c r="E38" s="86">
        <f ca="1">IF(ISBLANK($D38), "", IF(ISNUMBER(SEARCH("reporting", $D38)), Result_Enterprise_Method1, "Enter value"))</f>
        <v>3346.1586963070749</v>
      </c>
      <c r="F38" s="86">
        <f ca="1">IF(ISBLANK($D38), "", IF(ISNUMBER(SEARCH("reporting", $D38)), Result_Enterprise_Method2, "Enter value"))</f>
        <v>3344.5965329307064</v>
      </c>
      <c r="G38" s="15" t="s">
        <v>7</v>
      </c>
      <c r="H38" s="13"/>
      <c r="I38" s="8"/>
      <c r="J38" s="8"/>
      <c r="K38" s="8"/>
    </row>
    <row r="39" spans="1:11" ht="20.100000000000001" customHeight="1" x14ac:dyDescent="0.3">
      <c r="A39" s="5" t="str">
        <f>HYPERLINK("#'6.3.1.1-2 Leach runoff pasture'!A1", "6.3.1.1-2 Leach &amp; runoff (pasture)")</f>
        <v>6.3.1.1-2 Leach &amp; runoff (pasture)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HYPERLINK("#'8.1.1.1-2 Transport fuel'!A1", "8.1.1.1-2 Transport fuel")</f>
        <v>8.1.1.1-2 Transport fuel</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HYPERLINK("#'8.2.1.1-2 Stationary fuel'!A1", "8.2.1.1-2 Stationary fuel")</f>
        <v>8.2.1.1-2 Stationary fuel</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HYPERLINK("#'14.1.1-2 Purchased electricity'!A1", "14.1.1-2 Purchased electricity")</f>
        <v>14.1.1-2 Purchased electricity</v>
      </c>
      <c r="C42" s="8"/>
      <c r="D42" s="14" t="s">
        <v>145</v>
      </c>
      <c r="E42" s="19">
        <f ca="1">SUM(E37:E41)</f>
        <v>3346.1586963070749</v>
      </c>
      <c r="F42" s="19">
        <f ca="1">SUM(F37:F41)</f>
        <v>3344.5965329307064</v>
      </c>
      <c r="G42" s="1"/>
      <c r="H42" s="1"/>
      <c r="I42" s="1"/>
      <c r="J42" s="8"/>
      <c r="K42" s="8"/>
    </row>
    <row r="43" spans="1:11" ht="20.100000000000001" customHeight="1" x14ac:dyDescent="0.25">
      <c r="A43" s="5" t="str">
        <f>HYPERLINK("#'15 Scope 3'!A1", "15 Scope 3")</f>
        <v>15 Scope 3</v>
      </c>
      <c r="C43" s="8"/>
      <c r="D43" s="1"/>
      <c r="E43" s="1"/>
      <c r="F43" s="1"/>
      <c r="G43" s="1"/>
      <c r="H43" s="1"/>
      <c r="I43" s="1"/>
      <c r="J43" s="8"/>
      <c r="K43" s="8"/>
    </row>
    <row r="44" spans="1:11" ht="20.100000000000001" customHeight="1" x14ac:dyDescent="0.25">
      <c r="A44" s="5" t="str">
        <f>HYPERLINK("#'Calcs - Manure sent off-site'!A1", "Calcs - Manure sent off-site")</f>
        <v>Calcs - Manure sent off-site</v>
      </c>
      <c r="C44" s="8"/>
      <c r="D44" s="1"/>
      <c r="E44" s="1"/>
      <c r="F44" s="1"/>
      <c r="G44" s="1"/>
      <c r="H44" s="1"/>
      <c r="I44" s="1"/>
      <c r="J44" s="8"/>
      <c r="K44" s="8"/>
    </row>
    <row r="45" spans="1:11" ht="20.100000000000001" customHeight="1" x14ac:dyDescent="0.25">
      <c r="A45" s="5" t="str">
        <f>HYPERLINK("#'10.1.1-2 Solid waste treatment'!A1", "10.1.1-2 Solid waste treatment")</f>
        <v>10.1.1-2 Solid waste treatment</v>
      </c>
      <c r="C45" s="8"/>
      <c r="D45" s="2" t="s">
        <v>142</v>
      </c>
      <c r="E45" s="1"/>
      <c r="F45" s="1"/>
      <c r="G45" s="1"/>
      <c r="H45" s="1"/>
      <c r="I45" s="1"/>
      <c r="J45" s="8"/>
      <c r="K45" s="8"/>
    </row>
    <row r="46" spans="1:11" ht="20.100000000000001" customHeight="1" x14ac:dyDescent="0.25">
      <c r="C46" s="8"/>
      <c r="D46" s="1"/>
      <c r="E46" s="1"/>
      <c r="F46" s="1"/>
      <c r="G46" s="1"/>
      <c r="H46" s="1"/>
      <c r="I46" s="1"/>
      <c r="J46" s="1"/>
      <c r="K46" s="8"/>
    </row>
    <row r="47" spans="1:11" ht="20.100000000000001" customHeight="1" x14ac:dyDescent="0.25">
      <c r="C47" s="8"/>
      <c r="D47" s="20" t="s">
        <v>126</v>
      </c>
      <c r="E47" s="20" t="s">
        <v>143</v>
      </c>
      <c r="F47" s="1"/>
      <c r="G47" s="1"/>
      <c r="H47" s="1"/>
      <c r="I47" s="1"/>
      <c r="J47" s="1"/>
      <c r="K47" s="8"/>
    </row>
    <row r="48" spans="1:11" ht="20.100000000000001" customHeight="1" x14ac:dyDescent="0.25">
      <c r="A48" s="96" t="s">
        <v>1</v>
      </c>
      <c r="C48" s="8"/>
      <c r="D48" s="1" t="str" cm="1">
        <f t="array" ref="D48:D50">Common_InputFunctions.getOverlappingReportingPeriods(X_Cell_Enterprise_ProductionTimeframeStart,X_Cell_Enterprise_ProductionTimeframeEnd,X_Cell_Site_StartDate)</f>
        <v>01 Jan 2023 to 31 Dec 2023</v>
      </c>
      <c r="E48" s="86" t="str">
        <f>IF(ISBLANK(D48), "", "Enter value")</f>
        <v>Enter value</v>
      </c>
      <c r="F48" s="15" t="s">
        <v>144</v>
      </c>
      <c r="G48" s="1"/>
      <c r="H48" s="1"/>
      <c r="I48" s="1"/>
      <c r="J48" s="1"/>
      <c r="K48" s="8"/>
    </row>
    <row r="49" spans="1:11" ht="20.100000000000001" customHeight="1" x14ac:dyDescent="0.25">
      <c r="A49" s="5" t="str">
        <f>HYPERLINK("#'Constants - Pasture Beef'!A1", "Constants - Pasture Beef")</f>
        <v>Constants - Pasture Beef</v>
      </c>
      <c r="C49" s="8"/>
      <c r="D49" s="1" t="str">
        <v>01 Jan 2024 to 31 Dec 2024 (This reporting cycle)</v>
      </c>
      <c r="E49" s="86" t="str">
        <f t="shared" ref="E49:E52" si="1">IF(ISBLANK(D49), "", "Enter value")</f>
        <v>Enter value</v>
      </c>
      <c r="F49" s="15" t="s">
        <v>144</v>
      </c>
      <c r="G49" s="1"/>
      <c r="H49" s="1"/>
      <c r="I49" s="1"/>
      <c r="J49" s="1"/>
      <c r="K49" s="8"/>
    </row>
    <row r="50" spans="1:11" ht="20.100000000000001" customHeight="1" x14ac:dyDescent="0.25">
      <c r="A50" s="5" t="str">
        <f>HYPERLINK("#'Constants - Ag Residue'!A1", "Constants - Ag residue")</f>
        <v>Constants - Ag residue</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Common Livestock'!A1", "Constants - Common Livestock")</f>
        <v>Constants - Common Livestock</v>
      </c>
      <c r="C51" s="8"/>
      <c r="D51" s="1"/>
      <c r="E51" s="86" t="str">
        <f t="shared" si="1"/>
        <v/>
      </c>
      <c r="F51" s="15" t="s">
        <v>144</v>
      </c>
      <c r="G51" s="1"/>
      <c r="H51" s="1"/>
      <c r="I51" s="1"/>
      <c r="J51" s="1"/>
      <c r="K51" s="8"/>
    </row>
    <row r="52" spans="1:11" ht="20.100000000000001" customHeight="1" x14ac:dyDescent="0.25">
      <c r="A52" s="5" t="str">
        <f>HYPERLINK("#'Constants - Electricity'!A1", "Constants - Electricity")</f>
        <v>Constants - Electricity</v>
      </c>
      <c r="C52" s="8"/>
      <c r="D52" s="1"/>
      <c r="E52" s="86" t="str">
        <f t="shared" si="1"/>
        <v/>
      </c>
      <c r="F52" s="15" t="s">
        <v>144</v>
      </c>
      <c r="G52" s="1"/>
      <c r="H52" s="1"/>
      <c r="I52" s="8"/>
      <c r="J52" s="8"/>
      <c r="K52" s="8"/>
    </row>
    <row r="53" spans="1:11" ht="20.100000000000001" customHeight="1" x14ac:dyDescent="0.3">
      <c r="A53" s="5" t="str">
        <f>HYPERLINK("#'Constants - Fertiliser'!A1", "Constants - Fertiliser")</f>
        <v>Constants - Fertiliser</v>
      </c>
      <c r="C53" s="8"/>
      <c r="D53" s="14" t="s">
        <v>146</v>
      </c>
      <c r="E53" s="19">
        <f>SUM(E48:E51)</f>
        <v>0</v>
      </c>
      <c r="F53" s="1"/>
      <c r="G53" s="1"/>
      <c r="H53" s="1"/>
      <c r="I53" s="1"/>
      <c r="J53" s="1"/>
      <c r="K53" s="8"/>
    </row>
    <row r="54" spans="1:11" ht="20.100000000000001" customHeight="1" x14ac:dyDescent="0.25">
      <c r="A54" s="5" t="str">
        <f>HYPERLINK("#'Constants - Fuel'!A1", "Constants - Fuel")</f>
        <v>Constants - Fuel</v>
      </c>
      <c r="C54" s="8"/>
      <c r="D54" s="1"/>
      <c r="E54" s="1"/>
      <c r="F54" s="1"/>
      <c r="G54" s="1"/>
      <c r="H54" s="1"/>
      <c r="I54" s="1"/>
      <c r="J54" s="1"/>
      <c r="K54" s="8"/>
    </row>
    <row r="55" spans="1:11" ht="20.100000000000001" customHeight="1" x14ac:dyDescent="0.25">
      <c r="A55" s="5" t="str">
        <f>HYPERLINK("#'Constants - Scope 3'!A1", "Constants - Scope 3")</f>
        <v>Constants - Scope 3</v>
      </c>
      <c r="C55" s="8"/>
      <c r="D55" s="1"/>
      <c r="E55" s="1"/>
      <c r="F55" s="1"/>
      <c r="G55" s="1"/>
      <c r="H55" s="1"/>
      <c r="I55" s="1"/>
      <c r="J55" s="1"/>
      <c r="K55" s="8"/>
    </row>
    <row r="56" spans="1:11" ht="20.100000000000001" customHeight="1" x14ac:dyDescent="0.25">
      <c r="A56" s="5" t="str">
        <f>HYPERLINK("#'Constants - Common'!A1", "Constants - Common")</f>
        <v>Constants - Common</v>
      </c>
      <c r="C56" s="8"/>
      <c r="D56" s="2" t="s">
        <v>129</v>
      </c>
      <c r="E56" s="1"/>
      <c r="F56" s="1"/>
      <c r="G56" s="1"/>
      <c r="H56" s="1"/>
      <c r="I56" s="1"/>
      <c r="J56" s="8"/>
      <c r="K56" s="8"/>
    </row>
    <row r="57" spans="1:11" ht="20.100000000000001" customHeight="1" x14ac:dyDescent="0.25">
      <c r="A57" s="5" t="str">
        <f>HYPERLINK("#'Acknowledgements'!A1", "Acknowledgements")</f>
        <v>Acknowledgements</v>
      </c>
      <c r="C57" s="8"/>
      <c r="D57" s="1"/>
      <c r="E57" s="1"/>
      <c r="F57" s="1"/>
      <c r="G57" s="1"/>
      <c r="H57" s="1"/>
      <c r="I57" s="1"/>
      <c r="J57" s="1"/>
      <c r="K57" s="8"/>
    </row>
    <row r="58" spans="1:11" ht="20.100000000000001" customHeight="1" x14ac:dyDescent="0.25">
      <c r="A58" s="5" t="str">
        <f>HYPERLINK("#'Constants - Solid Waste'!A1", "Constants - Solid Waste")</f>
        <v>Constants - Solid Waste</v>
      </c>
      <c r="C58" s="8"/>
      <c r="D58" s="20"/>
      <c r="E58" s="20" t="s">
        <v>148</v>
      </c>
      <c r="F58" s="20" t="s">
        <v>149</v>
      </c>
      <c r="G58" s="1"/>
      <c r="H58" s="1"/>
      <c r="I58" s="1"/>
      <c r="J58" s="1"/>
      <c r="K58" s="8"/>
    </row>
    <row r="59" spans="1:11" ht="20.100000000000001" customHeight="1" x14ac:dyDescent="0.3">
      <c r="C59" s="8"/>
      <c r="D59" s="89" t="s">
        <v>147</v>
      </c>
      <c r="E59" s="87">
        <f ca="1">E42-E53</f>
        <v>3346.1586963070749</v>
      </c>
      <c r="F59" s="87">
        <f ca="1">F42-E53</f>
        <v>3344.5965329307064</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4.041615299388515E-3</v>
      </c>
      <c r="I64" s="18">
        <f ca="1">(Result_EmissionsForWholeProductionCycle_Method2/F64)*G64</f>
        <v>4.0397284601871811E-3</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4.041615299388515E-3</v>
      </c>
      <c r="I65" s="18">
        <f ca="1">(Result_NetEmissions_Method2/F65)*G65</f>
        <v>4.0397284601871811E-3</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4.041615299388515E-3</v>
      </c>
      <c r="I66" s="18">
        <f ca="1">(Result_EmissionsForWholeProductionCycle_Method2/F66)*G66</f>
        <v>4.0397284601871811E-3</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4.041615299388515E-3</v>
      </c>
      <c r="I67" s="18">
        <f ca="1">(Result_NetEmissions_Method2/F67)*G67</f>
        <v>4.0397284601871811E-3</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535.38539140913201</v>
      </c>
      <c r="I72" s="18">
        <f ca="1">(Result_EmissionsForWholeProductionCycle_Method2/F72)*G72</f>
        <v>535.13544526891303</v>
      </c>
      <c r="J72" s="15" t="s">
        <v>132</v>
      </c>
      <c r="K72" s="8"/>
    </row>
    <row r="73" spans="3:11" ht="20.100000000000001" customHeight="1" x14ac:dyDescent="0.25">
      <c r="C73" s="8"/>
      <c r="D73" s="1" t="s">
        <v>183</v>
      </c>
      <c r="E73" s="1" t="s">
        <v>137</v>
      </c>
      <c r="F73" s="18">
        <f>F64</f>
        <v>5</v>
      </c>
      <c r="G73" s="18">
        <f>G72</f>
        <v>0.8</v>
      </c>
      <c r="H73" s="18">
        <f ca="1">(Result_NetEmissions_Method1/F73)*G73</f>
        <v>535.38539140913201</v>
      </c>
      <c r="I73" s="18">
        <f ca="1">(Result_NetEmissions_Method2/F73)*G73</f>
        <v>535.13544526891303</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8.083279415209123E-4</v>
      </c>
      <c r="I74" s="18">
        <f ca="1">(Result_EmissionsForWholeProductionCycle_Method2/F74)*G74</f>
        <v>8.0795057140163693E-4</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8.083279415209123E-4</v>
      </c>
      <c r="I75" s="18">
        <f ca="1">(Result_NetEmissions_Method2/F75)*G75</f>
        <v>8.0795057140163693E-4</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21.621599226590043</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21.596433949755319</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8"/>
  <sheetViews>
    <sheetView showGridLines="0" topLeftCell="A4" workbookViewId="0" zoomScale="100" zoomScaleNormal="100">
      <selection activeCell="A58" sqref="A5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5"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Farm Inputs'!A1", "Farm Inputs")</f>
        <v>Farm Inputs</v>
      </c>
      <c r="D20" s="1" t="s">
        <v>19</v>
      </c>
      <c r="E20" s="25">
        <f>DATEDIF(E18,E19+1,"m")</f>
        <v>17</v>
      </c>
      <c r="F20" s="26" t="s">
        <v>128</v>
      </c>
    </row>
    <row r="21" spans="1:7" x14ac:dyDescent="0.25">
      <c r="A21" s="5" t="str">
        <f>HYPERLINK("#'Input - Freight'!A1", "Freight")</f>
        <v>Freight</v>
      </c>
    </row>
    <row r="22" spans="1:7" x14ac:dyDescent="0.25">
      <c r="A22" s="5" t="str">
        <f>HYPERLINK("#'Input - Manure sent off-site'!A1", "Manure sent off-site")</f>
        <v>Manure sent off-site</v>
      </c>
      <c r="D22" s="1" t="s">
        <v>23</v>
      </c>
      <c r="E22" s="90">
        <f>SUM(Table_Input_LivestockSales[Total liveweight sold])*10^-3</f>
        <v>5</v>
      </c>
      <c r="G22" s="26" t="s">
        <v>29</v>
      </c>
    </row>
    <row r="23" spans="1:7" x14ac:dyDescent="0.25">
      <c r="A23" s="5" t="str">
        <f>HYPERLINK("#'Input - Solid waste'!A1", "Solid waste")</f>
        <v>Solid waste</v>
      </c>
      <c r="D23" s="1" t="s">
        <v>24</v>
      </c>
      <c r="E23" s="90">
        <f>SUM(Enterprise_PastureBeef_InputFunctions.multiplyCorrespondingCells('Input - Pasture Beef'!X_Table_PastureBeef_Head_Method1, 'Input - Pasture Beef'!X_Table_PastureBeef_Duration_Method1, 'Input - Pasture Beef'!X_Table_PastureBeef_LiveweightGain_Method1))*10^-3</f>
        <v>154.76</v>
      </c>
      <c r="G23" s="26" t="s">
        <v>29</v>
      </c>
    </row>
    <row r="24" spans="1:7" x14ac:dyDescent="0.25">
      <c r="D24" s="1" t="s">
        <v>25</v>
      </c>
      <c r="E24" s="90">
        <f>SUM(Enterprise_PastureBeef_InputFunctions.multiplyCorrespondingCells('Input - Pasture Beef'!X_Table_PastureBeef_Head_Method2, 'Input - Pasture Beef'!X_Table_PastureBeef_Duration_Method2, 'Input - Pasture Beef'!X_Table_PastureBeef_LiveweightGain_Method2))*10^-3</f>
        <v>154.86799999999999</v>
      </c>
      <c r="G24" s="26" t="s">
        <v>29</v>
      </c>
    </row>
    <row r="25" spans="1:7" x14ac:dyDescent="0.25">
      <c r="D25" s="1" t="s">
        <v>173</v>
      </c>
      <c r="E25" s="90">
        <f ca="1">SUM(Enterprise_PastureBeef_InputFunctions.multiplyCorrespondingCells('Input - Pasture Beef'!X_Table_PastureBeef_Head_Method1, 'Input - Pasture Beef'!X_Table_PastureBeef_Duration_Method1, '4.2.1.1-2 Methane'!M1_Table_VS_j_k_l))*10^-3</f>
        <v>910.11796961721961</v>
      </c>
      <c r="G25" s="26" t="s">
        <v>29</v>
      </c>
    </row>
    <row r="26" spans="1:7" x14ac:dyDescent="0.25">
      <c r="A26" s="6" t="s">
        <v>2</v>
      </c>
      <c r="D26" s="1" t="s">
        <v>174</v>
      </c>
      <c r="E26" s="90">
        <f ca="1">SUM(Enterprise_PastureBeef_InputFunctions.multiplyCorrespondingCells('Input - Pasture Beef'!X_Table_PastureBeef_Head_Method2, 'Input - Pasture Beef'!X_Table_PastureBeef_Duration_Method2, M2_Table_VS_j_k_l))*10^-3</f>
        <v>909.68545159248845</v>
      </c>
      <c r="G26" s="26" t="s">
        <v>29</v>
      </c>
    </row>
    <row r="27" spans="1:7" x14ac:dyDescent="0.25">
      <c r="A27" s="5" t="str">
        <f>HYPERLINK("#'3.2.1.1-2 Enteric Methane'!A1", "3.2.1.1-2 Enteric methane")</f>
        <v>3.2.1.1-2 Enteric methane</v>
      </c>
      <c r="D27" s="1" t="s">
        <v>26</v>
      </c>
      <c r="E27" s="28">
        <v>0.1</v>
      </c>
      <c r="G27" s="26" t="s">
        <v>172</v>
      </c>
    </row>
    <row r="28" spans="1:7" x14ac:dyDescent="0.25">
      <c r="A28" s="5" t="str">
        <f>HYPERLINK("#'4.2.1.1-2 Methane'!A1", "4.2.1.1-2 Manure methane")</f>
        <v>4.2.1.1-2 Manure methane</v>
      </c>
      <c r="D28" s="1" t="s">
        <v>27</v>
      </c>
      <c r="E28" s="28">
        <v>0.2</v>
      </c>
      <c r="G28" s="26" t="s">
        <v>172</v>
      </c>
    </row>
    <row r="29" spans="1:7" x14ac:dyDescent="0.25">
      <c r="A29" s="5" t="str">
        <f>HYPERLINK("#'4.2.1.3-4 Soil direct N20'!A1", "4.2.1.3-4 Soil direct N2O")</f>
        <v>4.2.1.3-4 Soil direct N2O</v>
      </c>
      <c r="D29" s="1" t="s">
        <v>28</v>
      </c>
      <c r="E29" s="29">
        <f>100%-E27-E28</f>
        <v>0.7</v>
      </c>
      <c r="G29" s="26" t="s">
        <v>172</v>
      </c>
    </row>
    <row r="30" spans="1:7" x14ac:dyDescent="0.25">
      <c r="A30" s="5" t="str">
        <f>HYPERLINK("#'4.2.1.5-6 Soil Atmos Dep'!A1", "4.2.1.5-6 Soil atm. deposition")</f>
        <v>4.2.1.5-6 Soil atm. deposition</v>
      </c>
    </row>
    <row r="31" spans="1:7" x14ac:dyDescent="0.25">
      <c r="A31" s="5" t="str">
        <f>HYPERLINK("#'4.2.1.7-8 Soil leach runoff'!A1", "4.2.1.7-8 Soil leach &amp; runoff")</f>
        <v>4.2.1.7-8 Soil leach &amp; runoff</v>
      </c>
      <c r="D31" s="1" t="s">
        <v>175</v>
      </c>
      <c r="E31" s="28">
        <v>0.8</v>
      </c>
      <c r="G31" s="26" t="s">
        <v>172</v>
      </c>
    </row>
    <row r="32" spans="1:7" x14ac:dyDescent="0.25">
      <c r="A32" s="5" t="str">
        <f>HYPERLINK("#'5.1.1.1-2 Inorganic fert N2O'!A1", "5.1.1.1-2 Inorganic fert N2O")</f>
        <v>5.1.1.1-2 Inorganic fert N2O</v>
      </c>
      <c r="D32" s="1" t="s">
        <v>176</v>
      </c>
      <c r="E32" s="28">
        <v>0.2</v>
      </c>
      <c r="G32" s="26" t="s">
        <v>172</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workbookViewId="0" zoomScale="100" zoomScaleNormal="100">
      <selection activeCell="A58" sqref="A58"/>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5"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HYPERLINK("#'3.2.1.1-2 Enteric Methane'!A1", "3.2.1.1-2 Enteric methane")</f>
        <v>3.2.1.1-2 Enteric methane</v>
      </c>
    </row>
    <row r="28" spans="1:25" ht="20.100000000000001" customHeight="1" x14ac:dyDescent="0.25">
      <c r="A28" s="5" t="str">
        <f>HYPERLINK("#'4.2.1.1-2 Methane'!A1", "4.2.1.1-2 Manure methane")</f>
        <v>4.2.1.1-2 Manure methane</v>
      </c>
    </row>
    <row r="29" spans="1:25" ht="20.100000000000001" customHeight="1" x14ac:dyDescent="0.25">
      <c r="A29" s="5" t="str">
        <f>HYPERLINK("#'4.2.1.3-4 Soil direct N20'!A1", "4.2.1.3-4 Soil direct N2O")</f>
        <v>4.2.1.3-4 Soil direct N2O</v>
      </c>
    </row>
    <row r="30" spans="1:25" ht="20.100000000000001" customHeight="1" x14ac:dyDescent="0.25">
      <c r="A30" s="5" t="str">
        <f>HYPERLINK("#'4.2.1.5-6 Soil Atmos Dep'!A1", "4.2.1.5-6 Soil atm. deposition")</f>
        <v>4.2.1.5-6 Soil atm. deposition</v>
      </c>
      <c r="L30" s="61"/>
      <c r="M30" s="61"/>
      <c r="N30" s="61"/>
      <c r="O30" s="61"/>
      <c r="P30" s="61"/>
      <c r="Q30" s="61"/>
      <c r="R30" s="61"/>
      <c r="S30" s="61"/>
      <c r="T30" s="61"/>
      <c r="U30" s="61"/>
      <c r="V30" s="61"/>
      <c r="W30" s="61"/>
      <c r="X30" s="61"/>
      <c r="Y30" s="61"/>
    </row>
    <row r="31" spans="1:25" ht="20.100000000000001" customHeight="1" x14ac:dyDescent="0.25">
      <c r="A31" s="5" t="str">
        <f>HYPERLINK("#'4.2.1.7-8 Soil leach runoff'!A1", "4.2.1.7-8 Soil leach &amp; runoff")</f>
        <v>4.2.1.7-8 Soil leach &amp; runoff</v>
      </c>
      <c r="L31" s="62"/>
      <c r="M31" s="62"/>
      <c r="N31" s="62"/>
      <c r="O31" s="62"/>
      <c r="P31" s="62"/>
      <c r="Q31" s="62"/>
      <c r="R31" s="62"/>
      <c r="S31" s="62"/>
      <c r="T31" s="62"/>
      <c r="U31" s="62"/>
      <c r="V31" s="62"/>
      <c r="W31" s="62"/>
      <c r="X31" s="62"/>
      <c r="Y31" s="62"/>
    </row>
    <row r="32" spans="1:25" ht="20.100000000000001" customHeight="1" x14ac:dyDescent="0.25">
      <c r="A32" s="5" t="str">
        <f>HYPERLINK("#'5.1.1.1-2 Inorganic fert N2O'!A1", "5.1.1.1-2 Inorganic fert N2O")</f>
        <v>5.1.1.1-2 Inorganic fert N2O</v>
      </c>
      <c r="L32" s="62"/>
      <c r="M32" s="62"/>
      <c r="N32" s="62"/>
      <c r="O32" s="62"/>
      <c r="P32" s="62"/>
      <c r="Q32" s="62"/>
      <c r="R32" s="62"/>
      <c r="S32" s="62"/>
      <c r="T32" s="62"/>
      <c r="U32" s="62"/>
      <c r="V32" s="62"/>
      <c r="W32" s="62"/>
      <c r="X32" s="62"/>
      <c r="Y32" s="62"/>
    </row>
    <row r="33" spans="1:25" ht="20.100000000000001" customHeight="1" x14ac:dyDescent="0.25">
      <c r="A33" s="5" t="str">
        <f>HYPERLINK("#'5.1.1.3-4 Inorganic fert CO2'!A1", "5.1.1.3-4 Inorganic fert CO2")</f>
        <v>5.1.1.3-4 Inorganic fert CO2</v>
      </c>
      <c r="L33" s="62"/>
      <c r="M33" s="62"/>
      <c r="N33" s="62"/>
      <c r="O33" s="62"/>
      <c r="P33" s="62"/>
      <c r="Q33" s="62"/>
      <c r="R33" s="62"/>
      <c r="S33" s="62"/>
      <c r="T33" s="62"/>
      <c r="U33" s="62"/>
      <c r="V33" s="62"/>
      <c r="W33" s="62"/>
      <c r="X33" s="62"/>
      <c r="Y33" s="62"/>
    </row>
    <row r="34" spans="1:25" ht="20.100000000000001" customHeight="1" x14ac:dyDescent="0.25">
      <c r="A34" s="5" t="str">
        <f>HYPERLINK("#'5.2.1.1-2 Organic Fert N2O'!A1", "5.2.1.1-2 Organic fert N2O")</f>
        <v>5.2.1.1-2 Organic fert N2O</v>
      </c>
      <c r="J34" s="64"/>
      <c r="K34" s="65"/>
      <c r="L34" s="62"/>
      <c r="M34" s="62"/>
      <c r="N34" s="62"/>
      <c r="O34" s="62"/>
      <c r="P34" s="62"/>
      <c r="Q34" s="62"/>
      <c r="R34" s="62"/>
      <c r="S34" s="62"/>
      <c r="T34" s="62"/>
      <c r="U34" s="62"/>
      <c r="V34" s="62"/>
      <c r="W34" s="62"/>
      <c r="X34" s="62"/>
      <c r="Y34" s="62"/>
    </row>
    <row r="35" spans="1:25" ht="20.100000000000001" customHeight="1" x14ac:dyDescent="0.25">
      <c r="A35" s="5" t="str">
        <f>HYPERLINK("#'5.3.1.1-2 Lime CO2'!A1", "5.3.1.1-2 Lime CO2")</f>
        <v>5.3.1.1-2 Lime CO2</v>
      </c>
      <c r="J35" s="64"/>
      <c r="K35" s="65"/>
      <c r="L35" s="62"/>
      <c r="M35" s="62"/>
      <c r="N35" s="62"/>
      <c r="O35" s="62"/>
      <c r="P35" s="62"/>
      <c r="Q35" s="62"/>
      <c r="R35" s="62"/>
      <c r="S35" s="62"/>
      <c r="T35" s="62"/>
      <c r="U35" s="62"/>
      <c r="V35" s="62"/>
      <c r="W35" s="62"/>
      <c r="X35" s="62"/>
      <c r="Y35" s="62"/>
    </row>
    <row r="36" spans="1:25" ht="20.100000000000001" customHeight="1" x14ac:dyDescent="0.25">
      <c r="A36" s="5" t="str">
        <f>HYPERLINK("#'5.4.1.1-4 Atmos deposition'!A1", "5.4.1.1-4 Atmos. deposition")</f>
        <v>5.4.1.1-4 Atmos. deposition</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HYPERLINK("#'5.5.1.1-2 Leaching and runoff'!A1", "5.5.1.1-2 Leaching &amp; runoff")</f>
        <v>5.5.1.1-2 Leaching &amp; runoff</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HYPERLINK("#'6.2.1.1-2 Pasture residue N2O'!A1", "6.2.1.1-2 Pasture residue N2O")</f>
        <v>6.2.1.1-2 Pasture residue N2O</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HYPERLINK("#'6.3.1.1-2 Leach runoff pasture'!A1", "6.3.1.1-2 Leach &amp; runoff (pasture)")</f>
        <v>6.3.1.1-2 Leach &amp; runoff (pasture)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HYPERLINK("#'8.1.1.1-2 Transport fuel'!A1", "8.1.1.1-2 Transport fuel")</f>
        <v>8.1.1.1-2 Transport fuel</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HYPERLINK("#'8.2.1.1-2 Stationary fuel'!A1", "8.2.1.1-2 Stationary fuel")</f>
        <v>8.2.1.1-2 Stationary fuel</v>
      </c>
    </row>
    <row r="42" spans="1:25" ht="20.100000000000001" customHeight="1" x14ac:dyDescent="0.25">
      <c r="A42" s="5" t="str">
        <f>HYPERLINK("#'14.1.1-2 Purchased electricity'!A1", "14.1.1-2 Purchased electricity")</f>
        <v>14.1.1-2 Purchased electricity</v>
      </c>
    </row>
    <row r="43" spans="1:25" ht="20.100000000000001" customHeight="1" x14ac:dyDescent="0.25">
      <c r="A43" s="5" t="str">
        <f>HYPERLINK("#'15 Scope 3'!A1", "15 Scope 3")</f>
        <v>15 Scope 3</v>
      </c>
    </row>
    <row r="44" spans="1:25" ht="20.100000000000001" customHeight="1" x14ac:dyDescent="0.25">
      <c r="A44" s="5" t="str">
        <f>HYPERLINK("#'Calcs - Manure sent off-site'!A1", "Calcs - Manure sent off-site")</f>
        <v>Calcs - Manure sent off-site</v>
      </c>
    </row>
    <row r="45" spans="1:25" ht="20.100000000000001" customHeight="1" x14ac:dyDescent="0.25">
      <c r="A45" s="5" t="str">
        <f>HYPERLINK("#'10.1.1-2 Solid waste treatment'!A1", "10.1.1-2 Solid waste treatment")</f>
        <v>10.1.1-2 Solid waste treatment</v>
      </c>
      <c r="D45" s="2"/>
    </row>
    <row r="46" spans="1:25" ht="20.100000000000001" customHeight="1" x14ac:dyDescent="0.25">
      <c r="A46"/>
      <c r="D46" s="2"/>
    </row>
    <row r="47" spans="1:25" ht="20.100000000000001" customHeight="1" x14ac:dyDescent="0.25">
      <c r="A47"/>
      <c r="D47" s="73"/>
      <c r="E47" s="73"/>
      <c r="F47" s="73"/>
      <c r="G47" s="73"/>
      <c r="H47" s="73"/>
    </row>
    <row r="48" spans="1:25" ht="20.100000000000001" customHeight="1" x14ac:dyDescent="0.25">
      <c r="A48" s="96" t="s">
        <v>1</v>
      </c>
      <c r="D48" s="74"/>
      <c r="E48" s="74"/>
      <c r="F48" s="75"/>
      <c r="G48" s="75"/>
      <c r="H48" s="74"/>
    </row>
    <row r="49" spans="1:8" ht="20.100000000000001" customHeight="1" x14ac:dyDescent="0.25">
      <c r="A49" s="5" t="str">
        <f>HYPERLINK("#'Constants - Pasture Beef'!A1", "Constants - Pasture Beef")</f>
        <v>Constants - Pasture Beef</v>
      </c>
      <c r="D49" s="74"/>
      <c r="E49" s="74"/>
      <c r="F49" s="75"/>
      <c r="G49" s="75"/>
      <c r="H49" s="74"/>
    </row>
    <row r="50" spans="1:8" ht="20.100000000000001" customHeight="1" x14ac:dyDescent="0.25">
      <c r="A50" s="5" t="str">
        <f>HYPERLINK("#'Constants - Ag Residue'!A1", "Constants - Ag residue")</f>
        <v>Constants - Ag residue</v>
      </c>
      <c r="D50" s="74"/>
      <c r="E50" s="74"/>
      <c r="F50" s="75"/>
      <c r="G50" s="75"/>
      <c r="H50" s="74"/>
    </row>
    <row r="51" spans="1:8" ht="20.100000000000001" customHeight="1" x14ac:dyDescent="0.25">
      <c r="A51" s="5" t="str">
        <f>HYPERLINK("#'Constants - Common Livestock'!A1", "Constants - Common Livestock")</f>
        <v>Constants - Common Livestock</v>
      </c>
      <c r="D51" s="76"/>
      <c r="E51" s="77"/>
      <c r="F51" s="77"/>
      <c r="G51" s="77"/>
      <c r="H51" s="78"/>
    </row>
    <row r="52" spans="1:8" ht="20.100000000000001" customHeight="1" x14ac:dyDescent="0.25">
      <c r="A52" s="5" t="str">
        <f>HYPERLINK("#'Constants - Electricity'!A1", "Constants - Electricity")</f>
        <v>Constants - Electricity</v>
      </c>
    </row>
    <row r="53" spans="1:8" ht="20.100000000000001" customHeight="1" x14ac:dyDescent="0.25">
      <c r="A53" s="5" t="str">
        <f>HYPERLINK("#'Constants - Fertiliser'!A1", "Constants - Fertiliser")</f>
        <v>Constants - Fertiliser</v>
      </c>
    </row>
    <row r="54" spans="1:8" ht="20.100000000000001" customHeight="1" x14ac:dyDescent="0.25">
      <c r="A54" s="5" t="str">
        <f>HYPERLINK("#'Constants - Fuel'!A1", "Constants - Fuel")</f>
        <v>Constants - Fuel</v>
      </c>
      <c r="G54" s="79"/>
    </row>
    <row r="55" spans="1:8" ht="20.100000000000001" customHeight="1" x14ac:dyDescent="0.25">
      <c r="A55" s="5" t="str">
        <f>HYPERLINK("#'Constants - Scope 3'!A1", "Constants - Scope 3")</f>
        <v>Constants - Scope 3</v>
      </c>
      <c r="D55" s="2"/>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c r="D57" s="80"/>
      <c r="F57" s="81"/>
    </row>
    <row r="58" spans="1:8" ht="20.100000000000001" customHeight="1" x14ac:dyDescent="0.25">
      <c r="A58" s="5" t="str">
        <f>HYPERLINK("#'Constants - Solid Waste'!A1", "Constants - Solid Waste")</f>
        <v>Constants - Solid Waste</v>
      </c>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FD3DF-06D4-4A6D-9655-EF8D297E577F}">
  <dimension ref="A1:AA334"/>
  <sheetViews>
    <sheetView showGridLines="0" topLeftCell="A9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95"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7" t="s">
        <v>210</v>
      </c>
      <c r="E16" s="97" t="s">
        <v>211</v>
      </c>
      <c r="F16" s="97" t="s">
        <v>201</v>
      </c>
      <c r="G16" s="97" t="s">
        <v>212</v>
      </c>
      <c r="H16" s="97" t="s">
        <v>213</v>
      </c>
      <c r="I16" s="97" t="s">
        <v>214</v>
      </c>
      <c r="J16" s="97" t="s">
        <v>215</v>
      </c>
      <c r="K16" s="97" t="s">
        <v>216</v>
      </c>
      <c r="L16" s="97" t="s">
        <v>217</v>
      </c>
      <c r="M16" s="97" t="s">
        <v>218</v>
      </c>
      <c r="N16" s="97"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7" t="s">
        <v>224</v>
      </c>
      <c r="E22" s="97" t="s">
        <v>211</v>
      </c>
      <c r="F22" s="97" t="s">
        <v>201</v>
      </c>
      <c r="G22" s="97" t="s">
        <v>212</v>
      </c>
      <c r="H22" s="97" t="s">
        <v>213</v>
      </c>
      <c r="I22" s="97" t="s">
        <v>214</v>
      </c>
      <c r="J22" s="97" t="s">
        <v>215</v>
      </c>
      <c r="K22" s="97" t="s">
        <v>216</v>
      </c>
      <c r="L22" s="97" t="s">
        <v>217</v>
      </c>
      <c r="M22" s="97" t="s">
        <v>218</v>
      </c>
      <c r="N22" s="97"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7" t="s">
        <v>226</v>
      </c>
      <c r="E38" s="97" t="s">
        <v>211</v>
      </c>
      <c r="F38" s="97" t="s">
        <v>201</v>
      </c>
      <c r="G38" s="97" t="s">
        <v>212</v>
      </c>
      <c r="H38" s="97" t="s">
        <v>213</v>
      </c>
      <c r="I38" s="97" t="s">
        <v>214</v>
      </c>
      <c r="J38" s="97" t="s">
        <v>215</v>
      </c>
      <c r="K38" s="97" t="s">
        <v>216</v>
      </c>
      <c r="L38" s="97" t="s">
        <v>217</v>
      </c>
      <c r="M38" s="97" t="s">
        <v>218</v>
      </c>
      <c r="N38" s="97"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7" t="s">
        <v>227</v>
      </c>
      <c r="E44" s="97" t="s">
        <v>211</v>
      </c>
      <c r="F44" s="97" t="s">
        <v>201</v>
      </c>
      <c r="G44" s="97" t="s">
        <v>212</v>
      </c>
      <c r="H44" s="97" t="s">
        <v>213</v>
      </c>
      <c r="I44" s="97" t="s">
        <v>214</v>
      </c>
      <c r="J44" s="97" t="s">
        <v>215</v>
      </c>
      <c r="K44" s="97" t="s">
        <v>216</v>
      </c>
      <c r="L44" s="97" t="s">
        <v>217</v>
      </c>
      <c r="M44" s="97" t="s">
        <v>218</v>
      </c>
      <c r="N44" s="97"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6"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7" t="s">
        <v>210</v>
      </c>
      <c r="E60" s="97" t="s">
        <v>211</v>
      </c>
      <c r="F60" s="97" t="s">
        <v>201</v>
      </c>
      <c r="G60" s="97" t="s">
        <v>212</v>
      </c>
      <c r="H60" s="97" t="s">
        <v>213</v>
      </c>
      <c r="I60" s="97" t="s">
        <v>214</v>
      </c>
      <c r="J60" s="97" t="s">
        <v>215</v>
      </c>
      <c r="K60" s="97" t="s">
        <v>216</v>
      </c>
      <c r="L60" s="97" t="s">
        <v>217</v>
      </c>
      <c r="M60" s="97" t="s">
        <v>218</v>
      </c>
      <c r="N60" s="97" t="s">
        <v>219</v>
      </c>
      <c r="P60" s="35"/>
      <c r="T60" s="32"/>
    </row>
    <row r="61" spans="1:20" ht="20.100000000000001" customHeight="1" x14ac:dyDescent="0.25">
      <c r="D61" s="1" t="s">
        <v>220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7" t="s">
        <v>224</v>
      </c>
      <c r="E66" s="97" t="s">
        <v>211</v>
      </c>
      <c r="F66" s="97" t="s">
        <v>201</v>
      </c>
      <c r="G66" s="97" t="s">
        <v>212</v>
      </c>
      <c r="H66" s="97" t="s">
        <v>213</v>
      </c>
      <c r="I66" s="97" t="s">
        <v>214</v>
      </c>
      <c r="J66" s="97" t="s">
        <v>215</v>
      </c>
      <c r="K66" s="97" t="s">
        <v>216</v>
      </c>
      <c r="L66" s="97" t="s">
        <v>217</v>
      </c>
      <c r="M66" s="97" t="s">
        <v>218</v>
      </c>
      <c r="N66" s="97" t="s">
        <v>219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7" t="s">
        <v>210</v>
      </c>
      <c r="E82" s="97" t="s">
        <v>211</v>
      </c>
      <c r="F82" s="97" t="s">
        <v>201</v>
      </c>
      <c r="G82" s="97" t="s">
        <v>212</v>
      </c>
      <c r="H82" s="97" t="s">
        <v>213</v>
      </c>
      <c r="I82" s="97" t="s">
        <v>214</v>
      </c>
      <c r="J82" s="97" t="s">
        <v>215</v>
      </c>
      <c r="K82" s="97" t="s">
        <v>216</v>
      </c>
      <c r="L82" s="97" t="s">
        <v>217</v>
      </c>
      <c r="M82" s="97" t="s">
        <v>218</v>
      </c>
      <c r="N82" s="97" t="s">
        <v>219</v>
      </c>
      <c r="T82" s="32"/>
    </row>
    <row r="83" spans="4:20" ht="20.100000000000001" customHeight="1" x14ac:dyDescent="0.25">
      <c r="D83" s="1" t="s">
        <v>220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7" t="s">
        <v>224</v>
      </c>
      <c r="E88" s="97" t="s">
        <v>211</v>
      </c>
      <c r="F88" s="97" t="s">
        <v>201</v>
      </c>
      <c r="G88" s="97" t="s">
        <v>212</v>
      </c>
      <c r="H88" s="97" t="s">
        <v>213</v>
      </c>
      <c r="I88" s="97" t="s">
        <v>214</v>
      </c>
      <c r="J88" s="97" t="s">
        <v>215</v>
      </c>
      <c r="K88" s="97" t="s">
        <v>216</v>
      </c>
      <c r="L88" s="97" t="s">
        <v>217</v>
      </c>
      <c r="M88" s="97" t="s">
        <v>218</v>
      </c>
      <c r="N88" s="97" t="s">
        <v>219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7" t="s">
        <v>226</v>
      </c>
      <c r="E104" s="97"/>
      <c r="F104" s="97"/>
      <c r="G104" s="97"/>
      <c r="T104" s="32"/>
    </row>
    <row r="105" spans="4:20" ht="20.100000000000001" customHeight="1" x14ac:dyDescent="0.25">
      <c r="D105" s="1" t="s">
        <v>233</v>
      </c>
      <c r="E105" s="23" t="s">
        <v>223</v>
      </c>
      <c r="F105" s="26" t="s">
        <v>110</v>
      </c>
      <c r="T105" s="32"/>
    </row>
    <row r="106" spans="4:20" ht="20.100000000000001" customHeight="1" x14ac:dyDescent="0.25">
      <c r="T106" s="32"/>
    </row>
    <row r="107" spans="4:20" ht="20.100000000000001" customHeight="1" x14ac:dyDescent="0.25"/>
    <row r="108" spans="4:20" ht="20.100000000000001" customHeight="1" x14ac:dyDescent="0.25">
      <c r="K108" s="1" t="s">
        <v>234</v>
      </c>
    </row>
    <row r="109" spans="4:20" ht="20.100000000000001" customHeight="1" x14ac:dyDescent="0.25"/>
    <row r="110" spans="4:20" ht="20.100000000000001" customHeight="1" x14ac:dyDescent="0.25">
      <c r="E110" s="97" t="s">
        <v>235</v>
      </c>
      <c r="F110" s="97" t="s">
        <v>213</v>
      </c>
      <c r="G110" s="97" t="s">
        <v>214</v>
      </c>
      <c r="H110" s="97" t="s">
        <v>215</v>
      </c>
      <c r="L110" s="1" t="s">
        <v>212</v>
      </c>
      <c r="M110" s="1" t="s">
        <v>216</v>
      </c>
      <c r="N110" s="26"/>
      <c r="O110" s="26"/>
    </row>
    <row r="111" spans="4:20" ht="20.100000000000001" customHeight="1" x14ac:dyDescent="0.25">
      <c r="D111" s="1" t="str">
        <f>"Proportion of cows &gt; 1 years in calf in " &amp; E105</f>
        <v>Proportion of cows &gt; 1 years in calf in Winter</v>
      </c>
      <c r="E111" s="23" t="s">
        <v>236</v>
      </c>
      <c r="F111" s="28">
        <v>0.7</v>
      </c>
      <c r="G111" s="28">
        <v>0.5</v>
      </c>
      <c r="H111" s="28">
        <v>0.5</v>
      </c>
      <c r="I111" s="26" t="s">
        <v>237</v>
      </c>
      <c r="L111" s="25">
        <f>MAX(0, G42-G41)</f>
        <v>0</v>
      </c>
      <c r="M111" s="25">
        <f>MAX(0,K42-K41)</f>
        <v>0</v>
      </c>
      <c r="N111" s="26"/>
      <c r="O111" s="26"/>
    </row>
    <row r="112" spans="4:20" ht="20.100000000000001" customHeight="1" x14ac:dyDescent="0.25">
      <c r="D112" s="1" t="s">
        <v>220</v>
      </c>
      <c r="E112" s="23" t="s">
        <v>236</v>
      </c>
      <c r="F112" s="28">
        <v>0.1</v>
      </c>
      <c r="G112" s="28">
        <v>0.4</v>
      </c>
      <c r="H112" s="28">
        <v>0.4</v>
      </c>
      <c r="I112" s="26" t="s">
        <v>237</v>
      </c>
      <c r="L112" s="25">
        <f>MAX(0, G39-G42)</f>
        <v>0</v>
      </c>
      <c r="M112" s="25">
        <f>MAX(0,K39-K42)</f>
        <v>0</v>
      </c>
    </row>
    <row r="113" spans="4:15" ht="20.100000000000001" customHeight="1" x14ac:dyDescent="0.25">
      <c r="D113" s="1" t="s">
        <v>221</v>
      </c>
      <c r="E113" s="23" t="s">
        <v>236</v>
      </c>
      <c r="F113" s="28">
        <v>0.1</v>
      </c>
      <c r="G113" s="28">
        <v>0</v>
      </c>
      <c r="H113" s="28">
        <v>0</v>
      </c>
      <c r="I113" s="26" t="s">
        <v>237</v>
      </c>
      <c r="L113" s="25">
        <f>MAX(0, G40-G39)</f>
        <v>0</v>
      </c>
      <c r="M113" s="25">
        <f>MAX(0,K40-K39)</f>
        <v>0</v>
      </c>
    </row>
    <row r="114" spans="4:15" ht="20.100000000000001" customHeight="1" x14ac:dyDescent="0.25">
      <c r="D114" s="1" t="s">
        <v>222</v>
      </c>
      <c r="E114" s="23" t="s">
        <v>238</v>
      </c>
      <c r="F114" s="28">
        <v>0</v>
      </c>
      <c r="G114" s="28">
        <v>0</v>
      </c>
      <c r="H114" s="28">
        <v>0</v>
      </c>
      <c r="I114" s="26" t="s">
        <v>237</v>
      </c>
      <c r="L114" s="25">
        <f>MAX(0,G41-G40)</f>
        <v>0</v>
      </c>
      <c r="M114" s="25">
        <f>MAX(0,K41-K40)</f>
        <v>0</v>
      </c>
    </row>
    <row r="115" spans="4:15" ht="20.100000000000001" customHeight="1" x14ac:dyDescent="0.25">
      <c r="J115" s="1" t="s">
        <v>239</v>
      </c>
    </row>
    <row r="116" spans="4:15" ht="20.100000000000001" customHeight="1" x14ac:dyDescent="0.25"/>
    <row r="117" spans="4:15" ht="20.100000000000001" customHeight="1" x14ac:dyDescent="0.25"/>
    <row r="118" spans="4:15" ht="20.100000000000001" customHeight="1" x14ac:dyDescent="0.25">
      <c r="D118" s="97" t="s">
        <v>227</v>
      </c>
      <c r="E118" s="97"/>
      <c r="F118" s="97"/>
      <c r="G118" s="97"/>
      <c r="L118" s="98" t="s">
        <v>240</v>
      </c>
    </row>
    <row r="119" spans="4:15" ht="20.100000000000001" customHeight="1" x14ac:dyDescent="0.25">
      <c r="D119" s="1" t="s">
        <v>241</v>
      </c>
      <c r="E119" s="23" t="s">
        <v>242</v>
      </c>
      <c r="F119" s="26" t="s">
        <v>110</v>
      </c>
      <c r="J119" s="88" t="s">
        <v>211</v>
      </c>
    </row>
    <row r="120" spans="4:15" ht="20.100000000000001" customHeight="1" x14ac:dyDescent="0.25">
      <c r="D120" s="1" t="s">
        <v>243</v>
      </c>
      <c r="E120" s="25" t="str">
        <f>TEXT(EDATE(E119,1), "mmmm yyyy")</f>
        <v>September 2024</v>
      </c>
      <c r="J120" s="1" t="s">
        <v>225</v>
      </c>
      <c r="K120" s="1" t="s">
        <v>244</v>
      </c>
      <c r="L120" s="1" t="s">
        <v>239</v>
      </c>
      <c r="M120" s="1" t="s">
        <v>245</v>
      </c>
      <c r="N120" s="1" t="s">
        <v>246</v>
      </c>
      <c r="O120" s="1" t="s">
        <v>247</v>
      </c>
    </row>
    <row r="121" spans="4:15" ht="20.100000000000001" customHeight="1" x14ac:dyDescent="0.25">
      <c r="D121" s="1" t="s">
        <v>248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7" t="s">
        <v>213</v>
      </c>
      <c r="F124" s="97" t="s">
        <v>214</v>
      </c>
      <c r="G124" s="97" t="s">
        <v>215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237</v>
      </c>
      <c r="L125" s="26"/>
      <c r="M125" s="26"/>
      <c r="N125" s="26"/>
      <c r="O125" s="26"/>
    </row>
    <row r="126" spans="4:15" ht="20.100000000000001" customHeight="1" x14ac:dyDescent="0.25">
      <c r="D126" s="1" t="str">
        <f>E120</f>
        <v>September 2024</v>
      </c>
      <c r="E126" s="28">
        <v>0.25</v>
      </c>
      <c r="F126" s="28">
        <v>0.25</v>
      </c>
      <c r="G126" s="28">
        <v>0.25</v>
      </c>
      <c r="H126" s="26" t="s">
        <v>237</v>
      </c>
    </row>
    <row r="127" spans="4:15" ht="20.100000000000001" customHeight="1" x14ac:dyDescent="0.25">
      <c r="D127" s="1" t="str">
        <f>E121</f>
        <v>October 2024</v>
      </c>
      <c r="E127" s="28">
        <v>0.25</v>
      </c>
      <c r="F127" s="28">
        <v>0.25</v>
      </c>
      <c r="G127" s="28">
        <v>0.25</v>
      </c>
      <c r="H127" s="26" t="s">
        <v>237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237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1" t="s">
        <v>249</v>
      </c>
      <c r="K131" s="26"/>
      <c r="L131" s="26"/>
      <c r="M131" s="26"/>
      <c r="N131" s="26"/>
      <c r="O131" s="26"/>
    </row>
    <row r="132" spans="4:15" ht="20.100000000000001" customHeight="1" x14ac:dyDescent="0.25">
      <c r="D132" s="97" t="s">
        <v>210</v>
      </c>
      <c r="E132" s="97" t="s">
        <v>211</v>
      </c>
      <c r="F132" s="97" t="s">
        <v>201</v>
      </c>
      <c r="G132" s="97" t="s">
        <v>212</v>
      </c>
      <c r="H132" s="97" t="s">
        <v>213</v>
      </c>
      <c r="I132" s="97" t="s">
        <v>214</v>
      </c>
      <c r="J132" s="97" t="s">
        <v>215</v>
      </c>
      <c r="K132" s="97" t="s">
        <v>216</v>
      </c>
      <c r="L132" s="97" t="s">
        <v>217</v>
      </c>
      <c r="M132" s="97" t="s">
        <v>218</v>
      </c>
      <c r="N132" s="97" t="s">
        <v>219</v>
      </c>
    </row>
    <row r="133" spans="4:15" ht="20.100000000000001" customHeight="1" x14ac:dyDescent="0.25">
      <c r="D133" s="1" t="s">
        <v>220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250</v>
      </c>
    </row>
    <row r="134" spans="4:15" ht="20.100000000000001" customHeight="1" x14ac:dyDescent="0.25">
      <c r="D134" s="1" t="s">
        <v>221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250</v>
      </c>
    </row>
    <row r="135" spans="4:15" ht="20.100000000000001" customHeight="1" x14ac:dyDescent="0.25">
      <c r="D135" s="1" t="s">
        <v>222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250</v>
      </c>
    </row>
    <row r="136" spans="4:15" ht="20.100000000000001" customHeight="1" x14ac:dyDescent="0.25">
      <c r="D136" s="1" t="s">
        <v>223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250</v>
      </c>
    </row>
    <row r="137" spans="4:15" ht="20.100000000000001" customHeight="1" x14ac:dyDescent="0.25"/>
    <row r="138" spans="4:15" ht="20.100000000000001" customHeight="1" x14ac:dyDescent="0.25">
      <c r="D138" s="97" t="s">
        <v>224</v>
      </c>
      <c r="E138" s="97" t="s">
        <v>211</v>
      </c>
      <c r="F138" s="97" t="s">
        <v>201</v>
      </c>
      <c r="G138" s="97" t="s">
        <v>212</v>
      </c>
      <c r="H138" s="97" t="s">
        <v>213</v>
      </c>
      <c r="I138" s="97" t="s">
        <v>214</v>
      </c>
      <c r="J138" s="97" t="s">
        <v>215</v>
      </c>
      <c r="K138" s="97" t="s">
        <v>216</v>
      </c>
      <c r="L138" s="97" t="s">
        <v>217</v>
      </c>
      <c r="M138" s="97" t="s">
        <v>218</v>
      </c>
      <c r="N138" s="97" t="s">
        <v>219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250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250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250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250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250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250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250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250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250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250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250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250</v>
      </c>
    </row>
    <row r="151" spans="4:15" ht="20.100000000000001" customHeight="1" x14ac:dyDescent="0.25"/>
    <row r="152" spans="4:15" ht="20.100000000000001" customHeight="1" x14ac:dyDescent="0.25"/>
    <row r="153" spans="4:15" ht="20.100000000000001" customHeight="1" x14ac:dyDescent="0.25">
      <c r="D153" s="91" t="s">
        <v>251</v>
      </c>
      <c r="K153" s="26"/>
      <c r="L153" s="26"/>
      <c r="M153" s="26"/>
      <c r="N153" s="26"/>
      <c r="O153" s="26"/>
    </row>
    <row r="154" spans="4:15" ht="20.100000000000001" customHeight="1" x14ac:dyDescent="0.25">
      <c r="D154" s="97" t="s">
        <v>210</v>
      </c>
      <c r="E154" s="97" t="s">
        <v>211</v>
      </c>
      <c r="F154" s="97" t="s">
        <v>201</v>
      </c>
      <c r="G154" s="97" t="s">
        <v>212</v>
      </c>
      <c r="H154" s="97" t="s">
        <v>213</v>
      </c>
      <c r="I154" s="97" t="s">
        <v>214</v>
      </c>
      <c r="J154" s="97" t="s">
        <v>215</v>
      </c>
      <c r="K154" s="97" t="s">
        <v>216</v>
      </c>
      <c r="L154" s="97" t="s">
        <v>217</v>
      </c>
      <c r="M154" s="97" t="s">
        <v>218</v>
      </c>
      <c r="N154" s="97" t="s">
        <v>219</v>
      </c>
    </row>
    <row r="155" spans="4:15" ht="20.100000000000001" customHeight="1" x14ac:dyDescent="0.25">
      <c r="D155" s="1" t="s">
        <v>220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250</v>
      </c>
    </row>
    <row r="156" spans="4:15" ht="20.100000000000001" customHeight="1" x14ac:dyDescent="0.25">
      <c r="D156" s="1" t="s">
        <v>221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250</v>
      </c>
    </row>
    <row r="157" spans="4:15" ht="20.100000000000001" customHeight="1" x14ac:dyDescent="0.25">
      <c r="D157" s="1" t="s">
        <v>222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250</v>
      </c>
    </row>
    <row r="158" spans="4:15" ht="20.100000000000001" customHeight="1" x14ac:dyDescent="0.25">
      <c r="D158" s="1" t="s">
        <v>223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250</v>
      </c>
    </row>
    <row r="159" spans="4:15" ht="20.100000000000001" customHeight="1" x14ac:dyDescent="0.25"/>
    <row r="160" spans="4:15" ht="20.100000000000001" customHeight="1" x14ac:dyDescent="0.25">
      <c r="D160" s="97" t="s">
        <v>224</v>
      </c>
      <c r="E160" s="97" t="s">
        <v>211</v>
      </c>
      <c r="F160" s="97" t="s">
        <v>201</v>
      </c>
      <c r="G160" s="97" t="s">
        <v>212</v>
      </c>
      <c r="H160" s="97" t="s">
        <v>213</v>
      </c>
      <c r="I160" s="97" t="s">
        <v>214</v>
      </c>
      <c r="J160" s="97" t="s">
        <v>215</v>
      </c>
      <c r="K160" s="97" t="s">
        <v>216</v>
      </c>
      <c r="L160" s="97" t="s">
        <v>217</v>
      </c>
      <c r="M160" s="97" t="s">
        <v>218</v>
      </c>
      <c r="N160" s="97" t="s">
        <v>219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250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250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250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250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250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250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250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250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250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250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250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250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1" t="s">
        <v>252</v>
      </c>
      <c r="L175" s="26"/>
      <c r="M175" s="26"/>
      <c r="N175" s="26"/>
      <c r="O175" s="26"/>
    </row>
    <row r="176" spans="4:15" ht="20.100000000000001" customHeight="1" x14ac:dyDescent="0.25"/>
    <row r="177" spans="4:15" ht="20.100000000000001" customHeight="1" x14ac:dyDescent="0.25">
      <c r="D177" s="1" t="s">
        <v>253</v>
      </c>
      <c r="E177" s="23" t="s">
        <v>238</v>
      </c>
      <c r="F177" s="26" t="s">
        <v>110</v>
      </c>
      <c r="L177" s="26"/>
      <c r="M177" s="26"/>
      <c r="N177" s="26"/>
      <c r="O177" s="26"/>
    </row>
    <row r="178" spans="4:15" ht="20.100000000000001" customHeight="1" x14ac:dyDescent="0.25"/>
    <row r="179" spans="4:15" ht="20.100000000000001" customHeight="1" x14ac:dyDescent="0.25">
      <c r="D179" s="97" t="s">
        <v>254</v>
      </c>
      <c r="E179" s="97" t="s">
        <v>255</v>
      </c>
      <c r="L179" s="26"/>
      <c r="M179" s="26"/>
      <c r="N179" s="26"/>
      <c r="O179" s="26"/>
    </row>
    <row r="180" spans="4:15" ht="20.100000000000001" customHeight="1" x14ac:dyDescent="0.25">
      <c r="D180" s="1" t="s">
        <v>92</v>
      </c>
      <c r="E180" s="99">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237</v>
      </c>
      <c r="L180" s="26"/>
      <c r="M180" s="26"/>
      <c r="N180" s="26"/>
      <c r="O180" s="26"/>
    </row>
    <row r="181" spans="4:15" ht="20.100000000000001" customHeight="1" x14ac:dyDescent="0.25">
      <c r="D181" s="1" t="s">
        <v>80</v>
      </c>
      <c r="E181" s="99">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237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256</v>
      </c>
      <c r="E184" s="23" t="s">
        <v>191</v>
      </c>
      <c r="F184" s="26" t="s">
        <v>110</v>
      </c>
      <c r="L184" s="26"/>
      <c r="M184" s="26"/>
      <c r="N184" s="26"/>
      <c r="O184" s="26"/>
    </row>
    <row r="185" spans="4:15" ht="20.100000000000001" customHeight="1" x14ac:dyDescent="0.25">
      <c r="E185" s="23" t="s">
        <v>257</v>
      </c>
      <c r="F185" s="26" t="s">
        <v>110</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4:27" ht="20.100000000000001" customHeight="1" x14ac:dyDescent="0.25">
      <c r="D193" s="2"/>
    </row>
    <row r="194" spans="4:27" ht="20.100000000000001" customHeight="1" x14ac:dyDescent="0.25">
      <c r="D194" s="92"/>
    </row>
    <row r="195" spans="4:27" ht="20.100000000000001" customHeight="1" x14ac:dyDescent="0.25"/>
    <row r="196" spans="4:27" ht="20.100000000000001" customHeight="1" x14ac:dyDescent="0.25"/>
    <row r="197" spans="4:27" ht="20.100000000000001" customHeight="1" x14ac:dyDescent="0.25"/>
    <row r="198" spans="4:27" ht="20.100000000000001" customHeight="1" x14ac:dyDescent="0.25"/>
    <row r="199" spans="4:27" ht="20.100000000000001" customHeight="1" x14ac:dyDescent="0.25"/>
    <row r="200" spans="4:27" ht="20.100000000000001" customHeight="1" x14ac:dyDescent="0.25"/>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row r="205" spans="4:27" ht="20.100000000000001" customHeight="1" x14ac:dyDescent="0.25">
      <c r="Z205" s="94"/>
    </row>
    <row r="206" spans="4:27" ht="20.100000000000001" customHeight="1" x14ac:dyDescent="0.25">
      <c r="Z206" s="94"/>
      <c r="AA206" s="94"/>
    </row>
    <row r="207" spans="4:27" ht="20.100000000000001" customHeight="1" x14ac:dyDescent="0.25">
      <c r="Z207" s="94"/>
      <c r="AA207" s="94"/>
    </row>
    <row r="208" spans="4:27" ht="20.100000000000001" customHeight="1" x14ac:dyDescent="0.25">
      <c r="Z208" s="94"/>
      <c r="AA208" s="94"/>
    </row>
    <row r="209" spans="11:27" ht="20.100000000000001" customHeight="1" x14ac:dyDescent="0.25">
      <c r="Z209" s="94"/>
      <c r="AA209" s="94"/>
    </row>
    <row r="210" spans="11:27" ht="20.100000000000001" customHeight="1" x14ac:dyDescent="0.25">
      <c r="Z210" s="94"/>
      <c r="AA210" s="94"/>
    </row>
    <row r="211" spans="11:27" ht="20.100000000000001" customHeight="1" x14ac:dyDescent="0.25">
      <c r="Z211" s="94"/>
      <c r="AA211" s="94"/>
    </row>
    <row r="212" spans="11:27" ht="20.100000000000001" customHeight="1" x14ac:dyDescent="0.25">
      <c r="Z212" s="94"/>
      <c r="AA212" s="94"/>
    </row>
    <row r="213" spans="11:27" ht="20.100000000000001" customHeight="1" x14ac:dyDescent="0.25">
      <c r="Z213" s="94"/>
      <c r="AA213" s="94"/>
    </row>
    <row r="214" spans="11:27" ht="20.100000000000001" customHeight="1" x14ac:dyDescent="0.25">
      <c r="Z214" s="94"/>
      <c r="AA214" s="94"/>
    </row>
    <row r="215" spans="11:27" ht="20.100000000000001" customHeight="1" x14ac:dyDescent="0.25">
      <c r="Z215" s="94"/>
      <c r="AA215" s="94"/>
    </row>
    <row r="216" spans="11:27" ht="20.100000000000001" customHeight="1" x14ac:dyDescent="0.25">
      <c r="Z216" s="94"/>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E103:O103 L110:O111 M124:N124 I125 L125:O125 L173:O175 L177:O177 L179:O182 L184:O184 J203:J205 J208:J210 J223:K223 J228:K228 J233:K233 J238:K242 J244:K244 J246:K249 J251:K251 J257:K257 J262:K262 J267:K267 J272:K276 J278:K278 J280:K283 J285:K285">
    <cfRule type="cellIs" dxfId="104" priority="12" operator="lessThan">
      <formula>0</formula>
    </cfRule>
  </conditionalFormatting>
  <conditionalFormatting sqref="F217:F218">
    <cfRule type="cellIs" dxfId="103" priority="11" operator="lessThan">
      <formula>0</formula>
    </cfRule>
  </conditionalFormatting>
  <conditionalFormatting sqref="F222:F223">
    <cfRule type="cellIs" dxfId="102" priority="10" operator="lessThan">
      <formula>0</formula>
    </cfRule>
  </conditionalFormatting>
  <conditionalFormatting sqref="F227:F228">
    <cfRule type="cellIs" dxfId="101" priority="9" operator="lessThan">
      <formula>0</formula>
    </cfRule>
  </conditionalFormatting>
  <conditionalFormatting sqref="F251:F252">
    <cfRule type="cellIs" dxfId="100" priority="8" operator="lessThan">
      <formula>0</formula>
    </cfRule>
  </conditionalFormatting>
  <conditionalFormatting sqref="F256:F257">
    <cfRule type="cellIs" dxfId="99" priority="7" operator="lessThan">
      <formula>0</formula>
    </cfRule>
  </conditionalFormatting>
  <conditionalFormatting sqref="F261:F262">
    <cfRule type="cellIs" dxfId="98" priority="6" operator="lessThan">
      <formula>0</formula>
    </cfRule>
  </conditionalFormatting>
  <conditionalFormatting sqref="H124:K124">
    <cfRule type="cellIs" dxfId="97" priority="4" operator="lessThan">
      <formula>0</formula>
    </cfRule>
  </conditionalFormatting>
  <conditionalFormatting sqref="I130:O131">
    <cfRule type="cellIs" dxfId="96" priority="5" operator="lessThan">
      <formula>0</formula>
    </cfRule>
  </conditionalFormatting>
  <conditionalFormatting sqref="I153:O153">
    <cfRule type="cellIs" dxfId="95" priority="3" operator="lessThan">
      <formula>0</formula>
    </cfRule>
  </conditionalFormatting>
  <conditionalFormatting sqref="K123:K124">
    <cfRule type="cellIs" dxfId="94" priority="2" operator="lessThan">
      <formula>0</formula>
    </cfRule>
  </conditionalFormatting>
  <conditionalFormatting sqref="N121:N123">
    <cfRule type="cellIs" dxfId="93" priority="1" operator="lessThan">
      <formula>0</formula>
    </cfRule>
  </conditionalFormatting>
  <conditionalFormatting sqref="P43:R43">
    <cfRule type="cellIs" dxfId="92" priority="13" operator="lessThan">
      <formula>0</formula>
    </cfRule>
  </conditionalFormatting>
  <dataValidations count="9">
    <dataValidation type="list" allowBlank="1" showInputMessage="1" showErrorMessage="1" sqref="E119" xr:uid="{FAD8DF59-2B49-405E-B2D0-691FBD56686F}">
      <formula1>$D$23:$D$34</formula1>
    </dataValidation>
    <dataValidation type="list" allowBlank="1" showInputMessage="1" showErrorMessage="1" sqref="E105" xr:uid="{BEFE2758-0E36-46EE-85DB-3C4209F1B2EC}">
      <formula1>"Spring, Summer, Autumn, Winter"</formula1>
    </dataValidation>
    <dataValidation type="list" allowBlank="1" showInputMessage="1" showErrorMessage="1" sqref="E184" xr:uid="{EC53DDAA-F835-4964-AFFD-EB7BE7B15D81}">
      <formula1>INDIRECT("Table_SourceData_PastureBeef_CropProdSystems[Production system]")</formula1>
    </dataValidation>
    <dataValidation type="list" allowBlank="1" showInputMessage="1" showErrorMessage="1" sqref="E185" xr:uid="{684ED2F7-EA28-4579-B2B6-7D8F8EA791BC}">
      <formula1>INDIRECT("Table_SourceData_PastureBeef_IrrigationMethods[Irrigation method]")</formula1>
    </dataValidation>
    <dataValidation type="list" allowBlank="1" showInputMessage="1" showErrorMessage="1" sqref="E9" xr:uid="{D3CDE937-C1EB-40B9-ACFD-CE9BA2EE5BC8}">
      <formula1>INDIRECT("Table_SourceData_PastureBeef_FeedIntakeAdjustment[Breed]")</formula1>
    </dataValidation>
    <dataValidation type="list" allowBlank="1" showInputMessage="1" showErrorMessage="1" sqref="E8" xr:uid="{AF0172E1-B830-4EA3-9AD5-09D9396A1D3E}">
      <formula1>INDIRECT("Table_SourceData_PastureBeef_Region_" &amp; SUBSTITUTE($E$7, " ", "") &amp; "[Region]")</formula1>
    </dataValidation>
    <dataValidation type="list" allowBlank="1" showInputMessage="1" showErrorMessage="1" sqref="E15 E37 E59 E81" xr:uid="{1015F1C6-41EB-4DAA-8179-ADC5454F177D}">
      <formula1>INDIRECT("Table_SourceData_Dairy_WjCowsHeifers[Breed]")</formula1>
    </dataValidation>
    <dataValidation type="list" allowBlank="1" showInputMessage="1" showErrorMessage="1" sqref="E216 E221 E226 E260 E255 E250 E177" xr:uid="{741264DC-30B9-4C61-9754-0C08BF10A895}">
      <formula1>"Yes, No"</formula1>
    </dataValidation>
    <dataValidation type="list" allowBlank="1" showInputMessage="1" showErrorMessage="1" sqref="D244" xr:uid="{5CE32C73-5F33-45BA-8544-E12B155EE645}">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C76F6-4C0C-4EA9-9057-03BAB75CAA83}">
  <dimension ref="A1:AA334"/>
  <sheetViews>
    <sheetView showGridLines="0" topLeftCell="B18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7" t="s">
        <v>210</v>
      </c>
      <c r="E16" s="97" t="s">
        <v>211</v>
      </c>
      <c r="F16" s="97" t="s">
        <v>201</v>
      </c>
      <c r="G16" s="97" t="s">
        <v>212</v>
      </c>
      <c r="H16" s="97" t="s">
        <v>213</v>
      </c>
      <c r="I16" s="97" t="s">
        <v>214</v>
      </c>
      <c r="J16" s="97" t="s">
        <v>215</v>
      </c>
      <c r="K16" s="97" t="s">
        <v>216</v>
      </c>
      <c r="L16" s="97" t="s">
        <v>217</v>
      </c>
      <c r="M16" s="97" t="s">
        <v>218</v>
      </c>
      <c r="N16" s="97"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7" t="s">
        <v>224</v>
      </c>
      <c r="E22" s="97" t="s">
        <v>211</v>
      </c>
      <c r="F22" s="97" t="s">
        <v>201</v>
      </c>
      <c r="G22" s="97" t="s">
        <v>212</v>
      </c>
      <c r="H22" s="97" t="s">
        <v>213</v>
      </c>
      <c r="I22" s="97" t="s">
        <v>214</v>
      </c>
      <c r="J22" s="97" t="s">
        <v>215</v>
      </c>
      <c r="K22" s="97" t="s">
        <v>216</v>
      </c>
      <c r="L22" s="97" t="s">
        <v>217</v>
      </c>
      <c r="M22" s="97" t="s">
        <v>218</v>
      </c>
      <c r="N22" s="97"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7" t="s">
        <v>226</v>
      </c>
      <c r="E38" s="97" t="s">
        <v>211</v>
      </c>
      <c r="F38" s="97" t="s">
        <v>201</v>
      </c>
      <c r="G38" s="97" t="s">
        <v>212</v>
      </c>
      <c r="H38" s="97" t="s">
        <v>213</v>
      </c>
      <c r="I38" s="97" t="s">
        <v>214</v>
      </c>
      <c r="J38" s="97" t="s">
        <v>215</v>
      </c>
      <c r="K38" s="97" t="s">
        <v>216</v>
      </c>
      <c r="L38" s="97" t="s">
        <v>217</v>
      </c>
      <c r="M38" s="97" t="s">
        <v>218</v>
      </c>
      <c r="N38" s="97"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7" t="s">
        <v>227</v>
      </c>
      <c r="E44" s="97" t="s">
        <v>211</v>
      </c>
      <c r="F44" s="97" t="s">
        <v>201</v>
      </c>
      <c r="G44" s="97" t="s">
        <v>212</v>
      </c>
      <c r="H44" s="97" t="s">
        <v>213</v>
      </c>
      <c r="I44" s="97" t="s">
        <v>214</v>
      </c>
      <c r="J44" s="97" t="s">
        <v>215</v>
      </c>
      <c r="K44" s="97" t="s">
        <v>216</v>
      </c>
      <c r="L44" s="97" t="s">
        <v>217</v>
      </c>
      <c r="M44" s="97" t="s">
        <v>218</v>
      </c>
      <c r="N44" s="97"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6"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7" t="s">
        <v>210</v>
      </c>
      <c r="E60" s="97" t="s">
        <v>211</v>
      </c>
      <c r="F60" s="97" t="s">
        <v>201</v>
      </c>
      <c r="G60" s="97" t="s">
        <v>212</v>
      </c>
      <c r="H60" s="97" t="s">
        <v>213</v>
      </c>
      <c r="I60" s="97" t="s">
        <v>214</v>
      </c>
      <c r="J60" s="97" t="s">
        <v>215</v>
      </c>
      <c r="K60" s="97" t="s">
        <v>216</v>
      </c>
      <c r="L60" s="97" t="s">
        <v>217</v>
      </c>
      <c r="M60" s="97" t="s">
        <v>218</v>
      </c>
      <c r="N60" s="97" t="s">
        <v>219</v>
      </c>
      <c r="P60" s="35"/>
      <c r="T60" s="32"/>
    </row>
    <row r="61" spans="1:20" ht="20.100000000000001" customHeight="1" x14ac:dyDescent="0.25">
      <c r="D61" s="1" t="s">
        <v>220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7" t="s">
        <v>224</v>
      </c>
      <c r="E66" s="97" t="s">
        <v>211</v>
      </c>
      <c r="F66" s="97" t="s">
        <v>201</v>
      </c>
      <c r="G66" s="97" t="s">
        <v>212</v>
      </c>
      <c r="H66" s="97" t="s">
        <v>213</v>
      </c>
      <c r="I66" s="97" t="s">
        <v>214</v>
      </c>
      <c r="J66" s="97" t="s">
        <v>215</v>
      </c>
      <c r="K66" s="97" t="s">
        <v>216</v>
      </c>
      <c r="L66" s="97" t="s">
        <v>217</v>
      </c>
      <c r="M66" s="97" t="s">
        <v>218</v>
      </c>
      <c r="N66" s="97" t="s">
        <v>219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7" t="s">
        <v>210</v>
      </c>
      <c r="E82" s="97" t="s">
        <v>211</v>
      </c>
      <c r="F82" s="97" t="s">
        <v>201</v>
      </c>
      <c r="G82" s="97" t="s">
        <v>212</v>
      </c>
      <c r="H82" s="97" t="s">
        <v>213</v>
      </c>
      <c r="I82" s="97" t="s">
        <v>214</v>
      </c>
      <c r="J82" s="97" t="s">
        <v>215</v>
      </c>
      <c r="K82" s="97" t="s">
        <v>216</v>
      </c>
      <c r="L82" s="97" t="s">
        <v>217</v>
      </c>
      <c r="M82" s="97" t="s">
        <v>218</v>
      </c>
      <c r="N82" s="97" t="s">
        <v>219</v>
      </c>
      <c r="T82" s="32"/>
    </row>
    <row r="83" spans="4:20" ht="20.100000000000001" customHeight="1" x14ac:dyDescent="0.25">
      <c r="D83" s="1" t="s">
        <v>220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7" t="s">
        <v>224</v>
      </c>
      <c r="E88" s="97" t="s">
        <v>211</v>
      </c>
      <c r="F88" s="97" t="s">
        <v>201</v>
      </c>
      <c r="G88" s="97" t="s">
        <v>212</v>
      </c>
      <c r="H88" s="97" t="s">
        <v>213</v>
      </c>
      <c r="I88" s="97" t="s">
        <v>214</v>
      </c>
      <c r="J88" s="97" t="s">
        <v>215</v>
      </c>
      <c r="K88" s="97" t="s">
        <v>216</v>
      </c>
      <c r="L88" s="97" t="s">
        <v>217</v>
      </c>
      <c r="M88" s="97" t="s">
        <v>218</v>
      </c>
      <c r="N88" s="97" t="s">
        <v>219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7" t="s">
        <v>226</v>
      </c>
      <c r="E104" s="97"/>
      <c r="F104" s="97"/>
      <c r="G104" s="97"/>
      <c r="T104" s="32"/>
    </row>
    <row r="105" spans="4:20" ht="20.100000000000001" customHeight="1" x14ac:dyDescent="0.25">
      <c r="D105" s="1" t="s">
        <v>233</v>
      </c>
      <c r="E105" s="23" t="s">
        <v>223</v>
      </c>
      <c r="F105" s="26" t="s">
        <v>110</v>
      </c>
      <c r="T105" s="32"/>
    </row>
    <row r="106" spans="4:20" ht="20.100000000000001" customHeight="1" x14ac:dyDescent="0.25">
      <c r="T106" s="32"/>
    </row>
    <row r="107" spans="4:20" ht="20.100000000000001" customHeight="1" x14ac:dyDescent="0.25"/>
    <row r="108" spans="4:20" ht="20.100000000000001" customHeight="1" x14ac:dyDescent="0.25">
      <c r="K108" s="1" t="s">
        <v>234</v>
      </c>
    </row>
    <row r="109" spans="4:20" ht="20.100000000000001" customHeight="1" x14ac:dyDescent="0.25"/>
    <row r="110" spans="4:20" ht="20.100000000000001" customHeight="1" x14ac:dyDescent="0.25">
      <c r="E110" s="97" t="s">
        <v>235</v>
      </c>
      <c r="F110" s="97" t="s">
        <v>213</v>
      </c>
      <c r="G110" s="97" t="s">
        <v>214</v>
      </c>
      <c r="H110" s="97" t="s">
        <v>215</v>
      </c>
      <c r="L110" s="1" t="s">
        <v>212</v>
      </c>
      <c r="M110" s="1" t="s">
        <v>216</v>
      </c>
      <c r="N110" s="26"/>
      <c r="O110" s="26"/>
    </row>
    <row r="111" spans="4:20" ht="20.100000000000001" customHeight="1" x14ac:dyDescent="0.25">
      <c r="D111" s="1" t="str">
        <f>"Proportion of cows &gt; 1 years in calf in " &amp; E105</f>
        <v>Proportion of cows &gt; 1 years in calf in Winter</v>
      </c>
      <c r="E111" s="23" t="s">
        <v>236</v>
      </c>
      <c r="F111" s="28">
        <v>0.7</v>
      </c>
      <c r="G111" s="28">
        <v>0.5</v>
      </c>
      <c r="H111" s="28">
        <v>0.5</v>
      </c>
      <c r="I111" s="26" t="s">
        <v>237</v>
      </c>
      <c r="L111" s="25">
        <f>MAX(0, G42-G41)</f>
        <v>0</v>
      </c>
      <c r="M111" s="25">
        <f>MAX(0,K42-K41)</f>
        <v>0</v>
      </c>
      <c r="N111" s="26"/>
      <c r="O111" s="26"/>
    </row>
    <row r="112" spans="4:20" ht="20.100000000000001" customHeight="1" x14ac:dyDescent="0.25">
      <c r="D112" s="1" t="s">
        <v>220</v>
      </c>
      <c r="E112" s="23" t="s">
        <v>236</v>
      </c>
      <c r="F112" s="28">
        <v>0.1</v>
      </c>
      <c r="G112" s="28">
        <v>0.4</v>
      </c>
      <c r="H112" s="28">
        <v>0.4</v>
      </c>
      <c r="I112" s="26" t="s">
        <v>237</v>
      </c>
      <c r="L112" s="25">
        <f>MAX(0, G39-G42)</f>
        <v>0</v>
      </c>
      <c r="M112" s="25">
        <f>MAX(0,K39-K42)</f>
        <v>0</v>
      </c>
    </row>
    <row r="113" spans="4:15" ht="20.100000000000001" customHeight="1" x14ac:dyDescent="0.25">
      <c r="D113" s="1" t="s">
        <v>221</v>
      </c>
      <c r="E113" s="23" t="s">
        <v>236</v>
      </c>
      <c r="F113" s="28">
        <v>0.1</v>
      </c>
      <c r="G113" s="28">
        <v>0</v>
      </c>
      <c r="H113" s="28">
        <v>0</v>
      </c>
      <c r="I113" s="26" t="s">
        <v>237</v>
      </c>
      <c r="L113" s="25">
        <f>MAX(0, G40-G39)</f>
        <v>0</v>
      </c>
      <c r="M113" s="25">
        <f>MAX(0,K40-K39)</f>
        <v>0</v>
      </c>
    </row>
    <row r="114" spans="4:15" ht="20.100000000000001" customHeight="1" x14ac:dyDescent="0.25">
      <c r="D114" s="1" t="s">
        <v>222</v>
      </c>
      <c r="E114" s="23" t="s">
        <v>238</v>
      </c>
      <c r="F114" s="28">
        <v>0</v>
      </c>
      <c r="G114" s="28">
        <v>0</v>
      </c>
      <c r="H114" s="28">
        <v>0</v>
      </c>
      <c r="I114" s="26" t="s">
        <v>237</v>
      </c>
      <c r="L114" s="25">
        <f>MAX(0,G41-G40)</f>
        <v>0</v>
      </c>
      <c r="M114" s="25">
        <f>MAX(0,K41-K40)</f>
        <v>0</v>
      </c>
    </row>
    <row r="115" spans="4:15" ht="20.100000000000001" customHeight="1" x14ac:dyDescent="0.25">
      <c r="J115" s="1" t="s">
        <v>239</v>
      </c>
    </row>
    <row r="116" spans="4:15" ht="20.100000000000001" customHeight="1" x14ac:dyDescent="0.25"/>
    <row r="117" spans="4:15" ht="20.100000000000001" customHeight="1" x14ac:dyDescent="0.25"/>
    <row r="118" spans="4:15" ht="20.100000000000001" customHeight="1" x14ac:dyDescent="0.25">
      <c r="D118" s="97" t="s">
        <v>227</v>
      </c>
      <c r="E118" s="97"/>
      <c r="F118" s="97"/>
      <c r="G118" s="97"/>
      <c r="L118" s="98" t="s">
        <v>240</v>
      </c>
    </row>
    <row r="119" spans="4:15" ht="20.100000000000001" customHeight="1" x14ac:dyDescent="0.25">
      <c r="D119" s="1" t="s">
        <v>241</v>
      </c>
      <c r="E119" s="23" t="s">
        <v>242</v>
      </c>
      <c r="F119" s="26" t="s">
        <v>110</v>
      </c>
      <c r="J119" s="88" t="s">
        <v>211</v>
      </c>
    </row>
    <row r="120" spans="4:15" ht="20.100000000000001" customHeight="1" x14ac:dyDescent="0.25">
      <c r="D120" s="1" t="s">
        <v>243</v>
      </c>
      <c r="E120" s="25" t="str">
        <f>TEXT(EDATE(E119,1), "mmmm yyyy")</f>
        <v>September 2024</v>
      </c>
      <c r="J120" s="1" t="s">
        <v>225</v>
      </c>
      <c r="K120" s="1" t="s">
        <v>244</v>
      </c>
      <c r="L120" s="1" t="s">
        <v>239</v>
      </c>
      <c r="M120" s="1" t="s">
        <v>245</v>
      </c>
      <c r="N120" s="1" t="s">
        <v>246</v>
      </c>
      <c r="O120" s="1" t="s">
        <v>247</v>
      </c>
    </row>
    <row r="121" spans="4:15" ht="20.100000000000001" customHeight="1" x14ac:dyDescent="0.25">
      <c r="D121" s="1" t="s">
        <v>248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7" t="s">
        <v>213</v>
      </c>
      <c r="F124" s="97" t="s">
        <v>214</v>
      </c>
      <c r="G124" s="97" t="s">
        <v>215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237</v>
      </c>
      <c r="L125" s="26"/>
      <c r="M125" s="26"/>
      <c r="N125" s="26"/>
      <c r="O125" s="26"/>
    </row>
    <row r="126" spans="4:15" ht="20.100000000000001" customHeight="1" x14ac:dyDescent="0.25">
      <c r="D126" s="1" t="str">
        <f>E120</f>
        <v>September 2024</v>
      </c>
      <c r="E126" s="28">
        <v>0.25</v>
      </c>
      <c r="F126" s="28">
        <v>0.25</v>
      </c>
      <c r="G126" s="28">
        <v>0.25</v>
      </c>
      <c r="H126" s="26" t="s">
        <v>237</v>
      </c>
    </row>
    <row r="127" spans="4:15" ht="20.100000000000001" customHeight="1" x14ac:dyDescent="0.25">
      <c r="D127" s="1" t="str">
        <f>E121</f>
        <v>October 2024</v>
      </c>
      <c r="E127" s="28">
        <v>0.25</v>
      </c>
      <c r="F127" s="28">
        <v>0.25</v>
      </c>
      <c r="G127" s="28">
        <v>0.25</v>
      </c>
      <c r="H127" s="26" t="s">
        <v>237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237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1" t="s">
        <v>249</v>
      </c>
      <c r="K131" s="26"/>
      <c r="L131" s="26"/>
      <c r="M131" s="26"/>
      <c r="N131" s="26"/>
      <c r="O131" s="26"/>
    </row>
    <row r="132" spans="4:15" ht="20.100000000000001" customHeight="1" x14ac:dyDescent="0.25">
      <c r="D132" s="97" t="s">
        <v>210</v>
      </c>
      <c r="E132" s="97" t="s">
        <v>211</v>
      </c>
      <c r="F132" s="97" t="s">
        <v>201</v>
      </c>
      <c r="G132" s="97" t="s">
        <v>212</v>
      </c>
      <c r="H132" s="97" t="s">
        <v>213</v>
      </c>
      <c r="I132" s="97" t="s">
        <v>214</v>
      </c>
      <c r="J132" s="97" t="s">
        <v>215</v>
      </c>
      <c r="K132" s="97" t="s">
        <v>216</v>
      </c>
      <c r="L132" s="97" t="s">
        <v>217</v>
      </c>
      <c r="M132" s="97" t="s">
        <v>218</v>
      </c>
      <c r="N132" s="97" t="s">
        <v>219</v>
      </c>
    </row>
    <row r="133" spans="4:15" ht="20.100000000000001" customHeight="1" x14ac:dyDescent="0.25">
      <c r="D133" s="1" t="s">
        <v>220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250</v>
      </c>
    </row>
    <row r="134" spans="4:15" ht="20.100000000000001" customHeight="1" x14ac:dyDescent="0.25">
      <c r="D134" s="1" t="s">
        <v>221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250</v>
      </c>
    </row>
    <row r="135" spans="4:15" ht="20.100000000000001" customHeight="1" x14ac:dyDescent="0.25">
      <c r="D135" s="1" t="s">
        <v>222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250</v>
      </c>
    </row>
    <row r="136" spans="4:15" ht="20.100000000000001" customHeight="1" x14ac:dyDescent="0.25">
      <c r="D136" s="1" t="s">
        <v>223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250</v>
      </c>
    </row>
    <row r="137" spans="4:15" ht="20.100000000000001" customHeight="1" x14ac:dyDescent="0.25"/>
    <row r="138" spans="4:15" ht="20.100000000000001" customHeight="1" x14ac:dyDescent="0.25">
      <c r="D138" s="97" t="s">
        <v>224</v>
      </c>
      <c r="E138" s="97" t="s">
        <v>211</v>
      </c>
      <c r="F138" s="97" t="s">
        <v>201</v>
      </c>
      <c r="G138" s="97" t="s">
        <v>212</v>
      </c>
      <c r="H138" s="97" t="s">
        <v>213</v>
      </c>
      <c r="I138" s="97" t="s">
        <v>214</v>
      </c>
      <c r="J138" s="97" t="s">
        <v>215</v>
      </c>
      <c r="K138" s="97" t="s">
        <v>216</v>
      </c>
      <c r="L138" s="97" t="s">
        <v>217</v>
      </c>
      <c r="M138" s="97" t="s">
        <v>218</v>
      </c>
      <c r="N138" s="97" t="s">
        <v>219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250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250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250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250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250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250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250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250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250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250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250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250</v>
      </c>
    </row>
    <row r="151" spans="4:15" ht="20.100000000000001" customHeight="1" x14ac:dyDescent="0.25"/>
    <row r="152" spans="4:15" ht="20.100000000000001" customHeight="1" x14ac:dyDescent="0.25"/>
    <row r="153" spans="4:15" ht="20.100000000000001" customHeight="1" x14ac:dyDescent="0.25">
      <c r="D153" s="91" t="s">
        <v>251</v>
      </c>
      <c r="K153" s="26"/>
      <c r="L153" s="26"/>
      <c r="M153" s="26"/>
      <c r="N153" s="26"/>
      <c r="O153" s="26"/>
    </row>
    <row r="154" spans="4:15" ht="20.100000000000001" customHeight="1" x14ac:dyDescent="0.25">
      <c r="D154" s="97" t="s">
        <v>210</v>
      </c>
      <c r="E154" s="97" t="s">
        <v>211</v>
      </c>
      <c r="F154" s="97" t="s">
        <v>201</v>
      </c>
      <c r="G154" s="97" t="s">
        <v>212</v>
      </c>
      <c r="H154" s="97" t="s">
        <v>213</v>
      </c>
      <c r="I154" s="97" t="s">
        <v>214</v>
      </c>
      <c r="J154" s="97" t="s">
        <v>215</v>
      </c>
      <c r="K154" s="97" t="s">
        <v>216</v>
      </c>
      <c r="L154" s="97" t="s">
        <v>217</v>
      </c>
      <c r="M154" s="97" t="s">
        <v>218</v>
      </c>
      <c r="N154" s="97" t="s">
        <v>219</v>
      </c>
    </row>
    <row r="155" spans="4:15" ht="20.100000000000001" customHeight="1" x14ac:dyDescent="0.25">
      <c r="D155" s="1" t="s">
        <v>220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250</v>
      </c>
    </row>
    <row r="156" spans="4:15" ht="20.100000000000001" customHeight="1" x14ac:dyDescent="0.25">
      <c r="D156" s="1" t="s">
        <v>221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250</v>
      </c>
    </row>
    <row r="157" spans="4:15" ht="20.100000000000001" customHeight="1" x14ac:dyDescent="0.25">
      <c r="D157" s="1" t="s">
        <v>222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250</v>
      </c>
    </row>
    <row r="158" spans="4:15" ht="20.100000000000001" customHeight="1" x14ac:dyDescent="0.25">
      <c r="D158" s="1" t="s">
        <v>223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250</v>
      </c>
    </row>
    <row r="159" spans="4:15" ht="20.100000000000001" customHeight="1" x14ac:dyDescent="0.25"/>
    <row r="160" spans="4:15" ht="20.100000000000001" customHeight="1" x14ac:dyDescent="0.25">
      <c r="D160" s="97" t="s">
        <v>224</v>
      </c>
      <c r="E160" s="97" t="s">
        <v>211</v>
      </c>
      <c r="F160" s="97" t="s">
        <v>201</v>
      </c>
      <c r="G160" s="97" t="s">
        <v>212</v>
      </c>
      <c r="H160" s="97" t="s">
        <v>213</v>
      </c>
      <c r="I160" s="97" t="s">
        <v>214</v>
      </c>
      <c r="J160" s="97" t="s">
        <v>215</v>
      </c>
      <c r="K160" s="97" t="s">
        <v>216</v>
      </c>
      <c r="L160" s="97" t="s">
        <v>217</v>
      </c>
      <c r="M160" s="97" t="s">
        <v>218</v>
      </c>
      <c r="N160" s="97" t="s">
        <v>219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250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250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250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250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250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250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250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250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250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250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250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250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1" t="s">
        <v>252</v>
      </c>
      <c r="L175" s="26"/>
      <c r="M175" s="26"/>
      <c r="N175" s="26"/>
      <c r="O175" s="26"/>
    </row>
    <row r="176" spans="4:15" ht="20.100000000000001" customHeight="1" x14ac:dyDescent="0.25"/>
    <row r="177" spans="4:15" ht="20.100000000000001" customHeight="1" x14ac:dyDescent="0.25">
      <c r="D177" s="1" t="s">
        <v>253</v>
      </c>
      <c r="E177" s="23" t="s">
        <v>238</v>
      </c>
      <c r="F177" s="26" t="s">
        <v>110</v>
      </c>
      <c r="L177" s="26"/>
      <c r="M177" s="26"/>
      <c r="N177" s="26"/>
      <c r="O177" s="26"/>
    </row>
    <row r="178" spans="4:15" ht="20.100000000000001" customHeight="1" x14ac:dyDescent="0.25"/>
    <row r="179" spans="4:15" ht="20.100000000000001" customHeight="1" x14ac:dyDescent="0.25">
      <c r="D179" s="97" t="s">
        <v>254</v>
      </c>
      <c r="E179" s="97" t="s">
        <v>255</v>
      </c>
      <c r="L179" s="26"/>
      <c r="M179" s="26"/>
      <c r="N179" s="26"/>
      <c r="O179" s="26"/>
    </row>
    <row r="180" spans="4:15" ht="20.100000000000001" customHeight="1" x14ac:dyDescent="0.25">
      <c r="D180" s="1" t="s">
        <v>92</v>
      </c>
      <c r="E180" s="99">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237</v>
      </c>
      <c r="L180" s="26"/>
      <c r="M180" s="26"/>
      <c r="N180" s="26"/>
      <c r="O180" s="26"/>
    </row>
    <row r="181" spans="4:15" ht="20.100000000000001" customHeight="1" x14ac:dyDescent="0.25">
      <c r="D181" s="1" t="s">
        <v>80</v>
      </c>
      <c r="E181" s="99">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237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256</v>
      </c>
      <c r="E184" s="23" t="s">
        <v>191</v>
      </c>
      <c r="F184" s="26" t="s">
        <v>110</v>
      </c>
      <c r="L184" s="26"/>
      <c r="M184" s="26"/>
      <c r="N184" s="26"/>
      <c r="O184" s="26"/>
    </row>
    <row r="185" spans="4:15" ht="20.100000000000001" customHeight="1" x14ac:dyDescent="0.25">
      <c r="E185" s="23" t="s">
        <v>257</v>
      </c>
      <c r="F185" s="26" t="s">
        <v>110</v>
      </c>
    </row>
    <row r="186" spans="4:15" ht="20.100000000000001" customHeight="1" x14ac:dyDescent="0.25"/>
    <row r="187" spans="4:15" ht="20.100000000000001" customHeight="1" x14ac:dyDescent="0.25"/>
    <row r="188" spans="4:15" ht="20.100000000000001" customHeight="1" x14ac:dyDescent="0.25">
      <c r="D188" s="2"/>
    </row>
    <row r="189" spans="4:15" ht="20.100000000000001" customHeight="1" x14ac:dyDescent="0.25">
      <c r="D189" s="92"/>
    </row>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4"/>
    </row>
    <row r="206" spans="17:27" ht="20.100000000000001" customHeight="1" x14ac:dyDescent="0.25">
      <c r="Q206" s="1"/>
      <c r="R206" s="1"/>
      <c r="Z206" s="94"/>
      <c r="AA206" s="94"/>
    </row>
    <row r="207" spans="17:27" ht="20.100000000000001" customHeight="1" x14ac:dyDescent="0.25">
      <c r="Q207" s="1"/>
      <c r="R207" s="1"/>
      <c r="Z207" s="94"/>
      <c r="AA207" s="94"/>
    </row>
    <row r="208" spans="17:27" ht="20.100000000000001" customHeight="1" x14ac:dyDescent="0.25">
      <c r="Q208" s="1"/>
      <c r="R208" s="1"/>
      <c r="Z208" s="94"/>
      <c r="AA208" s="94"/>
    </row>
    <row r="209" spans="11:27" ht="20.100000000000001" customHeight="1" x14ac:dyDescent="0.25">
      <c r="Q209" s="1"/>
      <c r="R209" s="1"/>
      <c r="Z209" s="94"/>
      <c r="AA209" s="94"/>
    </row>
    <row r="210" spans="11:27" ht="20.100000000000001" customHeight="1" x14ac:dyDescent="0.25">
      <c r="Q210" s="1"/>
      <c r="R210" s="1"/>
      <c r="Z210" s="94"/>
      <c r="AA210" s="94"/>
    </row>
    <row r="211" spans="11:27" ht="20.100000000000001" customHeight="1" x14ac:dyDescent="0.25">
      <c r="Q211" s="1"/>
      <c r="R211" s="1"/>
      <c r="Z211" s="94"/>
      <c r="AA211" s="94"/>
    </row>
    <row r="212" spans="11:27" ht="20.100000000000001" customHeight="1" x14ac:dyDescent="0.25">
      <c r="Q212" s="1"/>
      <c r="R212" s="1"/>
      <c r="Z212" s="94"/>
      <c r="AA212" s="94"/>
    </row>
    <row r="213" spans="11:27" ht="20.100000000000001" customHeight="1" x14ac:dyDescent="0.25">
      <c r="Q213" s="1"/>
      <c r="R213" s="1"/>
      <c r="Z213" s="94"/>
      <c r="AA213" s="94"/>
    </row>
    <row r="214" spans="11:27" ht="20.100000000000001" customHeight="1" x14ac:dyDescent="0.25">
      <c r="Q214" s="1"/>
      <c r="R214" s="1"/>
      <c r="Z214" s="94"/>
      <c r="AA214" s="94"/>
    </row>
    <row r="215" spans="11:27" ht="20.100000000000001" customHeight="1" x14ac:dyDescent="0.25">
      <c r="Q215" s="1"/>
      <c r="R215" s="1"/>
      <c r="Z215" s="94"/>
      <c r="AA215" s="94"/>
    </row>
    <row r="216" spans="11:27" ht="20.100000000000001" customHeight="1" x14ac:dyDescent="0.25">
      <c r="Q216" s="1"/>
      <c r="Z216" s="94"/>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E103:O103 L110:O111 M124:N124 I125 L125:O125 L173:O175 L177:O177 L179:O182 L184:O184 J203:J205 J208:J210 J223:K223 J228:K228 J233:K233 J238:K242 J244:K244 J246:K249 J251:K251 J257:K257 J262:K262 J267:K267 J272:K276 J278:K278 J280:K283 J285:K285">
    <cfRule type="cellIs" dxfId="91" priority="12" operator="lessThan">
      <formula>0</formula>
    </cfRule>
  </conditionalFormatting>
  <conditionalFormatting sqref="F217:F218">
    <cfRule type="cellIs" dxfId="90" priority="11" operator="lessThan">
      <formula>0</formula>
    </cfRule>
  </conditionalFormatting>
  <conditionalFormatting sqref="F222:F223">
    <cfRule type="cellIs" dxfId="89" priority="10" operator="lessThan">
      <formula>0</formula>
    </cfRule>
  </conditionalFormatting>
  <conditionalFormatting sqref="F227:F228">
    <cfRule type="cellIs" dxfId="88" priority="9" operator="lessThan">
      <formula>0</formula>
    </cfRule>
  </conditionalFormatting>
  <conditionalFormatting sqref="F251:F252">
    <cfRule type="cellIs" dxfId="87" priority="8" operator="lessThan">
      <formula>0</formula>
    </cfRule>
  </conditionalFormatting>
  <conditionalFormatting sqref="F256:F257">
    <cfRule type="cellIs" dxfId="86" priority="7" operator="lessThan">
      <formula>0</formula>
    </cfRule>
  </conditionalFormatting>
  <conditionalFormatting sqref="F261:F262">
    <cfRule type="cellIs" dxfId="85" priority="6" operator="lessThan">
      <formula>0</formula>
    </cfRule>
  </conditionalFormatting>
  <conditionalFormatting sqref="H124:K124">
    <cfRule type="cellIs" dxfId="84" priority="4" operator="lessThan">
      <formula>0</formula>
    </cfRule>
  </conditionalFormatting>
  <conditionalFormatting sqref="I130:O131">
    <cfRule type="cellIs" dxfId="83" priority="5" operator="lessThan">
      <formula>0</formula>
    </cfRule>
  </conditionalFormatting>
  <conditionalFormatting sqref="I153:O153">
    <cfRule type="cellIs" dxfId="82" priority="3" operator="lessThan">
      <formula>0</formula>
    </cfRule>
  </conditionalFormatting>
  <conditionalFormatting sqref="K123:K124">
    <cfRule type="cellIs" dxfId="81" priority="2" operator="lessThan">
      <formula>0</formula>
    </cfRule>
  </conditionalFormatting>
  <conditionalFormatting sqref="N121:N123">
    <cfRule type="cellIs" dxfId="80" priority="1" operator="lessThan">
      <formula>0</formula>
    </cfRule>
  </conditionalFormatting>
  <conditionalFormatting sqref="P43:R43">
    <cfRule type="cellIs" dxfId="79" priority="13" operator="lessThan">
      <formula>0</formula>
    </cfRule>
  </conditionalFormatting>
  <dataValidations count="9">
    <dataValidation type="list" allowBlank="1" showInputMessage="1" showErrorMessage="1" sqref="E119" xr:uid="{52E83A45-F465-454B-B6C4-7513E616932C}">
      <formula1>$D$23:$D$34</formula1>
    </dataValidation>
    <dataValidation type="list" allowBlank="1" showInputMessage="1" showErrorMessage="1" sqref="E105" xr:uid="{1A5D5D1F-9B37-44C7-AF8B-5C1731E26E2D}">
      <formula1>"Spring, Summer, Autumn, Winter"</formula1>
    </dataValidation>
    <dataValidation type="list" allowBlank="1" showInputMessage="1" showErrorMessage="1" sqref="E184" xr:uid="{BFE6D2E0-8A1F-4EF2-B6E2-293BD8FD1D08}">
      <formula1>INDIRECT("Table_SourceData_PastureBeef_CropProdSystems[Production system]")</formula1>
    </dataValidation>
    <dataValidation type="list" allowBlank="1" showInputMessage="1" showErrorMessage="1" sqref="E185" xr:uid="{58C46305-9CFE-498E-968F-5FF319E61442}">
      <formula1>INDIRECT("Table_SourceData_PastureBeef_IrrigationMethods[Irrigation method]")</formula1>
    </dataValidation>
    <dataValidation type="list" allowBlank="1" showInputMessage="1" showErrorMessage="1" sqref="E9" xr:uid="{21BDC055-A8F7-4679-9523-900E7C640C67}">
      <formula1>INDIRECT("Table_SourceData_PastureBeef_FeedIntakeAdjustment[Breed]")</formula1>
    </dataValidation>
    <dataValidation type="list" allowBlank="1" showInputMessage="1" showErrorMessage="1" sqref="E8" xr:uid="{1AC1EFED-0333-4A89-9D2D-1EB102D269C8}">
      <formula1>INDIRECT("Table_SourceData_PastureBeef_Region_" &amp; SUBSTITUTE($E$7, " ", "") &amp; "[Region]")</formula1>
    </dataValidation>
    <dataValidation type="list" allowBlank="1" showInputMessage="1" showErrorMessage="1" sqref="E15 E37 E59 E81" xr:uid="{50BFE2FC-734E-490F-B23E-53743192A63B}">
      <formula1>INDIRECT("Table_SourceData_Dairy_WjCowsHeifers[Breed]")</formula1>
    </dataValidation>
    <dataValidation type="list" allowBlank="1" showInputMessage="1" showErrorMessage="1" sqref="E216 E221 E226 E260 E255 E250 E177" xr:uid="{BDF7ADDE-2026-4789-A35F-CDAE1A004372}">
      <formula1>"Yes, No"</formula1>
    </dataValidation>
    <dataValidation type="list" allowBlank="1" showInputMessage="1" showErrorMessage="1" sqref="D244" xr:uid="{0DF66E24-B106-43A0-92B6-F560A1624EB8}">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5"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BD9FC-36B3-4785-8C74-09F430ACF318}">
  <sheetPr>
    <tabColor theme="5" tint="-0.249977111117893"/>
  </sheetPr>
  <dimension ref="A1:L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1" width="35" style="1" customWidth="1"/>
    <col min="12" max="12" width="5.28515625" style="1" customWidth="1"/>
    <col min="13" max="16" width="35" style="244" customWidth="1"/>
    <col min="17" max="16384" width="9.140625" style="244"/>
  </cols>
  <sheetData>
    <row r="1" spans="1:12" ht="25.5" x14ac:dyDescent="0.35">
      <c r="A1" s="16" t="e" vm="1">
        <v>#VALUE!</v>
      </c>
      <c r="B1" s="94"/>
      <c r="C1" s="16" t="s">
        <v>926</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ht="23.25" x14ac:dyDescent="0.25">
      <c r="A5" s="5" t="str">
        <f>HYPERLINK("#'Results'!A1", "Results")</f>
        <v>Results</v>
      </c>
      <c r="D5" s="2" t="s">
        <v>927</v>
      </c>
      <c r="E5" s="245"/>
      <c r="F5" s="245"/>
      <c r="G5" s="245"/>
      <c r="H5" s="245"/>
      <c r="I5" s="245"/>
      <c r="J5" s="245"/>
    </row>
    <row r="6" spans="1:12" ht="18.75" x14ac:dyDescent="0.25">
      <c r="A6"/>
      <c r="D6" s="246" t="s">
        <v>928</v>
      </c>
      <c r="E6" s="245"/>
      <c r="F6" s="245"/>
      <c r="G6" s="245"/>
      <c r="H6" s="245"/>
      <c r="I6" s="245"/>
      <c r="J6" s="245"/>
    </row>
    <row r="7" spans="1:12" x14ac:dyDescent="0.25">
      <c r="A7"/>
      <c r="D7" s="30" t="s">
        <v>195</v>
      </c>
      <c r="E7" s="30" t="s">
        <v>929</v>
      </c>
      <c r="F7" s="30" t="s">
        <v>196</v>
      </c>
      <c r="G7" s="30" t="s">
        <v>930</v>
      </c>
      <c r="H7" s="30" t="s">
        <v>931</v>
      </c>
      <c r="I7" s="30" t="s">
        <v>932</v>
      </c>
      <c r="J7" s="247" t="s">
        <v>933</v>
      </c>
      <c r="K7" s="247" t="s">
        <v>934</v>
      </c>
    </row>
    <row r="8" spans="1:12" x14ac:dyDescent="0.25">
      <c r="A8" s="7" t="s">
        <v>0</v>
      </c>
      <c r="D8" s="44" t="s">
        <v>935</v>
      </c>
      <c r="E8" s="248">
        <v>45547</v>
      </c>
      <c r="F8" s="23" t="s">
        <v>216</v>
      </c>
      <c r="G8" s="139" t="s">
        <v>936</v>
      </c>
      <c r="H8" s="23" t="s">
        <v>347</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8" s="86">
        <v>205</v>
      </c>
    </row>
    <row r="9" spans="1:12" x14ac:dyDescent="0.25">
      <c r="A9" s="5" t="str">
        <f>HYPERLINK("#'Input - Enterprise'!A1", "Enterprise")</f>
        <v>Enterprise</v>
      </c>
      <c r="D9" s="44"/>
      <c r="E9" s="248">
        <v>45292</v>
      </c>
      <c r="F9" s="195" t="s">
        <v>217</v>
      </c>
      <c r="G9" s="139" t="s">
        <v>937</v>
      </c>
      <c r="H9" s="23" t="s">
        <v>344</v>
      </c>
      <c r="I9" s="86">
        <v>100</v>
      </c>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9" s="86">
        <v>465</v>
      </c>
    </row>
    <row r="10" spans="1:12" x14ac:dyDescent="0.25">
      <c r="A10" s="5" t="str">
        <f>HYPERLINK("#'Input - Site'!A1", "Site")</f>
        <v>Site</v>
      </c>
      <c r="D10" s="44"/>
      <c r="E10" s="44"/>
      <c r="F10" s="195"/>
      <c r="G10" s="139"/>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5"/>
      <c r="G11" s="139"/>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5"/>
      <c r="G12" s="139"/>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5"/>
      <c r="G13" s="139"/>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5" t="str">
        <f>HYPERLINK("#'Input - Beef cattle purchases'!A1", "Beef cattle purchases")</f>
        <v>Beef cattle purchases</v>
      </c>
      <c r="D14" s="44"/>
      <c r="E14" s="44"/>
      <c r="F14" s="195"/>
      <c r="G14" s="139"/>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5"/>
      <c r="G15" s="139"/>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5"/>
      <c r="G16" s="139"/>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1" x14ac:dyDescent="0.25">
      <c r="A17" s="5" t="str">
        <f>HYPERLINK("#'Input - Fertiliser'!A1", "Fertiliser")</f>
        <v>Fertiliser</v>
      </c>
      <c r="D17" s="44"/>
      <c r="E17" s="44"/>
      <c r="F17" s="195"/>
      <c r="G17" s="139"/>
      <c r="H17" s="23"/>
      <c r="I17" s="86"/>
      <c r="J17" s="25"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7" s="86"/>
    </row>
    <row r="18" spans="1:11" x14ac:dyDescent="0.25">
      <c r="A18" s="5" t="str">
        <f>HYPERLINK("#'Input - Fuel'!A1", "Fuel")</f>
        <v>Fuel</v>
      </c>
      <c r="D18" s="245"/>
      <c r="E18" s="245"/>
      <c r="F18" s="245"/>
      <c r="G18" s="245"/>
      <c r="H18" s="245"/>
      <c r="I18" s="245"/>
      <c r="J18" s="245"/>
    </row>
    <row r="19" spans="1:11" x14ac:dyDescent="0.25">
      <c r="A19" s="5" t="str">
        <f>HYPERLINK("#'Input - Electricity'!A1", "Electricity")</f>
        <v>Electricity</v>
      </c>
      <c r="J19" s="245"/>
    </row>
    <row r="20" spans="1:11" x14ac:dyDescent="0.25">
      <c r="A20" s="5" t="str">
        <f>HYPERLINK("#'Input - Farm Inputs'!A1", "Farm Inputs")</f>
        <v>Farm Inputs</v>
      </c>
      <c r="J20" s="245"/>
    </row>
    <row r="21" spans="1:11" x14ac:dyDescent="0.25">
      <c r="A21" s="5" t="str">
        <f>HYPERLINK("#'Input - Freight'!A1", "Freight")</f>
        <v>Freight</v>
      </c>
      <c r="J21" s="245"/>
    </row>
    <row r="22" spans="1:11" x14ac:dyDescent="0.25">
      <c r="A22" s="5" t="str">
        <f>HYPERLINK("#'Input - Manure sent off-site'!A1", "Manure sent off-site")</f>
        <v>Manure sent off-site</v>
      </c>
      <c r="J22" s="245"/>
    </row>
    <row r="23" spans="1:11" x14ac:dyDescent="0.25">
      <c r="A23" s="5" t="str">
        <f>HYPERLINK("#'Input - Solid waste'!A1", "Solid waste")</f>
        <v>Solid waste</v>
      </c>
      <c r="J23" s="245"/>
    </row>
    <row r="24" spans="1:11" x14ac:dyDescent="0.25">
      <c r="A24"/>
      <c r="J24" s="245"/>
    </row>
    <row r="25" spans="1:11" x14ac:dyDescent="0.25">
      <c r="A25"/>
      <c r="J25" s="245"/>
    </row>
    <row r="26" spans="1:11" x14ac:dyDescent="0.25">
      <c r="A26" s="6" t="s">
        <v>2</v>
      </c>
      <c r="J26" s="245"/>
    </row>
    <row r="27" spans="1:11" x14ac:dyDescent="0.25">
      <c r="A27" s="5" t="str">
        <f>HYPERLINK("#'3.2.1.1-2 Enteric Methane'!A1", "3.2.1.1-2 Enteric methane")</f>
        <v>3.2.1.1-2 Enteric methane</v>
      </c>
      <c r="J27" s="245"/>
    </row>
    <row r="28" spans="1:11" x14ac:dyDescent="0.25">
      <c r="A28" s="5" t="str">
        <f>HYPERLINK("#'4.2.1.1-2 Methane'!A1", "4.2.1.1-2 Manure methane")</f>
        <v>4.2.1.1-2 Manure methane</v>
      </c>
      <c r="J28" s="245"/>
    </row>
    <row r="29" spans="1:11" x14ac:dyDescent="0.25">
      <c r="A29" s="5" t="str">
        <f>HYPERLINK("#'4.2.1.3-4 Soil direct N20'!A1", "4.2.1.3-4 Soil direct N2O")</f>
        <v>4.2.1.3-4 Soil direct N2O</v>
      </c>
      <c r="J29" s="245"/>
    </row>
    <row r="30" spans="1:11" x14ac:dyDescent="0.25">
      <c r="A30" s="5" t="str">
        <f>HYPERLINK("#'4.2.1.5-6 Soil Atmos Dep'!A1", "4.2.1.5-6 Soil atm. deposition")</f>
        <v>4.2.1.5-6 Soil atm. deposition</v>
      </c>
      <c r="J30" s="245"/>
    </row>
    <row r="31" spans="1:11" x14ac:dyDescent="0.25">
      <c r="A31" s="5" t="str">
        <f>HYPERLINK("#'4.2.1.7-8 Soil leach runoff'!A1", "4.2.1.7-8 Soil leach &amp; runoff")</f>
        <v>4.2.1.7-8 Soil leach &amp; runoff</v>
      </c>
      <c r="D31" s="245"/>
      <c r="E31" s="245"/>
      <c r="F31" s="245"/>
      <c r="G31" s="245"/>
      <c r="H31" s="245"/>
      <c r="I31" s="245"/>
      <c r="J31" s="245"/>
    </row>
    <row r="32" spans="1:11" x14ac:dyDescent="0.25">
      <c r="A32" s="5" t="str">
        <f>HYPERLINK("#'5.1.1.1-2 Inorganic fert N2O'!A1", "5.1.1.1-2 Inorganic fert N2O")</f>
        <v>5.1.1.1-2 Inorganic fert N2O</v>
      </c>
      <c r="I32" s="245"/>
      <c r="J32" s="245"/>
    </row>
    <row r="33" spans="1:10" x14ac:dyDescent="0.25">
      <c r="A33" s="5" t="str">
        <f>HYPERLINK("#'5.1.1.3-4 Inorganic fert CO2'!A1", "5.1.1.3-4 Inorganic fert CO2")</f>
        <v>5.1.1.3-4 Inorganic fert CO2</v>
      </c>
      <c r="I33" s="245"/>
      <c r="J33" s="245"/>
    </row>
    <row r="34" spans="1:10" x14ac:dyDescent="0.25">
      <c r="A34" s="5" t="str">
        <f>HYPERLINK("#'5.2.1.1-2 Organic Fert N2O'!A1", "5.2.1.1-2 Organic fert N2O")</f>
        <v>5.2.1.1-2 Organic fert N2O</v>
      </c>
      <c r="I34" s="245"/>
      <c r="J34" s="245"/>
    </row>
    <row r="35" spans="1:10" x14ac:dyDescent="0.25">
      <c r="A35" s="5" t="str">
        <f>HYPERLINK("#'5.3.1.1-2 Lime CO2'!A1", "5.3.1.1-2 Lime CO2")</f>
        <v>5.3.1.1-2 Lime CO2</v>
      </c>
      <c r="I35" s="245"/>
      <c r="J35" s="245"/>
    </row>
    <row r="36" spans="1:10" x14ac:dyDescent="0.25">
      <c r="A36" s="5" t="str">
        <f>HYPERLINK("#'5.4.1.1-4 Atmos deposition'!A1", "5.4.1.1-4 Atmos. deposition")</f>
        <v>5.4.1.1-4 Atmos. deposition</v>
      </c>
      <c r="I36" s="245"/>
      <c r="J36" s="245"/>
    </row>
    <row r="37" spans="1:10" x14ac:dyDescent="0.25">
      <c r="A37" s="5" t="str">
        <f>HYPERLINK("#'5.5.1.1-2 Leaching and runoff'!A1", "5.5.1.1-2 Leaching &amp; runoff")</f>
        <v>5.5.1.1-2 Leaching &amp; runoff</v>
      </c>
      <c r="I37" s="245"/>
      <c r="J37" s="245"/>
    </row>
    <row r="38" spans="1:10" x14ac:dyDescent="0.25">
      <c r="A38" s="5" t="str">
        <f>HYPERLINK("#'6.2.1.1-2 Pasture residue N2O'!A1", "6.2.1.1-2 Pasture residue N2O")</f>
        <v>6.2.1.1-2 Pasture residue N2O</v>
      </c>
      <c r="I38" s="245"/>
      <c r="J38" s="245"/>
    </row>
    <row r="39" spans="1:10" x14ac:dyDescent="0.25">
      <c r="A39" s="5" t="str">
        <f>HYPERLINK("#'6.3.1.1-2 Leach runoff pasture'!A1", "6.3.1.1-2 Leach &amp; runoff (pasture)")</f>
        <v>6.3.1.1-2 Leach &amp; runoff (pasture)</v>
      </c>
      <c r="I39" s="245"/>
      <c r="J39" s="245"/>
    </row>
    <row r="40" spans="1:10" x14ac:dyDescent="0.25">
      <c r="A40" s="5" t="str">
        <f>HYPERLINK("#'8.1.1.1-2 Transport fuel'!A1", "8.1.1.1-2 Transport fuel")</f>
        <v>8.1.1.1-2 Transport fuel</v>
      </c>
      <c r="I40" s="245"/>
      <c r="J40" s="245"/>
    </row>
    <row r="41" spans="1:10" x14ac:dyDescent="0.25">
      <c r="A41" s="5" t="str">
        <f>HYPERLINK("#'8.2.1.1-2 Stationary fuel'!A1", "8.2.1.1-2 Stationary fuel")</f>
        <v>8.2.1.1-2 Stationary fuel</v>
      </c>
      <c r="I41" s="245"/>
      <c r="J41" s="245"/>
    </row>
    <row r="42" spans="1:10" x14ac:dyDescent="0.25">
      <c r="A42" s="5" t="str">
        <f>HYPERLINK("#'14.1.1-2 Purchased electricity'!A1", "14.1.1-2 Purchased electricity")</f>
        <v>14.1.1-2 Purchased electricity</v>
      </c>
      <c r="I42" s="245"/>
      <c r="J42" s="245"/>
    </row>
    <row r="43" spans="1:10" x14ac:dyDescent="0.25">
      <c r="A43" s="5" t="str">
        <f>HYPERLINK("#'15 Scope 3'!A1", "15 Scope 3")</f>
        <v>15 Scope 3</v>
      </c>
      <c r="I43" s="245"/>
      <c r="J43" s="245"/>
    </row>
    <row r="44" spans="1:10" x14ac:dyDescent="0.25">
      <c r="A44" s="5" t="str">
        <f>HYPERLINK("#'Calcs - Manure sent off-site'!A1", "Calcs - Manure sent off-site")</f>
        <v>Calcs - Manure sent off-site</v>
      </c>
      <c r="D44" s="245"/>
      <c r="E44" s="245"/>
      <c r="F44" s="245"/>
      <c r="G44" s="245"/>
      <c r="H44" s="245"/>
      <c r="I44" s="245"/>
      <c r="J44" s="245"/>
    </row>
    <row r="45" spans="1:10" x14ac:dyDescent="0.25">
      <c r="A45" s="5" t="str">
        <f>HYPERLINK("#'10.1.1-2 Solid waste treatment'!A1", "10.1.1-2 Solid waste treatment")</f>
        <v>10.1.1-2 Solid waste treatment</v>
      </c>
      <c r="I45" s="245"/>
      <c r="J45" s="245"/>
    </row>
    <row r="46" spans="1:10" x14ac:dyDescent="0.25">
      <c r="A46"/>
      <c r="I46" s="245"/>
      <c r="J46" s="245"/>
    </row>
    <row r="47" spans="1:10" x14ac:dyDescent="0.25">
      <c r="A47"/>
      <c r="I47" s="245"/>
      <c r="J47" s="245"/>
    </row>
    <row r="48" spans="1:10" x14ac:dyDescent="0.25">
      <c r="A48" s="96" t="s">
        <v>1</v>
      </c>
      <c r="I48" s="245"/>
      <c r="J48" s="245"/>
    </row>
    <row r="49" spans="1:10" x14ac:dyDescent="0.25">
      <c r="A49" s="5" t="str">
        <f>HYPERLINK("#'Constants - Pasture Beef'!A1", "Constants - Pasture Beef")</f>
        <v>Constants - Pasture Beef</v>
      </c>
      <c r="I49" s="245"/>
      <c r="J49" s="245"/>
    </row>
    <row r="50" spans="1:10" x14ac:dyDescent="0.25">
      <c r="A50" s="5" t="str">
        <f>HYPERLINK("#'Constants - Ag Residue'!A1", "Constants - Ag residue")</f>
        <v>Constants - Ag residue</v>
      </c>
      <c r="I50" s="245"/>
      <c r="J50" s="245"/>
    </row>
    <row r="51" spans="1:10" x14ac:dyDescent="0.25">
      <c r="A51" s="5" t="str">
        <f>HYPERLINK("#'Constants - Common Livestock'!A1", "Constants - Common Livestock")</f>
        <v>Constants - Common Livestock</v>
      </c>
      <c r="I51" s="245"/>
      <c r="J51" s="245"/>
    </row>
    <row r="52" spans="1:10" x14ac:dyDescent="0.25">
      <c r="A52" s="5" t="str">
        <f>HYPERLINK("#'Constants - Electricity'!A1", "Constants - Electricity")</f>
        <v>Constants - Electricity</v>
      </c>
      <c r="I52" s="245"/>
      <c r="J52" s="245"/>
    </row>
    <row r="53" spans="1:10" x14ac:dyDescent="0.25">
      <c r="A53" s="5" t="str">
        <f>HYPERLINK("#'Constants - Fertiliser'!A1", "Constants - Fertiliser")</f>
        <v>Constants - Fertiliser</v>
      </c>
      <c r="I53" s="245"/>
      <c r="J53" s="245"/>
    </row>
    <row r="54" spans="1:10" x14ac:dyDescent="0.25">
      <c r="A54" s="5" t="str">
        <f>HYPERLINK("#'Constants - Fuel'!A1", "Constants - Fuel")</f>
        <v>Constants - Fuel</v>
      </c>
      <c r="I54" s="245"/>
      <c r="J54" s="245"/>
    </row>
    <row r="55" spans="1:10" x14ac:dyDescent="0.25">
      <c r="A55" s="5" t="str">
        <f>HYPERLINK("#'Constants - Scope 3'!A1", "Constants - Scope 3")</f>
        <v>Constants - Scope 3</v>
      </c>
      <c r="I55" s="245"/>
      <c r="J55" s="245"/>
    </row>
    <row r="56" spans="1:10" x14ac:dyDescent="0.25">
      <c r="A56" s="5" t="str">
        <f>HYPERLINK("#'Constants - Common'!A1", "Constants - Common")</f>
        <v>Constants - Common</v>
      </c>
      <c r="I56" s="245"/>
      <c r="J56" s="245"/>
    </row>
    <row r="57" spans="1:10" x14ac:dyDescent="0.25">
      <c r="A57" s="5" t="str">
        <f>HYPERLINK("#'Acknowledgements'!A1", "Acknowledgements")</f>
        <v>Acknowledgements</v>
      </c>
      <c r="D57" s="245"/>
      <c r="E57" s="245"/>
      <c r="F57" s="245"/>
      <c r="G57" s="245"/>
      <c r="H57" s="245"/>
      <c r="I57" s="245"/>
      <c r="J57" s="245"/>
    </row>
    <row r="58" spans="1:10" ht="18.75" x14ac:dyDescent="0.25">
      <c r="A58" s="5" t="str">
        <f>HYPERLINK("#'Constants - Solid Waste'!A1", "Constants - Solid Waste")</f>
        <v>Constants - Solid Waste</v>
      </c>
      <c r="D58" s="246"/>
      <c r="E58" s="245"/>
      <c r="F58" s="245"/>
      <c r="G58" s="245"/>
      <c r="H58" s="245"/>
      <c r="I58" s="245"/>
      <c r="J58" s="245"/>
    </row>
    <row r="59" spans="1:10" x14ac:dyDescent="0.25">
      <c r="A59"/>
      <c r="D59" s="245"/>
      <c r="E59" s="245"/>
      <c r="F59" s="245"/>
      <c r="G59" s="245"/>
      <c r="H59" s="245"/>
      <c r="I59" s="245"/>
      <c r="J59" s="245"/>
    </row>
    <row r="60" spans="1:10" x14ac:dyDescent="0.25">
      <c r="A60"/>
      <c r="D60" s="245"/>
      <c r="E60" s="245"/>
      <c r="F60" s="245"/>
      <c r="G60" s="245"/>
      <c r="H60" s="245"/>
      <c r="I60" s="245"/>
      <c r="J60" s="245"/>
    </row>
    <row r="61" spans="1:10" x14ac:dyDescent="0.25">
      <c r="A61"/>
      <c r="D61" s="245"/>
      <c r="E61" s="245"/>
      <c r="F61" s="245"/>
      <c r="G61" s="245"/>
      <c r="H61" s="245"/>
      <c r="I61" s="245"/>
      <c r="J61" s="245"/>
    </row>
    <row r="62" spans="1:10" x14ac:dyDescent="0.25">
      <c r="A62"/>
      <c r="D62" s="245"/>
      <c r="E62" s="245"/>
      <c r="F62" s="245"/>
      <c r="G62" s="245"/>
      <c r="H62" s="245"/>
      <c r="I62" s="245"/>
      <c r="J62" s="245"/>
    </row>
    <row r="63" spans="1:10" x14ac:dyDescent="0.25">
      <c r="A63"/>
      <c r="D63" s="245"/>
      <c r="E63" s="245"/>
      <c r="F63" s="245"/>
      <c r="G63" s="245"/>
      <c r="H63" s="245"/>
      <c r="I63" s="245"/>
      <c r="J63" s="245"/>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8:H17" xr:uid="{8B3CE59F-A4AB-467E-8887-B1BBD4EB6109}">
      <formula1>INDIRECT("Table_ProductRegions_Beefcattle[Region]")</formula1>
    </dataValidation>
    <dataValidation type="list" allowBlank="1" showInputMessage="1" showErrorMessage="1" sqref="G8:G17" xr:uid="{7CFC33BD-C5CD-48A4-A4D5-A0D5EA7B5E8A}">
      <formula1>INDIRECT(TRIM("Table_SourceData_LivestockProduct_Beefcattle[Product]"))</formula1>
    </dataValidation>
    <dataValidation type="list" allowBlank="1" showInputMessage="1" showErrorMessage="1" sqref="F8:F17" xr:uid="{773CF145-8F3E-464B-A967-F2C0038F72C7}">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EF6C-25AD-4860-A58B-B6C90E46A2E6}">
  <dimension ref="A1:G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864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865</v>
      </c>
    </row>
    <row r="6" spans="1:7" ht="20.100000000000001" customHeight="1" x14ac:dyDescent="0.25"/>
    <row r="7" spans="1:7" ht="20.100000000000001" customHeight="1" x14ac:dyDescent="0.25">
      <c r="D7" s="80" t="s">
        <v>866</v>
      </c>
      <c r="E7" s="80"/>
      <c r="F7" s="80"/>
    </row>
    <row r="8" spans="1:7" ht="20.100000000000001" customHeight="1" x14ac:dyDescent="0.25">
      <c r="A8" s="7" t="s">
        <v>0</v>
      </c>
    </row>
    <row r="9" spans="1:7" ht="20.100000000000001" customHeight="1" x14ac:dyDescent="0.25">
      <c r="A9" s="5" t="str">
        <f>HYPERLINK("#'Input - Enterprise'!A1", "Enterprise")</f>
        <v>Enterprise</v>
      </c>
      <c r="D9" s="1" t="s">
        <v>867</v>
      </c>
      <c r="E9" s="23" t="s">
        <v>868</v>
      </c>
      <c r="F9" s="26" t="s">
        <v>869</v>
      </c>
    </row>
    <row r="10" spans="1:7" ht="20.100000000000001" customHeight="1" x14ac:dyDescent="0.25">
      <c r="A10" s="5" t="str">
        <f>HYPERLINK("#'Input - Site'!A1", "Site")</f>
        <v>Site</v>
      </c>
      <c r="D10" s="1" t="s">
        <v>73</v>
      </c>
      <c r="E10" s="23" t="s">
        <v>322</v>
      </c>
      <c r="F10" s="26" t="s">
        <v>869</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870</v>
      </c>
      <c r="E12" s="86">
        <v>1000</v>
      </c>
      <c r="F12" s="26" t="s">
        <v>871</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872</v>
      </c>
    </row>
    <row r="15" spans="1:7" ht="20.100000000000001" customHeight="1" x14ac:dyDescent="0.25">
      <c r="A15" s="95" t="str">
        <f>HYPERLINK("#'Input - Pasture'!A1", "Pasture")</f>
        <v>Pasture</v>
      </c>
    </row>
    <row r="16" spans="1:7" ht="20.100000000000001" customHeight="1" x14ac:dyDescent="0.25">
      <c r="A16" s="5" t="str">
        <f>HYPERLINK("#'Input - Fert Prod System'!A1", "Fert Prod System")</f>
        <v>Fert Prod System</v>
      </c>
      <c r="D16" s="238" t="s">
        <v>873</v>
      </c>
      <c r="E16" s="54"/>
      <c r="F16" s="55"/>
    </row>
    <row r="17" spans="1:6" ht="20.100000000000001" customHeight="1" x14ac:dyDescent="0.25">
      <c r="A17" s="5" t="str">
        <f>HYPERLINK("#'Input - Fertiliser'!A1", "Fertiliser")</f>
        <v>Fertiliser</v>
      </c>
      <c r="D17" s="56" t="s">
        <v>874</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875</v>
      </c>
      <c r="E19" s="86">
        <f>_xlfn.XLOOKUP(E9, Table_SourceData_PastureAttributes[Pasture type],Table_SourceData_PastureAttributes[Average Yield (t DM ha) Yp])</f>
        <v>8.34</v>
      </c>
      <c r="F19" s="26" t="s">
        <v>876</v>
      </c>
    </row>
    <row r="20" spans="1:6" ht="20.100000000000001" customHeight="1" x14ac:dyDescent="0.25">
      <c r="A20" s="5" t="str">
        <f>HYPERLINK("#'Input - Farm Inputs'!A1", "Farm Inputs")</f>
        <v>Farm Inputs</v>
      </c>
      <c r="D20" s="1" t="s">
        <v>877</v>
      </c>
      <c r="E20" s="25">
        <f>E12*E19</f>
        <v>8340</v>
      </c>
      <c r="F20" s="26" t="s">
        <v>878</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879</v>
      </c>
    </row>
    <row r="24" spans="1:6" ht="20.100000000000001" customHeight="1" x14ac:dyDescent="0.25"/>
    <row r="25" spans="1:6" ht="20.100000000000001" customHeight="1" x14ac:dyDescent="0.25">
      <c r="D25" s="1" t="s">
        <v>880</v>
      </c>
      <c r="E25" s="86">
        <v>500</v>
      </c>
      <c r="F25" s="26" t="s">
        <v>871</v>
      </c>
    </row>
    <row r="26" spans="1:6" ht="20.100000000000001" customHeight="1" x14ac:dyDescent="0.25">
      <c r="A26" s="6" t="s">
        <v>2</v>
      </c>
    </row>
    <row r="27" spans="1:6" ht="20.100000000000001" customHeight="1" x14ac:dyDescent="0.25">
      <c r="A27" s="5" t="str">
        <f>HYPERLINK("#'3.2.1.1-2 Enteric Methane'!A1", "3.2.1.1-2 Enteric methane")</f>
        <v>3.2.1.1-2 Enteric methane</v>
      </c>
    </row>
    <row r="28" spans="1:6" ht="20.100000000000001" customHeight="1" x14ac:dyDescent="0.25">
      <c r="A28" s="5" t="str">
        <f>HYPERLINK("#'4.2.1.1-2 Methane'!A1", "4.2.1.1-2 Manure methane")</f>
        <v>4.2.1.1-2 Manure methane</v>
      </c>
    </row>
    <row r="29" spans="1:6" ht="20.100000000000001" customHeight="1" x14ac:dyDescent="0.25">
      <c r="A29" s="5" t="str">
        <f>HYPERLINK("#'4.2.1.3-4 Soil direct N20'!A1", "4.2.1.3-4 Soil direct N2O")</f>
        <v>4.2.1.3-4 Soil direct N2O</v>
      </c>
    </row>
    <row r="30" spans="1:6" ht="20.100000000000001" customHeight="1" x14ac:dyDescent="0.25">
      <c r="A30" s="5" t="str">
        <f>HYPERLINK("#'4.2.1.5-6 Soil Atmos Dep'!A1", "4.2.1.5-6 Soil atm. deposition")</f>
        <v>4.2.1.5-6 Soil atm. deposition</v>
      </c>
    </row>
    <row r="31" spans="1:6" ht="20.100000000000001" customHeight="1" x14ac:dyDescent="0.25">
      <c r="A31" s="5" t="str">
        <f>HYPERLINK("#'4.2.1.7-8 Soil leach runoff'!A1", "4.2.1.7-8 Soil leach &amp; runoff")</f>
        <v>4.2.1.7-8 Soil leach &amp; runoff</v>
      </c>
    </row>
    <row r="32" spans="1:6"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859167F4-9C58-44F7-BBBA-DD6B3CC6643A}">
      <formula1>INDIRECT("Table_SourceData_Fertiliser_IrrigationMethods[Irrigation method]")</formula1>
    </dataValidation>
    <dataValidation type="list" allowBlank="1" showInputMessage="1" showErrorMessage="1" sqref="E9" xr:uid="{CB8F5C57-2882-4F98-8FDF-2995312B73E9}">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517C0-8028-44A1-8E3D-95E6AF7B921B}">
  <dimension ref="A1:Y366"/>
  <sheetViews>
    <sheetView showGridLines="0" topLeftCell="A23"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466</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467</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0" t="s">
        <v>468</v>
      </c>
      <c r="E7" s="54"/>
      <c r="F7" s="54"/>
      <c r="G7" s="54"/>
      <c r="H7" s="55"/>
      <c r="I7" s="131"/>
      <c r="J7" s="132"/>
      <c r="K7" s="133"/>
      <c r="L7" s="133"/>
      <c r="M7" s="133"/>
    </row>
    <row r="8" spans="1:25" ht="20.100000000000001" customHeight="1" x14ac:dyDescent="0.25">
      <c r="A8" s="7" t="s">
        <v>0</v>
      </c>
      <c r="D8" s="56" t="s">
        <v>469</v>
      </c>
      <c r="E8" s="57"/>
      <c r="F8" s="57"/>
      <c r="G8" s="58"/>
      <c r="H8" s="134"/>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470</v>
      </c>
      <c r="E10" s="8"/>
      <c r="F10" s="8"/>
      <c r="G10" s="8"/>
      <c r="H10" s="8"/>
      <c r="I10" s="8"/>
      <c r="J10" s="8"/>
      <c r="K10" s="8"/>
      <c r="L10" s="8"/>
      <c r="M10" s="8"/>
    </row>
    <row r="11" spans="1:25" ht="20.100000000000001" customHeight="1" x14ac:dyDescent="0.25">
      <c r="A11" s="5" t="str">
        <f>HYPERLINK("#'Input - Pasture Beef'!A1", "Pasture Beef")</f>
        <v>Pasture Beef</v>
      </c>
      <c r="D11" s="135" t="s">
        <v>471</v>
      </c>
      <c r="E11" s="136" t="s">
        <v>472</v>
      </c>
      <c r="F11" s="137" t="s">
        <v>473</v>
      </c>
      <c r="G11" s="137" t="s">
        <v>474</v>
      </c>
      <c r="H11" s="136" t="s">
        <v>475</v>
      </c>
      <c r="I11" s="136" t="s">
        <v>476</v>
      </c>
      <c r="J11" s="135" t="s">
        <v>477</v>
      </c>
      <c r="K11" s="135" t="s">
        <v>478</v>
      </c>
      <c r="L11" s="135" t="s">
        <v>479</v>
      </c>
      <c r="M11" s="135" t="s">
        <v>480</v>
      </c>
      <c r="N11" s="135" t="s">
        <v>481</v>
      </c>
      <c r="O11" s="135" t="s">
        <v>482</v>
      </c>
      <c r="P11" s="135" t="s">
        <v>483</v>
      </c>
      <c r="Q11" s="135" t="s">
        <v>484</v>
      </c>
      <c r="R11" s="135" t="s">
        <v>485</v>
      </c>
      <c r="S11" s="135" t="s">
        <v>486</v>
      </c>
      <c r="T11" s="135" t="s">
        <v>487</v>
      </c>
      <c r="U11" s="135" t="s">
        <v>488</v>
      </c>
      <c r="V11" s="135" t="s">
        <v>489</v>
      </c>
      <c r="W11" s="138" t="s">
        <v>490</v>
      </c>
      <c r="X11" s="138" t="s">
        <v>491</v>
      </c>
    </row>
    <row r="12" spans="1:25" ht="20.100000000000001" customHeight="1" x14ac:dyDescent="0.25">
      <c r="A12" s="5" t="str">
        <f>HYPERLINK("#'Input - Pasture Beef (Enteric)'!A1", "Pasture Beef (Enteric)")</f>
        <v>Pasture Beef (Enteric)</v>
      </c>
      <c r="D12" s="139" t="s">
        <v>492</v>
      </c>
      <c r="E12" s="140">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0">
        <f>X_Cell_Fertiliser_AreaUnderCropping</f>
        <v>1000</v>
      </c>
      <c r="I12" s="141">
        <f>(Table_Input_InorganicFertiliser_Brands[[#This Row],[Amount applied per hectare]]*Table_Input_InorganicFertiliser_Brands[[#This Row],[Density]])*Table_Input_InorganicFertiliser_Brands[[#This Row],[Application area (ha)]]</f>
        <v>126000</v>
      </c>
      <c r="J12" s="141"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1"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1"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1"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1"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1"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1"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1"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1"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1"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1"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1"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42" t="s">
        <v>493</v>
      </c>
      <c r="E13" s="143">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3">
        <f>X_Cell_Fertiliser_AreaUnderCropping</f>
        <v>1000</v>
      </c>
      <c r="I13" s="141">
        <f>(Table_Input_InorganicFertiliser_Brands[[#This Row],[Amount applied per hectare]]*Table_Input_InorganicFertiliser_Brands[[#This Row],[Density]])*Table_Input_InorganicFertiliser_Brands[[#This Row],[Application area (ha)]]</f>
        <v>128500</v>
      </c>
      <c r="J13" s="141"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1"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1"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1"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1"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1"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1"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1"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1"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1"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1"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1"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1" t="str">
        <f>_xlfn.XLOOKUP(Table_Input_InorganicFertiliser_Brands[[#This Row],[Product (select)]],FertiliserProducts[Product name],FertiliserProducts[Urea source])</f>
        <v/>
      </c>
      <c r="X13" s="141" t="str">
        <f>_xlfn.XLOOKUP(Table_Input_InorganicFertiliser_Brands[[#This Row],[Product (select)]],FertiliserProducts[Product name],FertiliserProducts[Ammonia source])</f>
        <v/>
      </c>
    </row>
    <row r="14" spans="1:25" ht="20.100000000000001" customHeight="1" x14ac:dyDescent="0.25">
      <c r="A14" s="5" t="str">
        <f>HYPERLINK("#'Input - Beef cattle purchases'!A1", "Beef cattle purchases")</f>
        <v>Beef cattle purchases</v>
      </c>
      <c r="D14" s="142" t="s">
        <v>493</v>
      </c>
      <c r="E14" s="143">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3">
        <f>X_Cell_Fertiliser_AreaUnderCropping</f>
        <v>1000</v>
      </c>
      <c r="I14" s="141">
        <f>(Table_Input_InorganicFertiliser_Brands[[#This Row],[Amount applied per hectare]]*Table_Input_InorganicFertiliser_Brands[[#This Row],[Density]])*Table_Input_InorganicFertiliser_Brands[[#This Row],[Application area (ha)]]</f>
        <v>128500</v>
      </c>
      <c r="J14" s="141"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1"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1"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1"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1"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1"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1"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1"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1"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1"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1"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1"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1" t="str">
        <f>_xlfn.XLOOKUP(Table_Input_InorganicFertiliser_Brands[[#This Row],[Product (select)]],FertiliserProducts[Product name],FertiliserProducts[Urea source])</f>
        <v/>
      </c>
      <c r="X14" s="141"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42" t="s">
        <v>494</v>
      </c>
      <c r="E15" s="143">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3">
        <f>X_Cell_Fertiliser_AreaUnderCropping</f>
        <v>1000</v>
      </c>
      <c r="I15" s="141">
        <f>(Table_Input_InorganicFertiliser_Brands[[#This Row],[Amount applied per hectare]]*Table_Input_InorganicFertiliser_Brands[[#This Row],[Density]])*Table_Input_InorganicFertiliser_Brands[[#This Row],[Application area (ha)]]</f>
        <v>126000</v>
      </c>
      <c r="J15" s="141"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1"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1"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1"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1"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1"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1"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1"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1"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1"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1"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1"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1" t="str">
        <f>_xlfn.XLOOKUP(Table_Input_InorganicFertiliser_Brands[[#This Row],[Product (select)]],FertiliserProducts[Product name],FertiliserProducts[Urea source])</f>
        <v/>
      </c>
      <c r="X15" s="141"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42" t="s">
        <v>495</v>
      </c>
      <c r="E16" s="143">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3">
        <f>X_Cell_Fertiliser_AreaUnderCropping</f>
        <v>1000</v>
      </c>
      <c r="I16" s="141">
        <f>(Table_Input_InorganicFertiliser_Brands[[#This Row],[Amount applied per hectare]]*Table_Input_InorganicFertiliser_Brands[[#This Row],[Density]])*Table_Input_InorganicFertiliser_Brands[[#This Row],[Application area (ha)]]</f>
        <v>150000</v>
      </c>
      <c r="J16" s="141"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1"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1"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1"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1"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1"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1"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1"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1"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1"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1"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1"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1" t="str">
        <f>_xlfn.XLOOKUP(Table_Input_InorganicFertiliser_Brands[[#This Row],[Product (select)]],FertiliserProducts[Product name],FertiliserProducts[Urea source])</f>
        <v/>
      </c>
      <c r="X16" s="141" t="str">
        <f>_xlfn.XLOOKUP(Table_Input_InorganicFertiliser_Brands[[#This Row],[Product (select)]],FertiliserProducts[Product name],FertiliserProducts[Ammonia source])</f>
        <v/>
      </c>
    </row>
    <row r="17" spans="1:24" ht="36" customHeight="1" x14ac:dyDescent="0.25">
      <c r="A17" s="95" t="str">
        <f>HYPERLINK("#'Input - Fertiliser'!A1", "Fertiliser")</f>
        <v>Fertiliser</v>
      </c>
      <c r="D17" s="144"/>
      <c r="E17" s="145"/>
      <c r="F17" s="146"/>
      <c r="G17" s="146"/>
      <c r="H17" s="146"/>
      <c r="I17" s="146"/>
      <c r="J17" s="147"/>
      <c r="K17" s="147"/>
      <c r="L17" s="148"/>
      <c r="M17" s="148"/>
      <c r="N17" s="149"/>
      <c r="O17" s="149"/>
      <c r="P17" s="149"/>
      <c r="Q17" s="149"/>
      <c r="R17" s="149"/>
      <c r="S17" s="149"/>
      <c r="T17" s="149"/>
      <c r="U17" s="149"/>
      <c r="V17" s="149"/>
      <c r="W17" s="149"/>
      <c r="X17" s="149"/>
    </row>
    <row r="18" spans="1:24" ht="36" customHeight="1" x14ac:dyDescent="0.25">
      <c r="A18" s="5" t="str">
        <f>HYPERLINK("#'Input - Fuel'!A1", "Fuel")</f>
        <v>Fuel</v>
      </c>
      <c r="D18" s="150" t="s">
        <v>496</v>
      </c>
      <c r="E18" s="151"/>
      <c r="F18" s="151"/>
      <c r="G18" s="151"/>
      <c r="H18" s="151"/>
      <c r="I18" s="151"/>
      <c r="J18" s="151"/>
      <c r="K18" s="151"/>
      <c r="L18" s="151"/>
      <c r="M18" s="151"/>
      <c r="N18" s="149"/>
      <c r="O18" s="149"/>
      <c r="P18" s="149"/>
      <c r="Q18" s="149"/>
      <c r="R18" s="149"/>
      <c r="S18" s="149"/>
      <c r="T18" s="149"/>
      <c r="V18" s="149"/>
      <c r="W18" s="149"/>
      <c r="X18" s="149"/>
    </row>
    <row r="19" spans="1:24" ht="36" customHeight="1" x14ac:dyDescent="0.25">
      <c r="A19" s="5" t="str">
        <f>HYPERLINK("#'Input - Electricity'!A1", "Electricity")</f>
        <v>Electricity</v>
      </c>
      <c r="D19" s="136" t="s">
        <v>497</v>
      </c>
      <c r="E19" s="136" t="s">
        <v>498</v>
      </c>
      <c r="F19" s="136" t="s">
        <v>475</v>
      </c>
      <c r="G19" s="136" t="s">
        <v>476</v>
      </c>
      <c r="H19" s="136" t="s">
        <v>499</v>
      </c>
      <c r="I19" s="136" t="s">
        <v>478</v>
      </c>
      <c r="J19" s="136" t="s">
        <v>479</v>
      </c>
      <c r="K19" s="136" t="s">
        <v>480</v>
      </c>
      <c r="L19" s="136" t="s">
        <v>481</v>
      </c>
      <c r="M19" s="136" t="s">
        <v>482</v>
      </c>
      <c r="N19" s="136" t="s">
        <v>483</v>
      </c>
      <c r="O19" s="136" t="s">
        <v>484</v>
      </c>
      <c r="P19" s="136" t="s">
        <v>489</v>
      </c>
      <c r="Q19" s="138" t="s">
        <v>500</v>
      </c>
      <c r="R19" s="138" t="s">
        <v>501</v>
      </c>
      <c r="S19" s="149"/>
      <c r="T19" s="149"/>
      <c r="V19" s="149"/>
      <c r="W19" s="149"/>
      <c r="X19" s="149"/>
    </row>
    <row r="20" spans="1:24" ht="36" customHeight="1" x14ac:dyDescent="0.25">
      <c r="A20" s="5" t="str">
        <f>HYPERLINK("#'Input - Farm Inputs'!A1", "Farm Inputs")</f>
        <v>Farm Inputs</v>
      </c>
      <c r="D20" s="44" t="s">
        <v>502</v>
      </c>
      <c r="E20" s="136">
        <v>100</v>
      </c>
      <c r="F20" s="140">
        <f>X_Cell_Fertiliser_AreaUnderCropping</f>
        <v>1000</v>
      </c>
      <c r="G20" s="141">
        <f>Table_Input_InorganicFertiliser_Custom[[#This Row],[Amount applied (kg / ha)]]*Table_Input_InorganicFertiliser_Custom[[#This Row],[Application area (ha)]]</f>
        <v>100000</v>
      </c>
      <c r="H20" s="152" t="s">
        <v>503</v>
      </c>
      <c r="I20" s="153">
        <v>0.5</v>
      </c>
      <c r="J20" s="152" t="s">
        <v>504</v>
      </c>
      <c r="K20" s="153">
        <v>0.2</v>
      </c>
      <c r="L20" s="152" t="s">
        <v>505</v>
      </c>
      <c r="M20" s="153">
        <v>0.2</v>
      </c>
      <c r="N20" s="154" t="s">
        <v>506</v>
      </c>
      <c r="O20" s="28">
        <v>0.1</v>
      </c>
      <c r="P20"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507</v>
      </c>
      <c r="E21" s="136">
        <v>100</v>
      </c>
      <c r="F21" s="140">
        <f>X_Cell_Fertiliser_AreaUnderCropping</f>
        <v>1000</v>
      </c>
      <c r="G21" s="141">
        <f>Table_Input_InorganicFertiliser_Custom[[#This Row],[Amount applied (kg / ha)]]*Table_Input_InorganicFertiliser_Custom[[#This Row],[Application area (ha)]]</f>
        <v>100000</v>
      </c>
      <c r="H21" s="152" t="s">
        <v>508</v>
      </c>
      <c r="I21" s="155">
        <v>1</v>
      </c>
      <c r="J21" s="152"/>
      <c r="K21" s="155"/>
      <c r="L21" s="152"/>
      <c r="M21" s="155"/>
      <c r="N21" s="154"/>
      <c r="O21" s="28"/>
      <c r="P21"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509</v>
      </c>
      <c r="E22" s="136">
        <v>100</v>
      </c>
      <c r="F22" s="140">
        <f>X_Cell_Fertiliser_AreaUnderCropping</f>
        <v>1000</v>
      </c>
      <c r="G22" s="141">
        <f>Table_Input_InorganicFertiliser_Custom[[#This Row],[Amount applied (kg / ha)]]*Table_Input_InorganicFertiliser_Custom[[#This Row],[Application area (ha)]]</f>
        <v>100000</v>
      </c>
      <c r="H22" s="152" t="s">
        <v>510</v>
      </c>
      <c r="I22" s="155">
        <v>0.5</v>
      </c>
      <c r="J22" s="152"/>
      <c r="K22" s="155"/>
      <c r="L22" s="152"/>
      <c r="M22" s="155"/>
      <c r="N22" s="154"/>
      <c r="O22" s="28"/>
      <c r="P22"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511</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30" t="s">
        <v>512</v>
      </c>
      <c r="E26" s="54"/>
      <c r="F26" s="55"/>
      <c r="G26" s="130"/>
      <c r="H26" s="55"/>
      <c r="I26" s="35"/>
      <c r="J26" s="35"/>
      <c r="K26" s="8"/>
      <c r="L26" s="8"/>
      <c r="M26" s="8"/>
    </row>
    <row r="27" spans="1:24" ht="20.100000000000001" customHeight="1" x14ac:dyDescent="0.25">
      <c r="A27" s="5" t="str">
        <f>HYPERLINK("#'3.2.1.1-2 Enteric Methane'!A1", "3.2.1.1-2 Enteric methane")</f>
        <v>3.2.1.1-2 Enteric methane</v>
      </c>
      <c r="D27" s="156" t="s">
        <v>513</v>
      </c>
      <c r="E27" s="157"/>
      <c r="F27" s="158"/>
      <c r="G27" s="156"/>
      <c r="H27" s="158"/>
      <c r="I27" s="8"/>
      <c r="J27" s="8"/>
      <c r="K27" s="8"/>
      <c r="L27" s="8"/>
      <c r="M27" s="35"/>
    </row>
    <row r="28" spans="1:24" ht="20.100000000000001" customHeight="1" x14ac:dyDescent="0.25">
      <c r="A28" s="5" t="str">
        <f>HYPERLINK("#'4.2.1.1-2 Methane'!A1", "4.2.1.1-2 Manure methane")</f>
        <v>4.2.1.1-2 Manure methane</v>
      </c>
      <c r="D28" s="56" t="s">
        <v>469</v>
      </c>
      <c r="E28" s="57"/>
      <c r="F28" s="57"/>
      <c r="G28" s="57"/>
      <c r="H28" s="58"/>
      <c r="I28" s="8"/>
      <c r="J28" s="8"/>
      <c r="K28" s="8"/>
      <c r="L28" s="8"/>
      <c r="M28" s="35"/>
    </row>
    <row r="29" spans="1:24" ht="20.100000000000001" customHeight="1" x14ac:dyDescent="0.25">
      <c r="A29" s="5" t="str">
        <f>HYPERLINK("#'4.2.1.3-4 Soil direct N20'!A1", "4.2.1.3-4 Soil direct N2O")</f>
        <v>4.2.1.3-4 Soil direct N2O</v>
      </c>
      <c r="D29" s="92" t="str">
        <f>IF(MAX(Table_Input_Lime[Total]) &gt; 1, "There can not be more than 100% ingredients in a product. Check the table below.", "")</f>
        <v/>
      </c>
    </row>
    <row r="30" spans="1:24" ht="20.100000000000001" customHeight="1" x14ac:dyDescent="0.25">
      <c r="A30" s="5" t="str">
        <f>HYPERLINK("#'4.2.1.5-6 Soil Atmos Dep'!A1", "4.2.1.5-6 Soil atm. deposition")</f>
        <v>4.2.1.5-6 Soil atm. deposition</v>
      </c>
      <c r="D30" s="159" t="s">
        <v>152</v>
      </c>
      <c r="E30" s="159" t="s">
        <v>514</v>
      </c>
      <c r="F30" s="159" t="s">
        <v>475</v>
      </c>
      <c r="G30" s="159" t="s">
        <v>515</v>
      </c>
      <c r="H30" s="159" t="s">
        <v>516</v>
      </c>
      <c r="I30" s="159" t="s">
        <v>517</v>
      </c>
      <c r="J30" s="159" t="s">
        <v>518</v>
      </c>
      <c r="K30" s="159" t="s">
        <v>4</v>
      </c>
    </row>
    <row r="31" spans="1:24" ht="20.100000000000001" customHeight="1" x14ac:dyDescent="0.25">
      <c r="A31" s="5" t="str">
        <f>HYPERLINK("#'4.2.1.7-8 Soil leach runoff'!A1", "4.2.1.7-8 Soil leach &amp; runoff")</f>
        <v>4.2.1.7-8 Soil leach &amp; runoff</v>
      </c>
      <c r="D31" s="160" t="s">
        <v>519</v>
      </c>
      <c r="E31" s="140">
        <v>1</v>
      </c>
      <c r="F31" s="140">
        <f>X_Cell_Fertiliser_AreaUnderCropping</f>
        <v>1000</v>
      </c>
      <c r="G31" s="141">
        <f>IFERROR(Table_Input_Lime[[#This Row],[Amount applied (t/hectare)]]*Table_Input_Lime[[#This Row],[Application area (ha)]], 0)</f>
        <v>1000</v>
      </c>
      <c r="H31" s="161">
        <v>0.8</v>
      </c>
      <c r="I31" s="161">
        <v>0.1</v>
      </c>
      <c r="J31" s="161">
        <v>0.1</v>
      </c>
      <c r="K31" s="162">
        <f>SUM(Table_Input_Lime[[#This Row],[Percent Lime CaCO3]:[Percent Gypsum]])</f>
        <v>1</v>
      </c>
    </row>
    <row r="32" spans="1:24" ht="30" customHeight="1" x14ac:dyDescent="0.25">
      <c r="A32" s="5" t="str">
        <f>HYPERLINK("#'5.1.1.1-2 Inorganic fert N2O'!A1", "5.1.1.1-2 Inorganic fert N2O")</f>
        <v>5.1.1.1-2 Inorganic fert N2O</v>
      </c>
      <c r="D32" s="160" t="s">
        <v>520</v>
      </c>
      <c r="E32" s="140">
        <v>1</v>
      </c>
      <c r="F32" s="140">
        <f>X_Cell_Fertiliser_AreaUnderCropping</f>
        <v>1000</v>
      </c>
      <c r="G32" s="141">
        <f>IFERROR(Table_Input_Lime[[#This Row],[Amount applied (t/hectare)]]*Table_Input_Lime[[#This Row],[Application area (ha)]], 0)</f>
        <v>1000</v>
      </c>
      <c r="H32" s="161">
        <v>1</v>
      </c>
      <c r="I32" s="161"/>
      <c r="J32" s="161"/>
      <c r="K32" s="162">
        <f>SUM(Table_Input_Lime[[#This Row],[Percent Lime CaCO3]:[Percent Gypsum]])</f>
        <v>1</v>
      </c>
      <c r="L32" s="35"/>
    </row>
    <row r="33" spans="1:25" ht="36" customHeight="1" x14ac:dyDescent="0.25">
      <c r="A33" s="5" t="str">
        <f>HYPERLINK("#'5.1.1.3-4 Inorganic fert CO2'!A1", "5.1.1.3-4 Inorganic fert CO2")</f>
        <v>5.1.1.3-4 Inorganic fert CO2</v>
      </c>
      <c r="D33" s="160" t="s">
        <v>521</v>
      </c>
      <c r="E33" s="140">
        <v>1</v>
      </c>
      <c r="F33" s="140">
        <f>X_Cell_Fertiliser_AreaUnderCropping</f>
        <v>1000</v>
      </c>
      <c r="G33" s="141">
        <f>IFERROR(Table_Input_Lime[[#This Row],[Amount applied (t/hectare)]]*Table_Input_Lime[[#This Row],[Application area (ha)]], 0)</f>
        <v>1000</v>
      </c>
      <c r="H33" s="161">
        <v>0</v>
      </c>
      <c r="I33" s="161"/>
      <c r="J33" s="161">
        <v>1</v>
      </c>
      <c r="K33" s="162">
        <f>SUM(Table_Input_Lime[[#This Row],[Percent Lime CaCO3]:[Percent Gypsum]])</f>
        <v>1</v>
      </c>
      <c r="L33" s="35"/>
      <c r="M33" s="35"/>
    </row>
    <row r="34" spans="1:25" ht="36" customHeight="1" x14ac:dyDescent="0.25">
      <c r="A34" s="5" t="str">
        <f>HYPERLINK("#'5.2.1.1-2 Organic Fert N2O'!A1", "5.2.1.1-2 Organic fert N2O")</f>
        <v>5.2.1.1-2 Organic fert N2O</v>
      </c>
      <c r="D34" s="8"/>
      <c r="E34" s="8"/>
      <c r="F34" s="8"/>
      <c r="G34" s="8"/>
      <c r="H34" s="8"/>
      <c r="I34" s="8"/>
      <c r="J34" s="8"/>
      <c r="L34" s="8"/>
      <c r="M34" s="35"/>
    </row>
    <row r="35" spans="1:25" ht="36" customHeight="1" x14ac:dyDescent="0.25">
      <c r="A35" s="5" t="str">
        <f>HYPERLINK("#'5.3.1.1-2 Lime CO2'!A1", "5.3.1.1-2 Lime CO2")</f>
        <v>5.3.1.1-2 Lime CO2</v>
      </c>
      <c r="D35" s="8"/>
      <c r="E35" s="8"/>
      <c r="F35" s="8"/>
      <c r="G35" s="8"/>
      <c r="H35" s="8"/>
      <c r="I35" s="8"/>
      <c r="J35" s="163"/>
      <c r="K35" s="35"/>
      <c r="L35" s="8"/>
      <c r="M35" s="8"/>
    </row>
    <row r="36" spans="1:25" ht="36" customHeight="1" x14ac:dyDescent="0.25">
      <c r="A36" s="5" t="str">
        <f>HYPERLINK("#'5.4.1.1-4 Atmos deposition'!A1", "5.4.1.1-4 Atmos. deposition")</f>
        <v>5.4.1.1-4 Atmos. deposition</v>
      </c>
      <c r="D36" s="2" t="s">
        <v>522</v>
      </c>
      <c r="E36" s="35"/>
      <c r="F36" s="35"/>
      <c r="G36" s="35"/>
      <c r="H36" s="8"/>
      <c r="I36" s="8"/>
      <c r="J36" s="8"/>
      <c r="K36" s="8"/>
      <c r="L36" s="8"/>
      <c r="M36" s="8"/>
      <c r="S36" s="149"/>
    </row>
    <row r="37" spans="1:25" ht="20.100000000000001" customHeight="1" x14ac:dyDescent="0.25">
      <c r="A37" s="5" t="str">
        <f>HYPERLINK("#'5.5.1.1-2 Leaching and runoff'!A1", "5.5.1.1-2 Leaching &amp; runoff")</f>
        <v>5.5.1.1-2 Leaching &amp; runoff</v>
      </c>
      <c r="D37" s="8"/>
      <c r="E37" s="8"/>
      <c r="F37" s="8"/>
      <c r="G37" s="8"/>
      <c r="H37" s="8"/>
      <c r="I37" s="8"/>
      <c r="J37" s="8"/>
      <c r="K37" s="8"/>
      <c r="L37" s="8"/>
      <c r="M37" s="8"/>
      <c r="Q37" s="149"/>
      <c r="R37" s="149"/>
      <c r="S37" s="149"/>
    </row>
    <row r="38" spans="1:25" ht="20.100000000000001" customHeight="1" x14ac:dyDescent="0.25">
      <c r="A38" s="5" t="str">
        <f>HYPERLINK("#'6.2.1.1-2 Pasture residue N2O'!A1", "6.2.1.1-2 Pasture residue N2O")</f>
        <v>6.2.1.1-2 Pasture residue N2O</v>
      </c>
      <c r="C38" s="149"/>
      <c r="D38" s="130" t="s">
        <v>512</v>
      </c>
      <c r="E38" s="54"/>
      <c r="F38" s="54"/>
      <c r="G38" s="54"/>
      <c r="H38" s="55"/>
      <c r="I38" s="8"/>
      <c r="J38" s="8"/>
      <c r="K38" s="8"/>
      <c r="L38" s="8"/>
      <c r="M38" s="8"/>
      <c r="O38" s="149"/>
      <c r="P38" s="149"/>
      <c r="Q38" s="149"/>
      <c r="R38" s="149"/>
    </row>
    <row r="39" spans="1:25" ht="20.100000000000001" customHeight="1" x14ac:dyDescent="0.25">
      <c r="A39" s="5" t="str">
        <f>HYPERLINK("#'6.3.1.1-2 Leach runoff pasture'!A1", "6.3.1.1-2 Leach &amp; runoff (pasture)")</f>
        <v>6.3.1.1-2 Leach &amp; runoff (pasture)</v>
      </c>
      <c r="C39" s="149"/>
      <c r="D39" s="56" t="s">
        <v>469</v>
      </c>
      <c r="E39" s="57"/>
      <c r="F39" s="57"/>
      <c r="G39" s="57"/>
      <c r="H39" s="58"/>
      <c r="I39" s="8"/>
      <c r="J39" s="8"/>
      <c r="K39" s="8"/>
      <c r="L39" s="151"/>
      <c r="M39" s="149"/>
      <c r="N39" s="149"/>
      <c r="O39" s="149"/>
      <c r="P39" s="149"/>
    </row>
    <row r="40" spans="1:25" s="164" customFormat="1" ht="20.100000000000001" customHeight="1" x14ac:dyDescent="0.25">
      <c r="A40" s="5" t="str">
        <f>HYPERLINK("#'8.1.1.1-2 Transport fuel'!A1", "8.1.1.1-2 Transport fuel")</f>
        <v>8.1.1.1-2 Transport fuel</v>
      </c>
      <c r="C40" s="1"/>
      <c r="D40" s="8"/>
      <c r="E40" s="8"/>
      <c r="F40" s="8"/>
      <c r="G40" s="8"/>
      <c r="H40" s="8"/>
      <c r="I40" s="8"/>
      <c r="J40" s="8"/>
      <c r="K40" s="8"/>
      <c r="L40" s="151"/>
      <c r="M40" s="149"/>
      <c r="N40" s="149"/>
      <c r="O40" s="1"/>
      <c r="P40" s="1"/>
      <c r="Q40" s="1"/>
      <c r="R40" s="1"/>
      <c r="S40" s="1"/>
      <c r="T40" s="1"/>
      <c r="U40" s="1"/>
      <c r="V40" s="1"/>
      <c r="W40" s="1"/>
      <c r="X40" s="1"/>
      <c r="Y40" s="1"/>
    </row>
    <row r="41" spans="1:25" s="164" customFormat="1" ht="20.100000000000001" customHeight="1" x14ac:dyDescent="0.25">
      <c r="A41" s="5" t="str">
        <f>HYPERLINK("#'8.2.1.1-2 Stationary fuel'!A1", "8.2.1.1-2 Stationary fuel")</f>
        <v>8.2.1.1-2 Stationary fuel</v>
      </c>
      <c r="C41" s="1"/>
      <c r="D41" s="159" t="s">
        <v>523</v>
      </c>
      <c r="E41" s="159" t="s">
        <v>524</v>
      </c>
      <c r="F41" s="159" t="s">
        <v>525</v>
      </c>
      <c r="G41" s="159" t="s">
        <v>526</v>
      </c>
      <c r="H41" s="159" t="s">
        <v>475</v>
      </c>
      <c r="I41" s="159" t="s">
        <v>527</v>
      </c>
      <c r="J41" s="159" t="s">
        <v>528</v>
      </c>
      <c r="K41" s="151"/>
      <c r="L41" s="1"/>
      <c r="M41" s="1"/>
      <c r="N41" s="1"/>
      <c r="O41" s="1"/>
      <c r="P41" s="1"/>
      <c r="Q41" s="1"/>
      <c r="R41" s="1"/>
      <c r="S41" s="1"/>
      <c r="T41" s="1"/>
      <c r="U41" s="1"/>
      <c r="V41" s="1"/>
      <c r="W41" s="1"/>
      <c r="X41" s="1"/>
      <c r="Y41" s="1"/>
    </row>
    <row r="42" spans="1:25" ht="30" customHeight="1" x14ac:dyDescent="0.25">
      <c r="A42" s="5" t="str">
        <f>HYPERLINK("#'14.1.1-2 Purchased electricity'!A1", "14.1.1-2 Purchased electricity")</f>
        <v>14.1.1-2 Purchased electricity</v>
      </c>
      <c r="D42" s="139" t="s">
        <v>529</v>
      </c>
      <c r="E42" s="161">
        <v>0.3</v>
      </c>
      <c r="F42" s="140">
        <v>10</v>
      </c>
      <c r="G42" s="141">
        <f>Table_Input_OrganicFertiliser[[#This Row],[Amount applied (kg/hectare)]]*Table_Input_OrganicFertiliser[[#This Row],[Percentage of N in fertiliser]]</f>
        <v>3</v>
      </c>
      <c r="H42" s="140">
        <f>X_Cell_Fertiliser_AreaUnderCropping</f>
        <v>1000</v>
      </c>
      <c r="I42" s="141">
        <f>Table_Input_OrganicFertiliser[[#This Row],[Amount applied (kg/hectare)]]*Table_Input_OrganicFertiliser[[#This Row],[Application area (ha)]]</f>
        <v>10000</v>
      </c>
      <c r="J42" s="141">
        <f>IFERROR(Table_Input_OrganicFertiliser[[#This Row],[Amount N applied (kg/hectare)]]*Table_Input_OrganicFertiliser[[#This Row],[Application area (ha)]], 0)</f>
        <v>3000</v>
      </c>
      <c r="K42" s="151"/>
    </row>
    <row r="43" spans="1:25" ht="36" customHeight="1" x14ac:dyDescent="0.25">
      <c r="A43" s="5" t="str">
        <f>HYPERLINK("#'15 Scope 3'!A1", "15 Scope 3")</f>
        <v>15 Scope 3</v>
      </c>
      <c r="D43" s="139" t="s">
        <v>530</v>
      </c>
      <c r="E43" s="161">
        <v>0.25</v>
      </c>
      <c r="F43" s="140">
        <v>10</v>
      </c>
      <c r="G43" s="141">
        <f>Table_Input_OrganicFertiliser[[#This Row],[Amount applied (kg/hectare)]]*Table_Input_OrganicFertiliser[[#This Row],[Percentage of N in fertiliser]]</f>
        <v>2.5</v>
      </c>
      <c r="H43" s="140">
        <f>X_Cell_Fertiliser_AreaUnderCropping</f>
        <v>1000</v>
      </c>
      <c r="I43" s="141">
        <f>Table_Input_OrganicFertiliser[[#This Row],[Amount applied (kg/hectare)]]*Table_Input_OrganicFertiliser[[#This Row],[Application area (ha)]]</f>
        <v>10000</v>
      </c>
      <c r="J43" s="141">
        <f>IFERROR(Table_Input_OrganicFertiliser[[#This Row],[Amount N applied (kg/hectare)]]*Table_Input_OrganicFertiliser[[#This Row],[Application area (ha)]], 0)</f>
        <v>2500</v>
      </c>
    </row>
    <row r="44" spans="1:25" ht="36" customHeight="1" x14ac:dyDescent="0.25">
      <c r="A44" s="5" t="str">
        <f>HYPERLINK("#'Calcs - Manure sent off-site'!A1", "Calcs - Manure sent off-site")</f>
        <v>Calcs - Manure sent off-site</v>
      </c>
      <c r="D44" s="139" t="s">
        <v>531</v>
      </c>
      <c r="E44" s="161">
        <v>0.16</v>
      </c>
      <c r="F44" s="140">
        <v>10</v>
      </c>
      <c r="G44" s="141">
        <f>Table_Input_OrganicFertiliser[[#This Row],[Amount applied (kg/hectare)]]*Table_Input_OrganicFertiliser[[#This Row],[Percentage of N in fertiliser]]</f>
        <v>1.6</v>
      </c>
      <c r="H44" s="140">
        <f>X_Cell_Fertiliser_AreaUnderCropping</f>
        <v>1000</v>
      </c>
      <c r="I44" s="141">
        <f>Table_Input_OrganicFertiliser[[#This Row],[Amount applied (kg/hectare)]]*Table_Input_OrganicFertiliser[[#This Row],[Application area (ha)]]</f>
        <v>10000</v>
      </c>
      <c r="J44" s="141">
        <f>IFERROR(Table_Input_OrganicFertiliser[[#This Row],[Amount N applied (kg/hectare)]]*Table_Input_OrganicFertiliser[[#This Row],[Application area (ha)]], 0)</f>
        <v>1600</v>
      </c>
    </row>
    <row r="45" spans="1:25" ht="36" customHeight="1" x14ac:dyDescent="0.25">
      <c r="A45" s="5" t="str">
        <f>HYPERLINK("#'10.1.1-2 Solid waste treatment'!A1", "10.1.1-2 Solid waste treatment")</f>
        <v>10.1.1-2 Solid waste treatment</v>
      </c>
    </row>
    <row r="46" spans="1:25" ht="36" customHeight="1" x14ac:dyDescent="0.25"/>
    <row r="47" spans="1:25" ht="20.100000000000001" customHeight="1" x14ac:dyDescent="0.25"/>
    <row r="48" spans="1:25"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492D6E59-8382-4BCA-AD83-C32741982300}">
      <formula1>INDIRECT("Table_SourceData_Fertiliser_UreaAmmoniaSources[Source]")</formula1>
    </dataValidation>
    <dataValidation type="list" allowBlank="1" showInputMessage="1" showErrorMessage="1" sqref="D12:D16" xr:uid="{609766C2-67DD-4B0E-878D-2B4BEABDE84C}">
      <formula1>INDIRECT("FertiliserProducts[Product Name]")</formula1>
    </dataValidation>
    <dataValidation type="list" allowBlank="1" showInputMessage="1" showErrorMessage="1" sqref="D42:D44" xr:uid="{D8BD8B85-956B-4E3E-B858-A056F8F58B0E}">
      <formula1>INDIRECT("Table_SourceData_OrganicFertiliserTypes[Organic fertiliser type]")</formula1>
    </dataValidation>
    <dataValidation type="list" allowBlank="1" showInputMessage="1" showErrorMessage="1" sqref="H20:H22 J20:J22 L20:L22 N20:N22" xr:uid="{344C3783-1DF9-435A-A6C0-35AF28CF1838}">
      <formula1>INDIRECT("Table_Fertiliser_ChemicalCompounds[Fertiliser type f]")</formula1>
    </dataValidation>
    <dataValidation type="list" allowBlank="1" showInputMessage="1" showErrorMessage="1" sqref="E69" xr:uid="{75F81AC3-E62F-41D8-B910-3EBB2CB6F715}">
      <formula1>INDIRECT("Table_SourceData_Swine_CropProdSystems[Production system]")</formula1>
    </dataValidation>
    <dataValidation type="list" allowBlank="1" showInputMessage="1" showErrorMessage="1" sqref="E70" xr:uid="{94C39ECF-D6C6-4008-8B1E-00BFD30751DB}">
      <formula1>INDIRECT("Table_SourceData_Swine_IrrigationMethods[Irrigation method]")</formula1>
    </dataValidation>
    <dataValidation type="list" allowBlank="1" showInputMessage="1" showErrorMessage="1" sqref="E254 E259 E264 E298 E293 E288 E166 E154 E130 E142" xr:uid="{681CEDB9-D411-4ED9-8186-BB1AA25A4EDE}">
      <formula1>"Yes, No"</formula1>
    </dataValidation>
    <dataValidation type="list" allowBlank="1" showInputMessage="1" showErrorMessage="1" sqref="E230" xr:uid="{649571F2-2E93-4AC5-A10D-5A1649B01305}">
      <formula1>INDIRECT("Table_SourceData_Dairy_ProductionSystemTemplates[Area]")</formula1>
    </dataValidation>
    <dataValidation type="list" allowBlank="1" showInputMessage="1" showErrorMessage="1" sqref="D282" xr:uid="{8A20C5BE-7274-4E5D-B505-83401B0201D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0D5AB-6201-4982-BB35-370F3AF7C610}">
  <dimension ref="A1:K346"/>
  <sheetViews>
    <sheetView showGridLines="0" topLeftCell="A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698</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699</v>
      </c>
      <c r="E5" s="35"/>
      <c r="F5" s="35"/>
      <c r="G5" s="35"/>
      <c r="H5" s="35"/>
    </row>
    <row r="6" spans="1:11" ht="20.100000000000001" customHeight="1" x14ac:dyDescent="0.25">
      <c r="D6" s="8"/>
      <c r="E6" s="8"/>
      <c r="F6" s="8"/>
      <c r="G6" s="8"/>
      <c r="H6" s="8"/>
      <c r="I6" s="8"/>
      <c r="J6" s="8"/>
    </row>
    <row r="7" spans="1:11" ht="20.100000000000001" customHeight="1" x14ac:dyDescent="0.25">
      <c r="D7" s="1" t="s">
        <v>700</v>
      </c>
    </row>
    <row r="8" spans="1:11" ht="20.100000000000001" customHeight="1" x14ac:dyDescent="0.25">
      <c r="A8" s="7" t="s">
        <v>0</v>
      </c>
      <c r="D8" s="1" t="s">
        <v>701</v>
      </c>
    </row>
    <row r="9" spans="1:11" ht="20.100000000000001" customHeight="1" x14ac:dyDescent="0.25">
      <c r="A9" s="5" t="str">
        <f>HYPERLINK("#'Input - Enterprise'!A1", "Enterprise")</f>
        <v>Enterprise</v>
      </c>
      <c r="D9" s="1" t="s">
        <v>702</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703</v>
      </c>
      <c r="E11" s="23" t="s">
        <v>704</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0" t="s">
        <v>670</v>
      </c>
      <c r="E13" s="54"/>
      <c r="F13" s="54"/>
      <c r="G13" s="54"/>
      <c r="H13" s="55"/>
    </row>
    <row r="14" spans="1:11" ht="20.100000000000001" customHeight="1" x14ac:dyDescent="0.25">
      <c r="A14" s="5" t="str">
        <f>HYPERLINK("#'Input - Beef cattle purchases'!A1", "Beef cattle purchases")</f>
        <v>Beef cattle purchases</v>
      </c>
      <c r="D14" s="56" t="s">
        <v>705</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112" t="s">
        <v>706</v>
      </c>
      <c r="E16" s="112" t="s">
        <v>707</v>
      </c>
      <c r="F16" s="112" t="s">
        <v>708</v>
      </c>
      <c r="G16" s="112" t="s">
        <v>709</v>
      </c>
      <c r="H16" s="112" t="s">
        <v>710</v>
      </c>
      <c r="I16" s="112" t="s">
        <v>711</v>
      </c>
      <c r="J16" s="112" t="s">
        <v>712</v>
      </c>
    </row>
    <row r="17" spans="1:10" ht="20.100000000000001" customHeight="1" x14ac:dyDescent="0.25">
      <c r="A17" s="5" t="str">
        <f>HYPERLINK("#'Input - Fertiliser'!A1", "Fertiliser")</f>
        <v>Fertiliser</v>
      </c>
      <c r="D17" s="23" t="s">
        <v>713</v>
      </c>
      <c r="E17" s="23" t="s">
        <v>714</v>
      </c>
      <c r="F17" s="192">
        <v>100</v>
      </c>
      <c r="G17" s="25" t="str" cm="1">
        <f t="array" ref="G17">Common_InputFunctions.Utility_LookupValueInTable(Table_Input_Fuel[[#This Row],[Fuel type (select)]],Table_FuelTypes_Units[Fuel type], Table_FuelTypes_Units[Input Unit])</f>
        <v>GJ</v>
      </c>
      <c r="H17" s="193">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5" t="str">
        <f>HYPERLINK("#'Input - Fuel'!A1", "Fuel")</f>
        <v>Fuel</v>
      </c>
      <c r="D18" s="23" t="s">
        <v>713</v>
      </c>
      <c r="E18" s="23" t="s">
        <v>715</v>
      </c>
      <c r="F18" s="192">
        <v>10000</v>
      </c>
      <c r="G18" s="25" t="str" cm="1">
        <f t="array" ref="G18">Common_InputFunctions.Utility_LookupValueInTable(Table_Input_Fuel[[#This Row],[Fuel type (select)]],Table_FuelTypes_Units[Fuel type], Table_FuelTypes_Units[Input Unit])</f>
        <v>L</v>
      </c>
      <c r="H18" s="194">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716</v>
      </c>
      <c r="E19" s="23" t="s">
        <v>717</v>
      </c>
      <c r="F19" s="192">
        <v>10000</v>
      </c>
      <c r="G19" s="25" t="str" cm="1">
        <f t="array" ref="G19">Common_InputFunctions.Utility_LookupValueInTable(Table_Input_Fuel[[#This Row],[Fuel type (select)]],Table_FuelTypes_Units[Fuel type], Table_FuelTypes_Units[Input Unit])</f>
        <v>L</v>
      </c>
      <c r="H19" s="194">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718</v>
      </c>
      <c r="E20" s="23" t="s">
        <v>717</v>
      </c>
      <c r="F20" s="192">
        <v>10000</v>
      </c>
      <c r="G20" s="25" t="str" cm="1">
        <f t="array" ref="G20">Common_InputFunctions.Utility_LookupValueInTable(Table_Input_Fuel[[#This Row],[Fuel type (select)]],Table_FuelTypes_Units[Fuel type], Table_FuelTypes_Units[Input Unit])</f>
        <v>L</v>
      </c>
      <c r="H20" s="194">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195" t="s">
        <v>719</v>
      </c>
      <c r="E21" s="195" t="s">
        <v>720</v>
      </c>
      <c r="F21" s="192">
        <v>10000</v>
      </c>
      <c r="G21" s="196" t="str" cm="1">
        <f t="array" ref="G21">Common_InputFunctions.Utility_LookupValueInTable(Table_Input_Fuel[[#This Row],[Fuel type (select)]],Table_FuelTypes_Units[Fuel type], Table_FuelTypes_Units[Input Unit])</f>
        <v>L</v>
      </c>
      <c r="H21" s="197">
        <f>1</f>
        <v>1</v>
      </c>
      <c r="I21" s="196">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HYPERLINK("#'3.2.1.1-2 Enteric Methane'!A1", "3.2.1.1-2 Enteric methane")</f>
        <v>3.2.1.1-2 Enteric methane</v>
      </c>
    </row>
    <row r="28" spans="1:10" ht="20.100000000000001" customHeight="1" x14ac:dyDescent="0.25">
      <c r="A28" s="5" t="str">
        <f>HYPERLINK("#'4.2.1.1-2 Methane'!A1", "4.2.1.1-2 Manure methane")</f>
        <v>4.2.1.1-2 Manure methane</v>
      </c>
    </row>
    <row r="29" spans="1:10" ht="20.100000000000001" customHeight="1" x14ac:dyDescent="0.25">
      <c r="A29" s="5" t="str">
        <f>HYPERLINK("#'4.2.1.3-4 Soil direct N20'!A1", "4.2.1.3-4 Soil direct N2O")</f>
        <v>4.2.1.3-4 Soil direct N2O</v>
      </c>
    </row>
    <row r="30" spans="1:10" ht="20.100000000000001" customHeight="1" x14ac:dyDescent="0.25">
      <c r="A30" s="5" t="str">
        <f>HYPERLINK("#'4.2.1.5-6 Soil Atmos Dep'!A1", "4.2.1.5-6 Soil atm. deposition")</f>
        <v>4.2.1.5-6 Soil atm. deposition</v>
      </c>
    </row>
    <row r="31" spans="1:10" ht="20.100000000000001" customHeight="1" x14ac:dyDescent="0.25">
      <c r="A31" s="5" t="str">
        <f>HYPERLINK("#'4.2.1.7-8 Soil leach runoff'!A1", "4.2.1.7-8 Soil leach &amp; runoff")</f>
        <v>4.2.1.7-8 Soil leach &amp; runoff</v>
      </c>
    </row>
    <row r="32" spans="1:10" ht="20.100000000000001" customHeight="1" x14ac:dyDescent="0.25">
      <c r="A32" s="5" t="str">
        <f>HYPERLINK("#'5.1.1.1-2 Inorganic fert N2O'!A1", "5.1.1.1-2 Inorganic fert N2O")</f>
        <v>5.1.1.1-2 Inorganic fert N2O</v>
      </c>
    </row>
    <row r="33" spans="1:11" ht="20.100000000000001" customHeight="1" x14ac:dyDescent="0.25">
      <c r="A33" s="5" t="str">
        <f>HYPERLINK("#'5.1.1.3-4 Inorganic fert CO2'!A1", "5.1.1.3-4 Inorganic fert CO2")</f>
        <v>5.1.1.3-4 Inorganic fert CO2</v>
      </c>
    </row>
    <row r="34" spans="1:11" ht="20.100000000000001" customHeight="1" x14ac:dyDescent="0.25">
      <c r="A34" s="5" t="str">
        <f>HYPERLINK("#'5.2.1.1-2 Organic Fert N2O'!A1", "5.2.1.1-2 Organic fert N2O")</f>
        <v>5.2.1.1-2 Organic fert N2O</v>
      </c>
    </row>
    <row r="35" spans="1:11" ht="20.100000000000001" customHeight="1" x14ac:dyDescent="0.25">
      <c r="A35" s="5" t="str">
        <f>HYPERLINK("#'5.3.1.1-2 Lime CO2'!A1", "5.3.1.1-2 Lime CO2")</f>
        <v>5.3.1.1-2 Lime CO2</v>
      </c>
    </row>
    <row r="36" spans="1:11" ht="20.100000000000001" customHeight="1" x14ac:dyDescent="0.25">
      <c r="A36" s="5" t="str">
        <f>HYPERLINK("#'5.4.1.1-4 Atmos deposition'!A1", "5.4.1.1-4 Atmos. deposition")</f>
        <v>5.4.1.1-4 Atmos. deposition</v>
      </c>
    </row>
    <row r="37" spans="1:11" ht="20.100000000000001" customHeight="1" x14ac:dyDescent="0.25">
      <c r="A37" s="5" t="str">
        <f>HYPERLINK("#'5.5.1.1-2 Leaching and runoff'!A1", "5.5.1.1-2 Leaching &amp; runoff")</f>
        <v>5.5.1.1-2 Leaching &amp; runoff</v>
      </c>
    </row>
    <row r="38" spans="1:11" ht="20.100000000000001" customHeight="1" x14ac:dyDescent="0.25">
      <c r="A38" s="5" t="str">
        <f>HYPERLINK("#'6.2.1.1-2 Pasture residue N2O'!A1", "6.2.1.1-2 Pasture residue N2O")</f>
        <v>6.2.1.1-2 Pasture residue N2O</v>
      </c>
      <c r="C38" s="149"/>
      <c r="K38" s="149"/>
    </row>
    <row r="39" spans="1:11" ht="20.100000000000001" customHeight="1" x14ac:dyDescent="0.25">
      <c r="A39" s="5" t="str">
        <f>HYPERLINK("#'6.3.1.1-2 Leach runoff pasture'!A1", "6.3.1.1-2 Leach &amp; runoff (pasture)")</f>
        <v>6.3.1.1-2 Leach &amp; runoff (pasture)</v>
      </c>
      <c r="C39" s="149"/>
      <c r="K39" s="149"/>
    </row>
    <row r="40" spans="1:11" s="164" customFormat="1" ht="20.100000000000001" customHeight="1" x14ac:dyDescent="0.25">
      <c r="A40" s="5" t="str">
        <f>HYPERLINK("#'8.1.1.1-2 Transport fuel'!A1", "8.1.1.1-2 Transport fuel")</f>
        <v>8.1.1.1-2 Transport fuel</v>
      </c>
      <c r="C40" s="1"/>
      <c r="D40" s="1"/>
      <c r="E40" s="1"/>
      <c r="F40" s="1"/>
      <c r="G40" s="1"/>
      <c r="H40" s="1"/>
      <c r="I40" s="1"/>
      <c r="J40" s="1"/>
      <c r="K40" s="1"/>
    </row>
    <row r="41" spans="1:11" s="164" customFormat="1" ht="20.100000000000001" customHeight="1" x14ac:dyDescent="0.25">
      <c r="A41" s="5" t="str">
        <f>HYPERLINK("#'8.2.1.1-2 Stationary fuel'!A1", "8.2.1.1-2 Stationary fuel")</f>
        <v>8.2.1.1-2 Stationary fuel</v>
      </c>
      <c r="C41" s="1"/>
      <c r="D41" s="1"/>
      <c r="E41" s="1"/>
      <c r="F41" s="1"/>
      <c r="G41" s="1"/>
      <c r="H41" s="1"/>
      <c r="I41" s="1"/>
      <c r="J41" s="1"/>
      <c r="K41" s="1"/>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row>
    <row r="46" spans="1:11" ht="20.100000000000001" customHeight="1" x14ac:dyDescent="0.25"/>
    <row r="47" spans="1:11" ht="20.100000000000001" customHeight="1" x14ac:dyDescent="0.25"/>
    <row r="48" spans="1:11"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F04F0D6C-3DFC-4D78-B740-29873E0E0160}">
      <formula1>_xlfn.TRIMRANGE(INDIRECT("Table_FuelTypesPerUse["&amp;D17&amp;"]"))</formula1>
    </dataValidation>
    <dataValidation type="list" allowBlank="1" showInputMessage="1" showErrorMessage="1" sqref="D17:D21" xr:uid="{C79B5720-8A49-4C33-9F28-9A9F7B4D48B6}">
      <formula1>INDIRECT("Table_FuelTypesPerUse[#Headers]")</formula1>
    </dataValidation>
    <dataValidation type="list" allowBlank="1" showInputMessage="1" showErrorMessage="1" sqref="E11" xr:uid="{8C4FF241-EBDE-4C75-B446-398B6E54994C}">
      <formula1>"Metro, Non-metro"</formula1>
    </dataValidation>
    <dataValidation type="list" allowBlank="1" showInputMessage="1" showErrorMessage="1" sqref="D29:D30" xr:uid="{4D50A4B0-D949-4FD1-81CF-352508EDA6C9}">
      <formula1>INDIRECT("Table_SourceData_OrganicFertiliserTypes[Organic fertiliser type]")</formula1>
    </dataValidation>
    <dataValidation type="list" allowBlank="1" showInputMessage="1" showErrorMessage="1" sqref="E49" xr:uid="{3F711716-99D4-40A2-BB62-A8166F1F389D}">
      <formula1>INDIRECT("Table_SourceData_Swine_CropProdSystems[Production system]")</formula1>
    </dataValidation>
    <dataValidation type="list" allowBlank="1" showInputMessage="1" showErrorMessage="1" sqref="E50" xr:uid="{DC27B27E-4131-4A83-B549-9E21BB4D1708}">
      <formula1>INDIRECT("Table_SourceData_Swine_IrrigationMethods[Irrigation method]")</formula1>
    </dataValidation>
    <dataValidation type="list" allowBlank="1" showInputMessage="1" showErrorMessage="1" sqref="E234 E239 E244 E278 E273 E268 E146 E134 E110 E122" xr:uid="{9706FC23-4549-453C-9BBD-4B98F55CEF0E}">
      <formula1>"Yes, No"</formula1>
    </dataValidation>
    <dataValidation type="list" allowBlank="1" showInputMessage="1" showErrorMessage="1" sqref="E210" xr:uid="{5AE82996-7C32-44A6-AD62-1D749998197C}">
      <formula1>INDIRECT("Table_SourceData_Dairy_ProductionSystemTemplates[Area]")</formula1>
    </dataValidation>
    <dataValidation type="list" allowBlank="1" showInputMessage="1" showErrorMessage="1" sqref="D262" xr:uid="{001E83BF-41EC-4345-8BF6-75420F6FDDA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82203-D6B9-478F-845E-E5A1CE54A9C8}">
  <dimension ref="A1:L365"/>
  <sheetViews>
    <sheetView showGridLines="0" topLeftCell="A2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652</v>
      </c>
      <c r="E5" s="23" t="s">
        <v>653</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3"/>
      <c r="D8" s="113"/>
      <c r="E8" s="113"/>
      <c r="F8" s="113"/>
      <c r="G8" s="113"/>
      <c r="H8" s="113"/>
      <c r="I8" s="113"/>
      <c r="J8" s="113"/>
    </row>
    <row r="9" spans="1:10" ht="20.100000000000001" customHeight="1" x14ac:dyDescent="0.25">
      <c r="A9" s="5" t="str">
        <f>HYPERLINK("#'Input - Enterprise'!A1", "Enterprise")</f>
        <v>Enterprise</v>
      </c>
      <c r="D9" s="2" t="s">
        <v>654</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655</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656</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657</v>
      </c>
      <c r="E15" s="184">
        <v>30000</v>
      </c>
      <c r="F15" s="26" t="s">
        <v>658</v>
      </c>
    </row>
    <row r="16" spans="1:10" ht="20.100000000000001" customHeight="1" x14ac:dyDescent="0.25">
      <c r="A16" s="5" t="str">
        <f>HYPERLINK("#'Input - Fert Prod System'!A1", "Fert Prod System")</f>
        <v>Fert Prod System</v>
      </c>
      <c r="D16" s="1" t="s">
        <v>659</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660</v>
      </c>
      <c r="E17" s="23" t="s">
        <v>661</v>
      </c>
      <c r="F17" s="26" t="s">
        <v>110</v>
      </c>
    </row>
    <row r="18" spans="1:11" ht="20.100000000000001" customHeight="1" x14ac:dyDescent="0.25">
      <c r="A18" s="5" t="str">
        <f>HYPERLINK("#'Input - Fuel'!A1", "Fuel")</f>
        <v>Fuel</v>
      </c>
    </row>
    <row r="19" spans="1:11" ht="20.100000000000001" customHeight="1" x14ac:dyDescent="0.25">
      <c r="A19" s="95" t="str">
        <f>HYPERLINK("#'Input - Electricity'!A1", "Electricity")</f>
        <v>Electricity</v>
      </c>
    </row>
    <row r="20" spans="1:11" ht="20.100000000000001" customHeight="1" x14ac:dyDescent="0.25">
      <c r="A20" s="5" t="str">
        <f>HYPERLINK("#'Input - Farm Inputs'!A1", "Farm Inputs")</f>
        <v>Farm Inputs</v>
      </c>
      <c r="C20" s="113"/>
      <c r="D20" s="113"/>
      <c r="E20" s="113"/>
      <c r="F20" s="113"/>
      <c r="G20" s="113"/>
      <c r="H20" s="113"/>
      <c r="I20" s="113"/>
      <c r="J20" s="113"/>
    </row>
    <row r="21" spans="1:11" ht="20.100000000000001" customHeight="1" x14ac:dyDescent="0.25">
      <c r="A21" s="5" t="str">
        <f>HYPERLINK("#'Input - Freight'!A1", "Freight")</f>
        <v>Freight</v>
      </c>
      <c r="D21" s="2" t="s">
        <v>662</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663</v>
      </c>
      <c r="E23" s="184">
        <v>30000</v>
      </c>
      <c r="F23" s="26" t="s">
        <v>658</v>
      </c>
    </row>
    <row r="24" spans="1:11" ht="20.100000000000001" customHeight="1" x14ac:dyDescent="0.25">
      <c r="D24" s="1" t="s">
        <v>664</v>
      </c>
      <c r="E24" s="28">
        <v>0.1</v>
      </c>
      <c r="F24" s="26" t="s">
        <v>172</v>
      </c>
    </row>
    <row r="25" spans="1:11" ht="20.100000000000001" customHeight="1" x14ac:dyDescent="0.25">
      <c r="D25" s="1" t="s">
        <v>665</v>
      </c>
      <c r="E25" s="28">
        <v>0.1</v>
      </c>
      <c r="F25" s="26" t="s">
        <v>172</v>
      </c>
    </row>
    <row r="26" spans="1:11" ht="20.100000000000001" customHeight="1" x14ac:dyDescent="0.25">
      <c r="A26" s="6" t="s">
        <v>2</v>
      </c>
    </row>
    <row r="27" spans="1:11" ht="20.100000000000001" customHeight="1" x14ac:dyDescent="0.25">
      <c r="A27" s="5" t="str">
        <f>HYPERLINK("#'3.2.1.1-2 Enteric Methane'!A1", "3.2.1.1-2 Enteric methane")</f>
        <v>3.2.1.1-2 Enteric methane</v>
      </c>
      <c r="D27" s="1" t="s">
        <v>666</v>
      </c>
      <c r="E27" s="184">
        <v>10000</v>
      </c>
      <c r="F27" s="26" t="s">
        <v>658</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c r="D29" s="1" t="s">
        <v>667</v>
      </c>
      <c r="E29" s="185" t="str">
        <f>TEXT('Input - Site'!E12, "dd mmm yyyy")</f>
        <v>NO - Not in leaching zone</v>
      </c>
      <c r="K29" s="164"/>
    </row>
    <row r="30" spans="1:11" ht="20.100000000000001" customHeight="1" x14ac:dyDescent="0.25">
      <c r="A30" s="5" t="str">
        <f>HYPERLINK("#'4.2.1.5-6 Soil Atmos Dep'!A1", "4.2.1.5-6 Soil atm. deposition")</f>
        <v>4.2.1.5-6 Soil atm. deposition</v>
      </c>
      <c r="D30" s="1" t="s">
        <v>668</v>
      </c>
      <c r="E30" s="185" t="str">
        <f>TEXT('Input - Site'!E13, "dd mmm yyyy")</f>
        <v>02 Nov 1900</v>
      </c>
      <c r="K30" s="164"/>
    </row>
    <row r="31" spans="1:11" ht="20.100000000000001" customHeight="1" x14ac:dyDescent="0.25">
      <c r="A31" s="5" t="str">
        <f>HYPERLINK("#'4.2.1.7-8 Soil leach runoff'!A1", "4.2.1.7-8 Soil leach &amp; runoff")</f>
        <v>4.2.1.7-8 Soil leach &amp; runoff</v>
      </c>
      <c r="K31" s="164"/>
    </row>
    <row r="32" spans="1:11" ht="20.100000000000001" customHeight="1" x14ac:dyDescent="0.25">
      <c r="A32" s="5" t="str">
        <f>HYPERLINK("#'5.1.1.1-2 Inorganic fert N2O'!A1", "5.1.1.1-2 Inorganic fert N2O")</f>
        <v>5.1.1.1-2 Inorganic fert N2O</v>
      </c>
      <c r="D32" s="91" t="s">
        <v>669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D34" s="46" t="s">
        <v>670</v>
      </c>
      <c r="E34" s="49"/>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D36" s="112" t="s">
        <v>671</v>
      </c>
      <c r="E36" s="112" t="s">
        <v>672</v>
      </c>
      <c r="F36" s="112" t="s">
        <v>673</v>
      </c>
      <c r="G36" s="112" t="s">
        <v>674</v>
      </c>
      <c r="H36" s="112" t="s">
        <v>675</v>
      </c>
      <c r="I36" s="112" t="s">
        <v>676</v>
      </c>
      <c r="L36" s="164"/>
    </row>
    <row r="37" spans="1:12" ht="20.100000000000001" customHeight="1" x14ac:dyDescent="0.25">
      <c r="A37" s="5" t="str">
        <f>HYPERLINK("#'5.5.1.1-2 Leaching and runoff'!A1", "5.5.1.1-2 Leaching &amp; runoff")</f>
        <v>5.5.1.1-2 Leaching &amp; runoff</v>
      </c>
      <c r="D37" s="30" t="s">
        <v>677</v>
      </c>
      <c r="E37" s="23" t="s">
        <v>678</v>
      </c>
      <c r="F37" s="186">
        <v>44185</v>
      </c>
      <c r="G37" s="30">
        <v>12</v>
      </c>
      <c r="H37" s="25">
        <f>Table_Input_RECSurrendered[[#This Row],[Number of certificates]]</f>
        <v>12</v>
      </c>
      <c r="I37" s="25" t="e">
        <f>IF(DATEDIF(Table_Input_RECSurrendered[[#This Row],[Generation date]],DATEVALUE($E$30),"M")&gt;36,"Ineligible - older than 36 months","Elegible")</f>
        <v>#NUM!</v>
      </c>
      <c r="L37" s="164"/>
    </row>
    <row r="38" spans="1:12" ht="20.100000000000001" customHeight="1" x14ac:dyDescent="0.25">
      <c r="A38" s="5" t="str">
        <f>HYPERLINK("#'6.2.1.1-2 Pasture residue N2O'!A1", "6.2.1.1-2 Pasture residue N2O")</f>
        <v>6.2.1.1-2 Pasture residue N2O</v>
      </c>
      <c r="D38" s="30" t="s">
        <v>679</v>
      </c>
      <c r="E38" s="23" t="s">
        <v>680</v>
      </c>
      <c r="F38" s="186">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HYPERLINK("#'6.3.1.1-2 Leach runoff pasture'!A1", "6.3.1.1-2 Leach &amp; runoff (pasture)")</f>
        <v>6.3.1.1-2 Leach &amp; runoff (pasture)</v>
      </c>
      <c r="D39" s="30" t="s">
        <v>681</v>
      </c>
      <c r="E39" s="23" t="s">
        <v>678</v>
      </c>
      <c r="F39" s="186">
        <v>45438</v>
      </c>
      <c r="G39" s="30">
        <v>5</v>
      </c>
      <c r="H39" s="25">
        <f>Table_Input_RECSurrendered[[#This Row],[Number of certificates]]</f>
        <v>5</v>
      </c>
      <c r="I39" s="25" t="e">
        <f>IF(DATEDIF(Table_Input_RECSurrendered[[#This Row],[Generation date]],DATEVALUE($E$30),"M")&gt;36,"Ineligible - older than 36 months","Elegible")</f>
        <v>#NUM!</v>
      </c>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t="s">
        <v>682</v>
      </c>
      <c r="E41" s="25">
        <f>SUMIF(Table_Input_RECSurrendered[Elegibility], "Elegible", Table_Input_RECSurrendered[MWh])</f>
        <v>0</v>
      </c>
      <c r="F41" s="26" t="s">
        <v>675</v>
      </c>
      <c r="G41" s="1"/>
      <c r="H41" s="1"/>
      <c r="I41" s="1"/>
      <c r="J41" s="1"/>
      <c r="L41" s="164" t="s">
        <v>683</v>
      </c>
    </row>
    <row r="42" spans="1:12" ht="20.100000000000001" customHeight="1" x14ac:dyDescent="0.25">
      <c r="A42" s="5" t="str">
        <f>HYPERLINK("#'14.1.1-2 Purchased electricity'!A1", "14.1.1-2 Purchased electricity")</f>
        <v>14.1.1-2 Purchased electricity</v>
      </c>
      <c r="C42" s="149"/>
    </row>
    <row r="43" spans="1:12" ht="20.100000000000001" customHeight="1" x14ac:dyDescent="0.25">
      <c r="A43" s="5" t="str">
        <f>HYPERLINK("#'15 Scope 3'!A1", "15 Scope 3")</f>
        <v>15 Scope 3</v>
      </c>
      <c r="C43" s="149"/>
      <c r="D43" s="91" t="s">
        <v>684</v>
      </c>
      <c r="J43" s="149"/>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c r="D45" s="112" t="s">
        <v>671</v>
      </c>
      <c r="E45" s="112" t="s">
        <v>622</v>
      </c>
      <c r="F45" s="112" t="s">
        <v>673</v>
      </c>
      <c r="G45" s="112" t="s">
        <v>674</v>
      </c>
      <c r="H45" s="112" t="s">
        <v>675</v>
      </c>
      <c r="I45" s="112" t="s">
        <v>676</v>
      </c>
    </row>
    <row r="46" spans="1:12" ht="20.100000000000001" customHeight="1" x14ac:dyDescent="0.25">
      <c r="D46" s="30" t="s">
        <v>685</v>
      </c>
      <c r="E46" s="187" t="str">
        <f>"Issued for generated electricity"</f>
        <v>Issued for generated electricity</v>
      </c>
      <c r="F46" s="186">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686</v>
      </c>
      <c r="E47" s="187" t="str">
        <f>"Issued for generated electricity"</f>
        <v>Issued for generated electricity</v>
      </c>
      <c r="F47" s="186">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A48" s="96" t="s">
        <v>1</v>
      </c>
      <c r="D48" s="188">
        <v>45597</v>
      </c>
      <c r="E48" s="187" t="str">
        <f>"Issued for generated electricity"</f>
        <v>Issued for generated electricity</v>
      </c>
      <c r="F48" s="186">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1:6" ht="20.100000000000001" customHeight="1" x14ac:dyDescent="0.25">
      <c r="A49" s="5" t="str">
        <f>HYPERLINK("#'Constants - Pasture Beef'!A1", "Constants - Pasture Beef")</f>
        <v>Constants - Pasture Beef</v>
      </c>
    </row>
    <row r="50" spans="1:6" ht="20.100000000000001" customHeight="1" x14ac:dyDescent="0.25">
      <c r="A50" s="5" t="str">
        <f>HYPERLINK("#'Constants - Ag Residue'!A1", "Constants - Ag residue")</f>
        <v>Constants - Ag residue</v>
      </c>
      <c r="D50" s="1" t="s">
        <v>687</v>
      </c>
      <c r="E50" s="25">
        <f>SUMIF(Table_Input_RECConsumedByEntity[Elegibility], "Elegible", Table_Input_RECConsumedByEntity[Number of certificates])</f>
        <v>0</v>
      </c>
      <c r="F50" s="26" t="s">
        <v>675</v>
      </c>
    </row>
    <row r="51" spans="1:6" ht="20.100000000000001" customHeight="1" x14ac:dyDescent="0.25">
      <c r="A51" s="5"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row>
    <row r="53" spans="1:6" ht="20.100000000000001" customHeight="1" x14ac:dyDescent="0.25">
      <c r="A53" s="5" t="str">
        <f>HYPERLINK("#'Constants - Fertiliser'!A1", "Constants - Fertiliser")</f>
        <v>Constants - Fertiliser</v>
      </c>
    </row>
    <row r="54" spans="1:6" ht="20.100000000000001" customHeight="1" x14ac:dyDescent="0.25">
      <c r="A54" s="5" t="str">
        <f>HYPERLINK("#'Constants - Fuel'!A1", "Constants - Fuel")</f>
        <v>Constants - Fuel</v>
      </c>
    </row>
    <row r="55" spans="1:6" ht="20.100000000000001" customHeight="1" x14ac:dyDescent="0.25">
      <c r="A55" s="5" t="str">
        <f>HYPERLINK("#'Constants - Scope 3'!A1", "Constants - Scope 3")</f>
        <v>Constants - Scope 3</v>
      </c>
      <c r="D55" s="189"/>
    </row>
    <row r="56" spans="1:6" ht="20.100000000000001" customHeight="1" x14ac:dyDescent="0.25">
      <c r="A56" s="5" t="str">
        <f>HYPERLINK("#'Constants - Common'!A1", "Constants - Common")</f>
        <v>Constants - Common</v>
      </c>
      <c r="D56" s="189"/>
    </row>
    <row r="57" spans="1:6" ht="20.100000000000001" customHeight="1" x14ac:dyDescent="0.25">
      <c r="A57" s="5" t="str">
        <f>HYPERLINK("#'Acknowledgements'!A1", "Acknowledgements")</f>
        <v>Acknowledgements</v>
      </c>
    </row>
    <row r="58" spans="1:6" ht="20.100000000000001" customHeight="1" x14ac:dyDescent="0.25">
      <c r="A58" s="5" t="str">
        <f>HYPERLINK("#'Constants - Solid Waste'!A1", "Constants - Solid Waste")</f>
        <v>Constants - Solid Waste</v>
      </c>
    </row>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A0C73B5B-B821-490F-9565-EACD86B31715}">
      <formula1>"Location-based (simpler), Market-based (more complex)"</formula1>
    </dataValidation>
    <dataValidation type="list" allowBlank="1" showInputMessage="1" showErrorMessage="1" sqref="E37:E39" xr:uid="{936DECB7-8878-434E-974A-B3DDEDF84CE6}">
      <formula1>"Purchased certificate, Issued for generated electricity"</formula1>
    </dataValidation>
    <dataValidation type="list" allowBlank="1" showInputMessage="1" showErrorMessage="1" sqref="E17" xr:uid="{B4BAF50F-65F1-4F15-AC61-C45AB1DE2161}">
      <formula1>INDIRECT("Table_SourceData_ElectricityEFs[State, Territory or grid description]")</formula1>
    </dataValidation>
    <dataValidation type="list" allowBlank="1" showInputMessage="1" showErrorMessage="1" sqref="E69" xr:uid="{55D74C19-391B-4EB3-8ACE-F725A0CF0019}">
      <formula1>INDIRECT("Table_SourceData_Swine_IrrigationMethods[Irrigation method]")</formula1>
    </dataValidation>
    <dataValidation type="list" allowBlank="1" showInputMessage="1" showErrorMessage="1" sqref="E253 E258 E263 E297 E292 E287 E165 E153 E129 E141" xr:uid="{92009DED-7FC2-470A-84E6-75D4E1F4FAF0}">
      <formula1>"Yes, No"</formula1>
    </dataValidation>
    <dataValidation type="list" allowBlank="1" showInputMessage="1" showErrorMessage="1" sqref="E229" xr:uid="{6B1A98D5-14E8-4166-B997-9CA44515471B}">
      <formula1>INDIRECT("Table_SourceData_Dairy_ProductionSystemTemplates[Area]")</formula1>
    </dataValidation>
    <dataValidation type="list" allowBlank="1" showInputMessage="1" showErrorMessage="1" sqref="D281" xr:uid="{47303105-EBA2-4287-A629-9D1D42A0D316}">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AE779-BCDB-455D-814B-308515E06B6E}">
  <sheetPr>
    <tabColor theme="5" tint="-0.249977111117893"/>
  </sheetPr>
  <dimension ref="A1:S227"/>
  <sheetViews>
    <sheetView showGridLines="0" topLeftCell="A72" workbookViewId="0" zoomScale="100" zoomScaleNormal="100">
      <selection activeCell="A58" sqref="A58"/>
    </sheetView>
  </sheetViews>
  <sheetFormatPr defaultRowHeight="15.75" x14ac:dyDescent="0.25"/>
  <cols>
    <col min="1" max="1" width="30.7109375" style="94" customWidth="1"/>
    <col min="2" max="2" width="4.7109375" style="94" customWidth="1"/>
    <col min="3" max="3" width="4.7109375" style="245" customWidth="1"/>
    <col min="4" max="4" width="47.140625" style="245" customWidth="1"/>
    <col min="5" max="10" width="30.7109375" style="245" customWidth="1"/>
    <col min="11" max="18" width="35" style="1" customWidth="1"/>
    <col min="19" max="19" width="5.28515625" style="1" customWidth="1"/>
    <col min="20" max="16384" width="9.140625" style="94"/>
  </cols>
  <sheetData>
    <row r="1" spans="1:19" ht="30" customHeight="1" x14ac:dyDescent="0.35">
      <c r="A1" s="16" t="e" vm="1">
        <v>#VALUE!</v>
      </c>
      <c r="C1" s="38" t="s">
        <v>938</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939</v>
      </c>
      <c r="E5" s="35"/>
      <c r="F5" s="35"/>
      <c r="G5" s="35"/>
      <c r="H5" s="35"/>
      <c r="I5" s="35"/>
      <c r="J5" s="35"/>
    </row>
    <row r="6" spans="1:19" ht="20.100000000000001" customHeight="1" x14ac:dyDescent="0.25">
      <c r="A6"/>
      <c r="C6" s="1"/>
      <c r="D6" s="246" t="s">
        <v>940</v>
      </c>
      <c r="E6" s="249"/>
      <c r="F6" s="249"/>
      <c r="G6" s="249"/>
      <c r="H6" s="249"/>
      <c r="I6" s="249"/>
      <c r="J6" s="249"/>
    </row>
    <row r="7" spans="1:19" ht="20.100000000000001" customHeight="1" x14ac:dyDescent="0.25">
      <c r="A7"/>
      <c r="C7" s="1"/>
      <c r="D7" s="250" t="s">
        <v>941</v>
      </c>
      <c r="E7" s="250"/>
      <c r="F7" s="130"/>
      <c r="G7" s="55"/>
      <c r="H7" s="35"/>
      <c r="I7" s="35"/>
      <c r="J7" s="35"/>
    </row>
    <row r="8" spans="1:19" ht="20.100000000000001" customHeight="1" x14ac:dyDescent="0.25">
      <c r="A8" s="7" t="s">
        <v>0</v>
      </c>
      <c r="C8" s="1"/>
      <c r="D8" s="56" t="s">
        <v>942</v>
      </c>
      <c r="E8" s="57"/>
      <c r="F8" s="57"/>
      <c r="G8" s="58"/>
      <c r="H8" s="35"/>
      <c r="I8" s="35"/>
      <c r="J8" s="35"/>
    </row>
    <row r="9" spans="1:19" ht="20.100000000000001" customHeight="1" x14ac:dyDescent="0.25">
      <c r="A9" s="5" t="str">
        <f>HYPERLINK("#'Input - Enterprise'!A1", "Enterprise")</f>
        <v>Enterprise</v>
      </c>
      <c r="C9" s="1"/>
      <c r="D9" s="249"/>
      <c r="E9" s="249"/>
      <c r="F9" s="249"/>
      <c r="G9" s="249"/>
      <c r="H9" s="249"/>
      <c r="I9" s="249"/>
      <c r="J9" s="249"/>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1" t="s">
        <v>641</v>
      </c>
      <c r="E10" s="251" t="s">
        <v>943</v>
      </c>
      <c r="F10" s="251" t="s">
        <v>944</v>
      </c>
      <c r="G10" s="251" t="s">
        <v>475</v>
      </c>
      <c r="H10" s="251" t="s">
        <v>945</v>
      </c>
      <c r="I10" s="251" t="s">
        <v>946</v>
      </c>
      <c r="J10" s="251" t="s">
        <v>947</v>
      </c>
      <c r="K10" s="247" t="s">
        <v>948</v>
      </c>
      <c r="L10" s="247" t="s">
        <v>949</v>
      </c>
      <c r="M10" s="247" t="s">
        <v>950</v>
      </c>
      <c r="N10" s="247" t="s">
        <v>951</v>
      </c>
      <c r="O10" s="247" t="s">
        <v>952</v>
      </c>
      <c r="P10" s="247" t="s">
        <v>953</v>
      </c>
      <c r="Q10" s="247" t="s">
        <v>954</v>
      </c>
      <c r="R10" s="247" t="s">
        <v>955</v>
      </c>
    </row>
    <row r="11" spans="1:19" ht="20.100000000000001" customHeight="1" x14ac:dyDescent="0.25">
      <c r="A11" s="5" t="str">
        <f>HYPERLINK("#'Input - Pasture Beef'!A1", "Pasture Beef")</f>
        <v>Pasture Beef</v>
      </c>
      <c r="D11" s="252" t="s">
        <v>956</v>
      </c>
      <c r="E11" s="253">
        <v>10</v>
      </c>
      <c r="F11" s="23" t="s">
        <v>544</v>
      </c>
      <c r="G11" s="86">
        <v>100</v>
      </c>
      <c r="H11" s="25">
        <f>Table_Input_Pesticides[[#This Row],[Amount applied per ha]]*Table_Input_Pesticides[[#This Row],[Application area (ha)]]</f>
        <v>1000</v>
      </c>
      <c r="I11" s="23" t="s">
        <v>957</v>
      </c>
      <c r="J11" s="23" t="s">
        <v>958</v>
      </c>
      <c r="K11" s="86">
        <v>100</v>
      </c>
      <c r="L11" s="25">
        <f>Table_Input_Pesticides[[#This Row],[Total applied]]*Table_Input_Pesticides[[#This Row],[Active ingredient 1 amount]]*IF(Table_Input_Pesticides[[#This Row],[Constituent unit (select)]]="fraction of product", 1, 10^-3)</f>
        <v>100</v>
      </c>
      <c r="M11" s="23" t="s">
        <v>958</v>
      </c>
      <c r="N11" s="86">
        <v>100</v>
      </c>
      <c r="O11" s="25">
        <f>Table_Input_Pesticides[[#This Row],[Total applied]]*Table_Input_Pesticides[[#This Row],[Active ingredient 2 amount]]*IF(Table_Input_Pesticides[[#This Row],[Constituent unit (select)]]="fraction of product", 1, 10^-3)</f>
        <v>100</v>
      </c>
      <c r="P11" s="23" t="s">
        <v>959</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252" t="s">
        <v>960</v>
      </c>
      <c r="E12" s="253">
        <v>10</v>
      </c>
      <c r="F12" s="23" t="s">
        <v>961</v>
      </c>
      <c r="G12" s="86">
        <v>100</v>
      </c>
      <c r="H12" s="25">
        <f>Table_Input_Pesticides[[#This Row],[Amount applied per ha]]*Table_Input_Pesticides[[#This Row],[Application area (ha)]]</f>
        <v>1000</v>
      </c>
      <c r="I12" s="23" t="s">
        <v>957</v>
      </c>
      <c r="J12" s="23" t="s">
        <v>958</v>
      </c>
      <c r="K12" s="86">
        <v>100</v>
      </c>
      <c r="L12" s="25">
        <f>Table_Input_Pesticides[[#This Row],[Total applied]]*Table_Input_Pesticides[[#This Row],[Active ingredient 1 amount]]*IF(Table_Input_Pesticides[[#This Row],[Constituent unit (select)]]="fraction of product", 1, 10^-3)</f>
        <v>100</v>
      </c>
      <c r="M12" s="23" t="s">
        <v>962</v>
      </c>
      <c r="N12" s="86">
        <v>100</v>
      </c>
      <c r="O12" s="25">
        <f>Table_Input_Pesticides[[#This Row],[Total applied]]*Table_Input_Pesticides[[#This Row],[Active ingredient 2 amount]]*IF(Table_Input_Pesticides[[#This Row],[Constituent unit (select)]]="fraction of product", 1, 10^-3)</f>
        <v>100</v>
      </c>
      <c r="P12" s="23" t="s">
        <v>963</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52" t="s">
        <v>964</v>
      </c>
      <c r="E13" s="253">
        <v>10</v>
      </c>
      <c r="F13" s="23" t="s">
        <v>544</v>
      </c>
      <c r="G13" s="86">
        <v>100</v>
      </c>
      <c r="H13" s="25">
        <f>Table_Input_Pesticides[[#This Row],[Amount applied per ha]]*Table_Input_Pesticides[[#This Row],[Application area (ha)]]</f>
        <v>1000</v>
      </c>
      <c r="I13" s="23" t="s">
        <v>957</v>
      </c>
      <c r="J13" s="23" t="s">
        <v>958</v>
      </c>
      <c r="K13" s="86">
        <v>100</v>
      </c>
      <c r="L13" s="25">
        <f>Table_Input_Pesticides[[#This Row],[Total applied]]*Table_Input_Pesticides[[#This Row],[Active ingredient 1 amount]]*IF(Table_Input_Pesticides[[#This Row],[Constituent unit (select)]]="fraction of product", 1, 10^-3)</f>
        <v>100</v>
      </c>
      <c r="M13" s="23" t="s">
        <v>965</v>
      </c>
      <c r="N13" s="86">
        <v>100</v>
      </c>
      <c r="O13" s="25">
        <f>Table_Input_Pesticides[[#This Row],[Total applied]]*Table_Input_Pesticides[[#This Row],[Active ingredient 2 amount]]*IF(Table_Input_Pesticides[[#This Row],[Constituent unit (select)]]="fraction of product", 1, 10^-3)</f>
        <v>100</v>
      </c>
      <c r="P13" s="23" t="s">
        <v>966</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Beef cattle purchases'!A1", "Beef cattle purchases")</f>
        <v>Beef cattle purchases</v>
      </c>
      <c r="D14" s="252"/>
      <c r="E14" s="253"/>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52"/>
      <c r="E15" s="253"/>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52"/>
      <c r="E16" s="253"/>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52"/>
      <c r="E17" s="253"/>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52"/>
      <c r="E18" s="253"/>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52"/>
      <c r="E19" s="253"/>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5" t="str">
        <f>HYPERLINK("#'Input - Farm Inputs'!A1", "Farm Inputs")</f>
        <v>Farm Inputs</v>
      </c>
      <c r="D20" s="252"/>
      <c r="E20" s="253"/>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46" t="s">
        <v>967</v>
      </c>
      <c r="E22" s="1"/>
      <c r="F22" s="1"/>
    </row>
    <row r="23" spans="1:18" ht="20.100000000000001" customHeight="1" x14ac:dyDescent="0.25">
      <c r="A23" s="5" t="str">
        <f>HYPERLINK("#'Input - Solid waste'!A1", "Solid waste")</f>
        <v>Solid waste</v>
      </c>
      <c r="D23" s="112" t="s">
        <v>641</v>
      </c>
      <c r="E23" s="112" t="s">
        <v>968</v>
      </c>
      <c r="F23" s="112" t="s">
        <v>969</v>
      </c>
    </row>
    <row r="24" spans="1:18" ht="20.100000000000001" customHeight="1" x14ac:dyDescent="0.25">
      <c r="A24"/>
      <c r="D24" s="44" t="s">
        <v>970</v>
      </c>
      <c r="E24" s="23" t="s">
        <v>971</v>
      </c>
      <c r="F24" s="86">
        <v>100</v>
      </c>
    </row>
    <row r="25" spans="1:18" ht="20.100000000000001" customHeight="1" x14ac:dyDescent="0.25">
      <c r="A25"/>
      <c r="C25" s="1"/>
      <c r="D25" s="44" t="s">
        <v>972</v>
      </c>
      <c r="E25" s="195" t="s">
        <v>973</v>
      </c>
      <c r="F25" s="254">
        <v>100</v>
      </c>
    </row>
    <row r="26" spans="1:18" ht="20.100000000000001" customHeight="1" x14ac:dyDescent="0.25">
      <c r="A26" s="6" t="s">
        <v>2</v>
      </c>
      <c r="C26" s="1"/>
      <c r="D26" s="44" t="s">
        <v>974</v>
      </c>
      <c r="E26" s="195" t="s">
        <v>975</v>
      </c>
      <c r="F26" s="254">
        <v>100</v>
      </c>
    </row>
    <row r="27" spans="1:18" ht="20.100000000000001" customHeight="1" x14ac:dyDescent="0.25">
      <c r="A27" s="5" t="str">
        <f>HYPERLINK("#'3.2.1.1-2 Enteric Methane'!A1", "3.2.1.1-2 Enteric methane")</f>
        <v>3.2.1.1-2 Enteric methane</v>
      </c>
      <c r="C27" s="1"/>
      <c r="D27" s="44" t="s">
        <v>974</v>
      </c>
      <c r="E27" s="195" t="s">
        <v>975</v>
      </c>
      <c r="F27" s="254">
        <v>100</v>
      </c>
    </row>
    <row r="28" spans="1:18" ht="20.100000000000001" customHeight="1" x14ac:dyDescent="0.25">
      <c r="A28" s="5" t="str">
        <f>HYPERLINK("#'4.2.1.1-2 Methane'!A1", "4.2.1.1-2 Manure methane")</f>
        <v>4.2.1.1-2 Manure methane</v>
      </c>
      <c r="D28" s="44" t="s">
        <v>970</v>
      </c>
      <c r="E28" s="195" t="s">
        <v>971</v>
      </c>
      <c r="F28" s="254">
        <v>100</v>
      </c>
    </row>
    <row r="29" spans="1:18" ht="20.100000000000001" customHeight="1" x14ac:dyDescent="0.25">
      <c r="A29" s="5" t="str">
        <f>HYPERLINK("#'4.2.1.3-4 Soil direct N20'!A1", "4.2.1.3-4 Soil direct N2O")</f>
        <v>4.2.1.3-4 Soil direct N2O</v>
      </c>
      <c r="D29" s="44" t="s">
        <v>970</v>
      </c>
      <c r="E29" s="195" t="s">
        <v>971</v>
      </c>
      <c r="F29" s="254">
        <v>100</v>
      </c>
    </row>
    <row r="30" spans="1:18" ht="20.100000000000001" customHeight="1" x14ac:dyDescent="0.25">
      <c r="A30" s="5" t="str">
        <f>HYPERLINK("#'4.2.1.5-6 Soil Atmos Dep'!A1", "4.2.1.5-6 Soil atm. deposition")</f>
        <v>4.2.1.5-6 Soil atm. deposition</v>
      </c>
      <c r="D30" s="44"/>
      <c r="E30" s="23"/>
      <c r="F30" s="86"/>
    </row>
    <row r="31" spans="1:18" ht="20.100000000000001" customHeight="1" x14ac:dyDescent="0.25">
      <c r="A31" s="5" t="str">
        <f>HYPERLINK("#'4.2.1.7-8 Soil leach runoff'!A1", "4.2.1.7-8 Soil leach &amp; runoff")</f>
        <v>4.2.1.7-8 Soil leach &amp; runoff</v>
      </c>
      <c r="D31" s="44"/>
      <c r="E31" s="23"/>
      <c r="F31" s="86"/>
    </row>
    <row r="32" spans="1:18" ht="20.100000000000001" customHeight="1" x14ac:dyDescent="0.25">
      <c r="A32" s="5" t="str">
        <f>HYPERLINK("#'5.1.1.1-2 Inorganic fert N2O'!A1", "5.1.1.1-2 Inorganic fert N2O")</f>
        <v>5.1.1.1-2 Inorganic fert N2O</v>
      </c>
      <c r="D32" s="44"/>
      <c r="E32" s="23"/>
      <c r="F32" s="86"/>
    </row>
    <row r="33" spans="1:6" ht="20.100000000000001" customHeight="1" x14ac:dyDescent="0.25">
      <c r="A33" s="5" t="str">
        <f>HYPERLINK("#'5.1.1.3-4 Inorganic fert CO2'!A1", "5.1.1.3-4 Inorganic fert CO2")</f>
        <v>5.1.1.3-4 Inorganic fert CO2</v>
      </c>
      <c r="D33" s="44"/>
      <c r="E33" s="23"/>
      <c r="F33" s="86"/>
    </row>
    <row r="34" spans="1:6" ht="20.100000000000001" customHeight="1" x14ac:dyDescent="0.25">
      <c r="A34" s="5" t="str">
        <f>HYPERLINK("#'5.2.1.1-2 Organic Fert N2O'!A1", "5.2.1.1-2 Organic fert N2O")</f>
        <v>5.2.1.1-2 Organic fert N2O</v>
      </c>
    </row>
    <row r="35" spans="1:6" ht="20.100000000000001" customHeight="1" x14ac:dyDescent="0.25">
      <c r="A35" s="5" t="str">
        <f>HYPERLINK("#'5.3.1.1-2 Lime CO2'!A1", "5.3.1.1-2 Lime CO2")</f>
        <v>5.3.1.1-2 Lime CO2</v>
      </c>
      <c r="D35" s="246" t="s">
        <v>976</v>
      </c>
      <c r="E35" s="1"/>
      <c r="F35" s="1"/>
    </row>
    <row r="36" spans="1:6" ht="20.100000000000001" customHeight="1" x14ac:dyDescent="0.25">
      <c r="A36" s="5" t="str">
        <f>HYPERLINK("#'5.4.1.1-4 Atmos deposition'!A1", "5.4.1.1-4 Atmos. deposition")</f>
        <v>5.4.1.1-4 Atmos. deposition</v>
      </c>
      <c r="D36" s="112" t="s">
        <v>641</v>
      </c>
      <c r="E36" s="112" t="s">
        <v>968</v>
      </c>
      <c r="F36" s="112" t="s">
        <v>977</v>
      </c>
    </row>
    <row r="37" spans="1:6" ht="20.100000000000001" customHeight="1" x14ac:dyDescent="0.25">
      <c r="A37" s="5" t="str">
        <f>HYPERLINK("#'5.5.1.1-2 Leaching and runoff'!A1", "5.5.1.1-2 Leaching &amp; runoff")</f>
        <v>5.5.1.1-2 Leaching &amp; runoff</v>
      </c>
      <c r="D37" s="44" t="s">
        <v>978</v>
      </c>
      <c r="E37" s="139" t="s">
        <v>979</v>
      </c>
      <c r="F37" s="86">
        <v>100</v>
      </c>
    </row>
    <row r="38" spans="1:6" ht="20.100000000000001" customHeight="1" x14ac:dyDescent="0.25">
      <c r="A38" s="5" t="str">
        <f>HYPERLINK("#'6.2.1.1-2 Pasture residue N2O'!A1", "6.2.1.1-2 Pasture residue N2O")</f>
        <v>6.2.1.1-2 Pasture residue N2O</v>
      </c>
      <c r="D38" s="44" t="s">
        <v>980</v>
      </c>
      <c r="E38" s="255" t="s">
        <v>981</v>
      </c>
      <c r="F38" s="254">
        <v>100</v>
      </c>
    </row>
    <row r="39" spans="1:6" ht="20.100000000000001" customHeight="1" x14ac:dyDescent="0.25">
      <c r="A39" s="5" t="str">
        <f>HYPERLINK("#'6.3.1.1-2 Leach runoff pasture'!A1", "6.3.1.1-2 Leach &amp; runoff (pasture)")</f>
        <v>6.3.1.1-2 Leach &amp; runoff (pasture)</v>
      </c>
      <c r="D39" s="44" t="s">
        <v>982</v>
      </c>
      <c r="E39" s="255" t="s">
        <v>983</v>
      </c>
      <c r="F39" s="254">
        <v>100</v>
      </c>
    </row>
    <row r="40" spans="1:6" ht="20.100000000000001" customHeight="1" x14ac:dyDescent="0.25">
      <c r="A40" s="5" t="str">
        <f>HYPERLINK("#'8.1.1.1-2 Transport fuel'!A1", "8.1.1.1-2 Transport fuel")</f>
        <v>8.1.1.1-2 Transport fuel</v>
      </c>
      <c r="D40" s="44" t="s">
        <v>984</v>
      </c>
      <c r="E40" s="255" t="s">
        <v>985</v>
      </c>
      <c r="F40" s="254">
        <v>100</v>
      </c>
    </row>
    <row r="41" spans="1:6" ht="20.100000000000001" customHeight="1" x14ac:dyDescent="0.25">
      <c r="A41" s="5" t="str">
        <f>HYPERLINK("#'8.2.1.1-2 Stationary fuel'!A1", "8.2.1.1-2 Stationary fuel")</f>
        <v>8.2.1.1-2 Stationary fuel</v>
      </c>
      <c r="D41" s="44" t="s">
        <v>978</v>
      </c>
      <c r="E41" s="255" t="s">
        <v>979</v>
      </c>
      <c r="F41" s="254">
        <v>100</v>
      </c>
    </row>
    <row r="42" spans="1:6" ht="20.100000000000001" customHeight="1" x14ac:dyDescent="0.25">
      <c r="A42" s="5" t="str">
        <f>HYPERLINK("#'14.1.1-2 Purchased electricity'!A1", "14.1.1-2 Purchased electricity")</f>
        <v>14.1.1-2 Purchased electricity</v>
      </c>
      <c r="D42" s="44" t="s">
        <v>980</v>
      </c>
      <c r="E42" s="255" t="s">
        <v>981</v>
      </c>
      <c r="F42" s="254">
        <v>100</v>
      </c>
    </row>
    <row r="43" spans="1:6" ht="20.100000000000001" customHeight="1" x14ac:dyDescent="0.25">
      <c r="A43" s="5" t="str">
        <f>HYPERLINK("#'15 Scope 3'!A1", "15 Scope 3")</f>
        <v>15 Scope 3</v>
      </c>
      <c r="D43" s="44"/>
      <c r="E43" s="139"/>
      <c r="F43" s="86"/>
    </row>
    <row r="44" spans="1:6" ht="20.100000000000001" customHeight="1" x14ac:dyDescent="0.25">
      <c r="A44" s="5" t="str">
        <f>HYPERLINK("#'Calcs - Manure sent off-site'!A1", "Calcs - Manure sent off-site")</f>
        <v>Calcs - Manure sent off-site</v>
      </c>
      <c r="C44" s="1"/>
      <c r="D44" s="44"/>
      <c r="E44" s="139"/>
      <c r="F44" s="86"/>
    </row>
    <row r="45" spans="1:6" ht="20.100000000000001" customHeight="1" x14ac:dyDescent="0.25">
      <c r="A45" s="5" t="str">
        <f>HYPERLINK("#'10.1.1-2 Solid waste treatment'!A1", "10.1.1-2 Solid waste treatment")</f>
        <v>10.1.1-2 Solid waste treatment</v>
      </c>
      <c r="C45" s="1"/>
      <c r="D45" s="44"/>
      <c r="E45" s="139"/>
      <c r="F45" s="86"/>
    </row>
    <row r="46" spans="1:6" ht="20.100000000000001" customHeight="1" x14ac:dyDescent="0.25">
      <c r="A46"/>
      <c r="C46" s="1"/>
      <c r="D46" s="44"/>
      <c r="E46" s="139"/>
      <c r="F46" s="86"/>
    </row>
    <row r="47" spans="1:6" ht="20.100000000000001" customHeight="1" x14ac:dyDescent="0.25">
      <c r="A47"/>
      <c r="C47" s="1"/>
    </row>
    <row r="48" spans="1:6" ht="20.100000000000001" customHeight="1" x14ac:dyDescent="0.25">
      <c r="A48" s="96" t="s">
        <v>1</v>
      </c>
      <c r="C48" s="1"/>
    </row>
    <row r="49" spans="1:17" ht="20.100000000000001" customHeight="1" x14ac:dyDescent="0.25">
      <c r="A49" s="5" t="str">
        <f>HYPERLINK("#'Constants - Pasture Beef'!A1", "Constants - Pasture Beef")</f>
        <v>Constants - Pasture Beef</v>
      </c>
      <c r="C49" s="1"/>
      <c r="D49" s="2" t="s">
        <v>986</v>
      </c>
    </row>
    <row r="50" spans="1:17" ht="20.100000000000001" customHeight="1" x14ac:dyDescent="0.25">
      <c r="A50" s="5" t="str">
        <f>HYPERLINK("#'Constants - Ag Residue'!A1", "Constants - Ag residue")</f>
        <v>Constants - Ag residue</v>
      </c>
      <c r="D50" s="246" t="s">
        <v>987</v>
      </c>
      <c r="E50" s="256"/>
      <c r="F50" s="257"/>
    </row>
    <row r="51" spans="1:17" ht="20.100000000000001" customHeight="1" x14ac:dyDescent="0.25">
      <c r="A51" s="5" t="str">
        <f>HYPERLINK("#'Constants - Common Livestock'!A1", "Constants - Common Livestock")</f>
        <v>Constants - Common Livestock</v>
      </c>
      <c r="D51" s="1" t="str" cm="1">
        <f t="array" ref="D51:D53">Table_SourceData_Scope3_LickBlocks[Product]</f>
        <v>Lick block, dry season mix</v>
      </c>
      <c r="E51" s="86">
        <v>100</v>
      </c>
      <c r="F51" s="26" t="s">
        <v>546</v>
      </c>
    </row>
    <row r="52" spans="1:17" ht="20.100000000000001" customHeight="1" x14ac:dyDescent="0.25">
      <c r="A52" s="5" t="str">
        <f>HYPERLINK("#'Constants - Electricity'!A1", "Constants - Electricity")</f>
        <v>Constants - Electricity</v>
      </c>
      <c r="D52" s="1" t="str">
        <v>Lick block, mineral</v>
      </c>
      <c r="E52" s="86">
        <v>100</v>
      </c>
      <c r="F52" s="26" t="s">
        <v>546</v>
      </c>
    </row>
    <row r="53" spans="1:17" ht="20.100000000000001" customHeight="1" x14ac:dyDescent="0.25">
      <c r="A53" s="5" t="str">
        <f>HYPERLINK("#'Constants - Fertiliser'!A1", "Constants - Fertiliser")</f>
        <v>Constants - Fertiliser</v>
      </c>
      <c r="D53" s="1" t="str">
        <v>Lick block, weaner</v>
      </c>
      <c r="E53" s="86">
        <v>100</v>
      </c>
      <c r="F53" s="26" t="s">
        <v>546</v>
      </c>
    </row>
    <row r="54" spans="1:17" ht="20.100000000000001" customHeight="1" x14ac:dyDescent="0.25">
      <c r="A54" s="5" t="str">
        <f>HYPERLINK("#'Constants - Fuel'!A1", "Constants - Fuel")</f>
        <v>Constants - Fuel</v>
      </c>
      <c r="D54" s="1"/>
      <c r="E54" s="1"/>
      <c r="F54" s="1"/>
    </row>
    <row r="55" spans="1:17" ht="20.100000000000001" customHeight="1" x14ac:dyDescent="0.25">
      <c r="A55" s="5" t="str">
        <f>HYPERLINK("#'Constants - Scope 3'!A1", "Constants - Scope 3")</f>
        <v>Constants - Scope 3</v>
      </c>
      <c r="D55" s="246" t="s">
        <v>988</v>
      </c>
      <c r="E55" s="35"/>
      <c r="F55" s="35"/>
    </row>
    <row r="56" spans="1:17" ht="20.100000000000001" customHeight="1" x14ac:dyDescent="0.25">
      <c r="A56" s="5" t="str">
        <f>HYPERLINK("#'Constants - Common'!A1", "Constants - Common")</f>
        <v>Constants - Common</v>
      </c>
      <c r="D56" s="1" t="str" cm="1">
        <f t="array" ref="D56:D59">Table_SourceData_Scope3_MixedRations[Product]</f>
        <v>Feed for chickens</v>
      </c>
      <c r="E56" s="86">
        <v>100</v>
      </c>
      <c r="F56" s="26" t="s">
        <v>546</v>
      </c>
    </row>
    <row r="57" spans="1:17" ht="20.100000000000001" customHeight="1" x14ac:dyDescent="0.25">
      <c r="A57" s="5" t="str">
        <f>HYPERLINK("#'Acknowledgements'!A1", "Acknowledgements")</f>
        <v>Acknowledgements</v>
      </c>
      <c r="D57" s="1" t="str">
        <v>Feed for dairy calves</v>
      </c>
      <c r="E57" s="86">
        <v>100</v>
      </c>
      <c r="F57" s="26" t="s">
        <v>546</v>
      </c>
    </row>
    <row r="58" spans="1:17" ht="20.100000000000001" customHeight="1" x14ac:dyDescent="0.25">
      <c r="A58" s="5" t="str">
        <f>HYPERLINK("#'Constants - Solid Waste'!A1", "Constants - Solid Waste")</f>
        <v>Constants - Solid Waste</v>
      </c>
      <c r="D58" s="1" t="str">
        <v>Feed for dairy cows</v>
      </c>
      <c r="E58" s="86">
        <v>100</v>
      </c>
      <c r="F58" s="26" t="s">
        <v>546</v>
      </c>
    </row>
    <row r="59" spans="1:17" ht="20.100000000000001" customHeight="1" x14ac:dyDescent="0.25">
      <c r="A59"/>
      <c r="D59" s="1" t="str">
        <v>Feed for pigs</v>
      </c>
      <c r="E59" s="86">
        <v>100</v>
      </c>
      <c r="F59" s="26" t="s">
        <v>546</v>
      </c>
    </row>
    <row r="60" spans="1:17" ht="20.100000000000001" customHeight="1" x14ac:dyDescent="0.25">
      <c r="A60"/>
      <c r="D60" s="35"/>
      <c r="E60" s="35"/>
      <c r="F60" s="35"/>
    </row>
    <row r="61" spans="1:17" ht="20.100000000000001" customHeight="1" x14ac:dyDescent="0.25">
      <c r="A61"/>
      <c r="D61" s="246" t="s">
        <v>989</v>
      </c>
      <c r="E61" s="35"/>
      <c r="F61" s="35"/>
    </row>
    <row r="62" spans="1:17" ht="20.100000000000001" customHeight="1" x14ac:dyDescent="0.25">
      <c r="A62"/>
      <c r="D62" s="192" t="s">
        <v>990</v>
      </c>
      <c r="E62" s="192" t="s">
        <v>991</v>
      </c>
      <c r="F62" s="192" t="s">
        <v>499</v>
      </c>
      <c r="G62" s="192" t="s">
        <v>992</v>
      </c>
      <c r="H62" s="192" t="s">
        <v>478</v>
      </c>
      <c r="I62" s="192" t="s">
        <v>993</v>
      </c>
      <c r="J62" s="192" t="s">
        <v>994</v>
      </c>
      <c r="K62" s="192" t="s">
        <v>480</v>
      </c>
      <c r="L62" s="192" t="s">
        <v>995</v>
      </c>
      <c r="M62" s="192" t="s">
        <v>996</v>
      </c>
      <c r="N62" s="192" t="s">
        <v>482</v>
      </c>
      <c r="O62" s="192" t="s">
        <v>997</v>
      </c>
      <c r="P62" s="192" t="s">
        <v>998</v>
      </c>
      <c r="Q62" s="192" t="s">
        <v>484</v>
      </c>
    </row>
    <row r="63" spans="1:17" ht="20.100000000000001" customHeight="1" x14ac:dyDescent="0.25">
      <c r="A63"/>
      <c r="D63" s="37"/>
      <c r="E63" s="258">
        <v>1200</v>
      </c>
      <c r="F63" s="23" t="s">
        <v>999</v>
      </c>
      <c r="G63" s="23" t="s">
        <v>341</v>
      </c>
      <c r="H63" s="193">
        <v>0.35</v>
      </c>
      <c r="I63" s="23" t="s">
        <v>1000</v>
      </c>
      <c r="J63" s="23" t="s">
        <v>341</v>
      </c>
      <c r="K63" s="193">
        <v>0.22</v>
      </c>
      <c r="L63" s="23" t="s">
        <v>1001</v>
      </c>
      <c r="M63" s="23" t="s">
        <v>357</v>
      </c>
      <c r="N63" s="193">
        <v>0.12</v>
      </c>
      <c r="O63" s="23" t="s">
        <v>1002</v>
      </c>
      <c r="P63" s="23" t="s">
        <v>353</v>
      </c>
      <c r="Q63" s="193">
        <v>0.05</v>
      </c>
    </row>
    <row r="64" spans="1:17" ht="20.100000000000001" customHeight="1" x14ac:dyDescent="0.25">
      <c r="A64"/>
      <c r="D64" s="37"/>
      <c r="E64" s="258">
        <v>3456</v>
      </c>
      <c r="F64" s="23" t="s">
        <v>1003</v>
      </c>
      <c r="G64" s="23" t="s">
        <v>345</v>
      </c>
      <c r="H64" s="193">
        <v>0.2</v>
      </c>
      <c r="I64" s="23" t="s">
        <v>1003</v>
      </c>
      <c r="J64" s="23" t="s">
        <v>340</v>
      </c>
      <c r="K64" s="193">
        <v>0.2</v>
      </c>
      <c r="L64" s="23"/>
      <c r="M64" s="23"/>
      <c r="N64" s="193"/>
      <c r="O64" s="23"/>
      <c r="P64" s="23"/>
      <c r="Q64" s="193"/>
    </row>
    <row r="65" spans="1:17" ht="20.100000000000001" customHeight="1" x14ac:dyDescent="0.25">
      <c r="A65"/>
      <c r="D65" s="37" t="s">
        <v>1004</v>
      </c>
      <c r="E65" s="258">
        <v>300</v>
      </c>
      <c r="F65" s="23" t="s">
        <v>1005</v>
      </c>
      <c r="G65" s="23" t="s">
        <v>343</v>
      </c>
      <c r="H65" s="193">
        <v>0.8</v>
      </c>
      <c r="I65" s="23" t="s">
        <v>1006</v>
      </c>
      <c r="J65" s="23" t="s">
        <v>1007</v>
      </c>
      <c r="K65" s="193">
        <v>0.2</v>
      </c>
      <c r="L65" s="23"/>
      <c r="M65" s="23"/>
      <c r="N65" s="193"/>
      <c r="O65" s="23"/>
      <c r="P65" s="23"/>
      <c r="Q65" s="193"/>
    </row>
    <row r="66" spans="1:17" ht="20.100000000000001" customHeight="1" x14ac:dyDescent="0.25">
      <c r="A66"/>
      <c r="D66" s="37"/>
      <c r="E66" s="258">
        <v>500</v>
      </c>
      <c r="F66" s="23" t="s">
        <v>1008</v>
      </c>
      <c r="G66" s="23" t="s">
        <v>343</v>
      </c>
      <c r="H66" s="193">
        <v>1</v>
      </c>
      <c r="I66" s="23"/>
      <c r="J66" s="23"/>
      <c r="K66" s="193"/>
      <c r="L66" s="23"/>
      <c r="M66" s="23"/>
      <c r="N66" s="193"/>
      <c r="O66" s="23"/>
      <c r="P66" s="23"/>
      <c r="Q66" s="193"/>
    </row>
    <row r="67" spans="1:17" ht="20.100000000000001" customHeight="1" x14ac:dyDescent="0.25">
      <c r="A67"/>
      <c r="D67" s="37"/>
      <c r="E67" s="258"/>
      <c r="F67" s="23"/>
      <c r="G67" s="23"/>
      <c r="H67" s="193"/>
      <c r="I67" s="23"/>
      <c r="J67" s="23"/>
      <c r="K67" s="193"/>
      <c r="L67" s="23"/>
      <c r="M67" s="23"/>
      <c r="N67" s="193"/>
      <c r="O67" s="23"/>
      <c r="P67" s="23"/>
      <c r="Q67" s="193"/>
    </row>
    <row r="68" spans="1:17" ht="20.100000000000001" customHeight="1" x14ac:dyDescent="0.25">
      <c r="A68"/>
      <c r="D68" s="37"/>
      <c r="E68" s="258"/>
      <c r="F68" s="23"/>
      <c r="G68" s="23"/>
      <c r="H68" s="193"/>
      <c r="I68" s="23"/>
      <c r="J68" s="23"/>
      <c r="K68" s="193"/>
      <c r="L68" s="23"/>
      <c r="M68" s="23"/>
      <c r="N68" s="193"/>
      <c r="O68" s="23"/>
      <c r="P68" s="23"/>
      <c r="Q68" s="193"/>
    </row>
    <row r="69" spans="1:17" ht="20.100000000000001" customHeight="1" x14ac:dyDescent="0.25">
      <c r="A69"/>
      <c r="D69" s="37"/>
      <c r="E69" s="258"/>
      <c r="F69" s="23"/>
      <c r="G69" s="23"/>
      <c r="H69" s="193"/>
      <c r="I69" s="23"/>
      <c r="J69" s="23"/>
      <c r="K69" s="193"/>
      <c r="L69" s="23"/>
      <c r="M69" s="23"/>
      <c r="N69" s="193"/>
      <c r="O69" s="23"/>
      <c r="P69" s="23"/>
      <c r="Q69" s="193"/>
    </row>
    <row r="70" spans="1:17" ht="20.100000000000001" customHeight="1" x14ac:dyDescent="0.25">
      <c r="A70"/>
      <c r="D70" s="37"/>
      <c r="E70" s="258"/>
      <c r="F70" s="23"/>
      <c r="G70" s="23"/>
      <c r="H70" s="193"/>
      <c r="I70" s="23"/>
      <c r="J70" s="23"/>
      <c r="K70" s="193"/>
      <c r="L70" s="23"/>
      <c r="M70" s="23"/>
      <c r="N70" s="193"/>
      <c r="O70" s="23"/>
      <c r="P70" s="23"/>
      <c r="Q70" s="193"/>
    </row>
    <row r="71" spans="1:17" ht="20.100000000000001" customHeight="1" x14ac:dyDescent="0.25">
      <c r="A71"/>
      <c r="D71" s="37"/>
      <c r="E71" s="258"/>
      <c r="F71" s="23"/>
      <c r="G71" s="23"/>
      <c r="H71" s="193"/>
      <c r="I71" s="23"/>
      <c r="J71" s="23"/>
      <c r="K71" s="193"/>
      <c r="L71" s="23"/>
      <c r="M71" s="23"/>
      <c r="N71" s="193"/>
      <c r="O71" s="23"/>
      <c r="P71" s="23"/>
      <c r="Q71" s="193"/>
    </row>
    <row r="72" spans="1:17" ht="20.100000000000001" customHeight="1" x14ac:dyDescent="0.25">
      <c r="A72"/>
      <c r="D72" s="37"/>
      <c r="E72" s="258"/>
      <c r="F72" s="23"/>
      <c r="G72" s="23"/>
      <c r="H72" s="193"/>
      <c r="I72" s="23"/>
      <c r="J72" s="23"/>
      <c r="K72" s="193"/>
      <c r="L72" s="23"/>
      <c r="M72" s="23"/>
      <c r="N72" s="193"/>
      <c r="O72" s="23"/>
      <c r="P72" s="23"/>
      <c r="Q72" s="193"/>
    </row>
    <row r="73" spans="1:17" ht="20.100000000000001" customHeight="1" x14ac:dyDescent="0.25">
      <c r="A73"/>
    </row>
    <row r="74" spans="1:17" ht="20.100000000000001" customHeight="1" x14ac:dyDescent="0.25">
      <c r="A74"/>
      <c r="K74" s="245"/>
    </row>
    <row r="75" spans="1:17" ht="20.100000000000001" customHeight="1" x14ac:dyDescent="0.25">
      <c r="A75"/>
      <c r="D75" s="2" t="s">
        <v>1009</v>
      </c>
    </row>
    <row r="76" spans="1:17" ht="20.100000000000001" customHeight="1" x14ac:dyDescent="0.25">
      <c r="A76"/>
      <c r="D76" s="36"/>
    </row>
    <row r="77" spans="1:17" ht="20.100000000000001" customHeight="1" x14ac:dyDescent="0.25">
      <c r="A77"/>
      <c r="D77" s="259" t="s">
        <v>1010</v>
      </c>
      <c r="E77" s="259" t="s">
        <v>1011</v>
      </c>
      <c r="F77" s="259" t="s">
        <v>1012</v>
      </c>
      <c r="G77" s="259" t="s">
        <v>709</v>
      </c>
    </row>
    <row r="78" spans="1:17" ht="20.100000000000001" customHeight="1" x14ac:dyDescent="0.25">
      <c r="A78"/>
      <c r="D78" s="44" t="s">
        <v>1013</v>
      </c>
      <c r="E78" s="44" t="s">
        <v>1014</v>
      </c>
      <c r="F78" s="86">
        <v>10000</v>
      </c>
      <c r="G78" s="23" t="s">
        <v>1015</v>
      </c>
    </row>
    <row r="79" spans="1:17" ht="20.100000000000001" customHeight="1" x14ac:dyDescent="0.25">
      <c r="A79"/>
      <c r="D79" s="44" t="s">
        <v>1016</v>
      </c>
      <c r="E79" s="44" t="s">
        <v>1017</v>
      </c>
      <c r="F79" s="86">
        <v>1000</v>
      </c>
      <c r="G79" s="23" t="s">
        <v>1018</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1019</v>
      </c>
    </row>
    <row r="91" spans="1:10" ht="20.100000000000001" customHeight="1" x14ac:dyDescent="0.25">
      <c r="A91"/>
    </row>
    <row r="92" spans="1:10" ht="20.100000000000001" customHeight="1" x14ac:dyDescent="0.25">
      <c r="A92"/>
      <c r="D92" s="159" t="s">
        <v>1020</v>
      </c>
      <c r="E92" s="159" t="s">
        <v>1021</v>
      </c>
      <c r="F92" s="159" t="s">
        <v>1022</v>
      </c>
      <c r="G92" s="159" t="s">
        <v>1023</v>
      </c>
      <c r="H92" s="159" t="s">
        <v>1024</v>
      </c>
      <c r="J92" s="35"/>
    </row>
    <row r="93" spans="1:10" ht="20.100000000000001" customHeight="1" x14ac:dyDescent="0.25">
      <c r="A93"/>
      <c r="D93" s="252" t="s">
        <v>1025</v>
      </c>
      <c r="E93" s="86">
        <v>100000</v>
      </c>
      <c r="F93" s="23" t="s">
        <v>1026</v>
      </c>
      <c r="G93" s="86">
        <v>0.02</v>
      </c>
      <c r="H93" s="25">
        <f>Table_Input_Packaging[[#This Row],[Quantity purchased]]*Table_Input_Packaging[[#This Row],[Weight per unit (kg)]]</f>
        <v>2000</v>
      </c>
      <c r="J93" s="35"/>
    </row>
    <row r="94" spans="1:10" ht="20.100000000000001" customHeight="1" x14ac:dyDescent="0.25">
      <c r="A94"/>
      <c r="D94" s="252"/>
      <c r="E94" s="260"/>
      <c r="F94" s="23"/>
      <c r="G94" s="86"/>
      <c r="H94" s="25">
        <f>Table_Input_Packaging[[#This Row],[Quantity purchased]]*Table_Input_Packaging[[#This Row],[Weight per unit (kg)]]</f>
        <v>0</v>
      </c>
      <c r="J94" s="35"/>
    </row>
    <row r="95" spans="1:10" ht="20.100000000000001" customHeight="1" x14ac:dyDescent="0.25">
      <c r="A95"/>
      <c r="D95" s="252"/>
      <c r="E95" s="260"/>
      <c r="F95" s="23"/>
      <c r="G95" s="86"/>
      <c r="H95" s="25">
        <f>Table_Input_Packaging[[#This Row],[Quantity purchased]]*Table_Input_Packaging[[#This Row],[Weight per unit (kg)]]</f>
        <v>0</v>
      </c>
      <c r="J95" s="35"/>
    </row>
    <row r="96" spans="1:10" ht="20.100000000000001" customHeight="1" x14ac:dyDescent="0.25">
      <c r="A96"/>
      <c r="D96" s="252"/>
      <c r="E96" s="260"/>
      <c r="F96" s="23"/>
      <c r="G96" s="86"/>
      <c r="H96" s="25">
        <f>Table_Input_Packaging[[#This Row],[Quantity purchased]]*Table_Input_Packaging[[#This Row],[Weight per unit (kg)]]</f>
        <v>0</v>
      </c>
      <c r="J96" s="35"/>
    </row>
    <row r="97" spans="1:10" ht="20.100000000000001" customHeight="1" x14ac:dyDescent="0.25">
      <c r="A97"/>
      <c r="D97" s="252"/>
      <c r="E97" s="260"/>
      <c r="F97" s="23"/>
      <c r="G97" s="86"/>
      <c r="H97" s="25">
        <f>Table_Input_Packaging[[#This Row],[Quantity purchased]]*Table_Input_Packaging[[#This Row],[Weight per unit (kg)]]</f>
        <v>0</v>
      </c>
      <c r="J97" s="2"/>
    </row>
    <row r="98" spans="1:10" ht="20.100000000000001" customHeight="1" x14ac:dyDescent="0.25">
      <c r="A98"/>
      <c r="D98" s="252"/>
      <c r="E98" s="260"/>
      <c r="F98" s="23"/>
      <c r="G98" s="86"/>
      <c r="H98" s="25">
        <f>Table_Input_Packaging[[#This Row],[Quantity purchased]]*Table_Input_Packaging[[#This Row],[Weight per unit (kg)]]</f>
        <v>0</v>
      </c>
      <c r="J98" s="1"/>
    </row>
    <row r="99" spans="1:10" ht="20.100000000000001" customHeight="1" x14ac:dyDescent="0.25">
      <c r="A99"/>
      <c r="D99" s="252"/>
      <c r="E99" s="260"/>
      <c r="F99" s="23"/>
      <c r="G99" s="86"/>
      <c r="H99" s="25">
        <f>Table_Input_Packaging[[#This Row],[Quantity purchased]]*Table_Input_Packaging[[#This Row],[Weight per unit (kg)]]</f>
        <v>0</v>
      </c>
      <c r="J99" s="1"/>
    </row>
    <row r="100" spans="1:10" ht="20.100000000000001" customHeight="1" x14ac:dyDescent="0.25">
      <c r="A100"/>
      <c r="D100" s="252"/>
      <c r="E100" s="260"/>
      <c r="F100" s="23"/>
      <c r="G100" s="86"/>
      <c r="H100" s="25">
        <f>Table_Input_Packaging[[#This Row],[Quantity purchased]]*Table_Input_Packaging[[#This Row],[Weight per unit (kg)]]</f>
        <v>0</v>
      </c>
      <c r="J100" s="1"/>
    </row>
    <row r="101" spans="1:10" ht="20.100000000000001" customHeight="1" x14ac:dyDescent="0.25">
      <c r="A101"/>
      <c r="D101" s="252"/>
      <c r="E101" s="260"/>
      <c r="F101" s="23"/>
      <c r="G101" s="86"/>
      <c r="H101" s="25">
        <f>Table_Input_Packaging[[#This Row],[Quantity purchased]]*Table_Input_Packaging[[#This Row],[Weight per unit (kg)]]</f>
        <v>0</v>
      </c>
      <c r="J101" s="1"/>
    </row>
    <row r="102" spans="1:10" ht="20.100000000000001" customHeight="1" x14ac:dyDescent="0.25">
      <c r="A102"/>
      <c r="D102" s="252"/>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1027</v>
      </c>
    </row>
    <row r="106" spans="1:10" ht="20.100000000000001" customHeight="1" x14ac:dyDescent="0.25">
      <c r="A106"/>
      <c r="D106" s="36"/>
    </row>
    <row r="107" spans="1:10" ht="20.100000000000001" customHeight="1" x14ac:dyDescent="0.25">
      <c r="A107"/>
      <c r="D107" s="259" t="s">
        <v>1028</v>
      </c>
      <c r="E107" s="259" t="s">
        <v>1012</v>
      </c>
      <c r="F107" s="259" t="s">
        <v>709</v>
      </c>
      <c r="J107" s="1"/>
    </row>
    <row r="108" spans="1:10" ht="20.100000000000001" customHeight="1" x14ac:dyDescent="0.25">
      <c r="A108"/>
      <c r="D108" s="44" t="s">
        <v>1029</v>
      </c>
      <c r="E108" s="86">
        <v>10000</v>
      </c>
      <c r="F108" s="23" t="s">
        <v>546</v>
      </c>
      <c r="J108" s="1"/>
    </row>
    <row r="109" spans="1:10" ht="20.100000000000001" customHeight="1" x14ac:dyDescent="0.25">
      <c r="A109"/>
      <c r="D109" s="44" t="s">
        <v>1030</v>
      </c>
      <c r="E109" s="86">
        <v>100</v>
      </c>
      <c r="F109" s="23" t="s">
        <v>1031</v>
      </c>
      <c r="J109" s="1"/>
    </row>
    <row r="110" spans="1:10" ht="20.100000000000001" customHeight="1" x14ac:dyDescent="0.25">
      <c r="A110"/>
      <c r="D110" s="44" t="s">
        <v>1032</v>
      </c>
      <c r="E110" s="86">
        <v>10000</v>
      </c>
      <c r="F110" s="23" t="s">
        <v>546</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49"/>
    </row>
    <row r="120" spans="1:16" ht="20.100000000000001" customHeight="1" x14ac:dyDescent="0.25">
      <c r="A120"/>
      <c r="D120" s="2" t="s">
        <v>1033</v>
      </c>
      <c r="J120" s="35"/>
      <c r="P120" s="249"/>
    </row>
    <row r="121" spans="1:16" ht="20.100000000000001" customHeight="1" x14ac:dyDescent="0.25">
      <c r="A121"/>
      <c r="D121" s="1" t="str">
        <f>'Constants - Scope 3'!E204</f>
        <v>Barley grain (for seed)</v>
      </c>
      <c r="E121" s="86">
        <v>500</v>
      </c>
      <c r="F121" s="26" t="s">
        <v>546</v>
      </c>
      <c r="J121" s="2"/>
      <c r="P121" s="249"/>
    </row>
    <row r="122" spans="1:16" ht="20.100000000000001" customHeight="1" x14ac:dyDescent="0.25">
      <c r="A122"/>
      <c r="D122" s="1" t="str">
        <f>'Constants - Scope 3'!E205</f>
        <v>Maize grain (for seed)</v>
      </c>
      <c r="E122" s="86">
        <v>600</v>
      </c>
      <c r="F122" s="26" t="s">
        <v>546</v>
      </c>
      <c r="G122" s="35"/>
      <c r="H122" s="1"/>
      <c r="J122" s="1"/>
      <c r="P122" s="249"/>
    </row>
    <row r="123" spans="1:16" ht="20.100000000000001" customHeight="1" x14ac:dyDescent="0.25">
      <c r="A123"/>
      <c r="D123" s="1" t="str">
        <f>'Constants - Scope 3'!E207</f>
        <v>Oat grain (for seed)</v>
      </c>
      <c r="E123" s="86">
        <v>700</v>
      </c>
      <c r="F123" s="26" t="s">
        <v>546</v>
      </c>
      <c r="G123" s="35"/>
      <c r="H123" s="1"/>
      <c r="J123" s="1"/>
      <c r="P123" s="249"/>
    </row>
    <row r="124" spans="1:16" ht="20.100000000000001" customHeight="1" x14ac:dyDescent="0.25">
      <c r="A124"/>
      <c r="D124" s="1" t="str">
        <f>'Constants - Scope 3'!E208</f>
        <v>Sorghum grain (for seed)</v>
      </c>
      <c r="E124" s="86">
        <v>800</v>
      </c>
      <c r="F124" s="26" t="s">
        <v>546</v>
      </c>
      <c r="G124" s="35"/>
      <c r="H124" s="35"/>
      <c r="J124" s="1"/>
      <c r="N124" s="35"/>
      <c r="O124" s="35"/>
      <c r="P124" s="35"/>
    </row>
    <row r="125" spans="1:16" ht="20.100000000000001" customHeight="1" x14ac:dyDescent="0.25">
      <c r="A125"/>
      <c r="D125" s="1" t="str">
        <f>'Constants - Scope 3'!E209</f>
        <v>Wheat grain (for seed)</v>
      </c>
      <c r="E125" s="86">
        <v>900</v>
      </c>
      <c r="F125" s="26" t="s">
        <v>546</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1034</v>
      </c>
      <c r="G127" s="1"/>
      <c r="I127" s="35"/>
      <c r="J127" s="35"/>
    </row>
    <row r="128" spans="1:16" ht="20.100000000000001" customHeight="1" x14ac:dyDescent="0.25">
      <c r="A128"/>
      <c r="D128" s="1" t="str">
        <f>'Constants - Scope 3'!E202</f>
        <v>Animal ear tags (large)</v>
      </c>
      <c r="E128" s="86">
        <v>100</v>
      </c>
      <c r="F128" s="26" t="s">
        <v>1035</v>
      </c>
      <c r="G128" s="1"/>
      <c r="I128" s="35"/>
      <c r="J128" s="35"/>
    </row>
    <row r="129" spans="1:13" ht="20.100000000000001" customHeight="1" x14ac:dyDescent="0.25">
      <c r="A129"/>
      <c r="D129" s="1" t="str">
        <f>'Constants - Scope 3'!E203</f>
        <v>Animal ear tags (small)</v>
      </c>
      <c r="E129" s="86">
        <v>200</v>
      </c>
      <c r="F129" s="26" t="s">
        <v>1035</v>
      </c>
      <c r="G129" s="1"/>
      <c r="I129" s="35"/>
      <c r="L129" s="35"/>
      <c r="M129" s="35"/>
    </row>
    <row r="130" spans="1:13" ht="20.100000000000001" customHeight="1" x14ac:dyDescent="0.25">
      <c r="A130"/>
      <c r="D130" s="1" t="str">
        <f>'Constants - Scope 3'!E206</f>
        <v>Nylon netting</v>
      </c>
      <c r="E130" s="86">
        <v>300</v>
      </c>
      <c r="F130" s="26" t="s">
        <v>546</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1036</v>
      </c>
      <c r="G133" s="35"/>
      <c r="I133" s="1"/>
    </row>
    <row r="134" spans="1:13" ht="20.100000000000001" customHeight="1" x14ac:dyDescent="0.25">
      <c r="A134"/>
      <c r="D134" s="36"/>
      <c r="I134" s="1"/>
    </row>
    <row r="135" spans="1:13" ht="20.100000000000001" customHeight="1" x14ac:dyDescent="0.25">
      <c r="A135"/>
      <c r="D135" s="112" t="s">
        <v>1037</v>
      </c>
      <c r="E135" s="112" t="s">
        <v>801</v>
      </c>
      <c r="F135" s="112" t="s">
        <v>709</v>
      </c>
      <c r="I135" s="1"/>
    </row>
    <row r="136" spans="1:13" ht="20.100000000000001" customHeight="1" x14ac:dyDescent="0.25">
      <c r="A136"/>
      <c r="D136" s="44" t="s">
        <v>1038</v>
      </c>
      <c r="E136" s="86">
        <v>1000</v>
      </c>
      <c r="F136" s="44" t="s">
        <v>546</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21CBD1A7-5634-449B-B43A-6B91BB8D9528}">
      <formula1>"kg, m3"</formula1>
    </dataValidation>
    <dataValidation type="list" allowBlank="1" showInputMessage="1" showErrorMessage="1" sqref="N122:N123 H122:H123 J125:J126 L135:L136" xr:uid="{0D7B07ED-9767-473C-B9C4-73A6159D29F6}">
      <formula1>INDIRECT("Table_Scope3_AquacultureFeedBait[Feed / Bait ingredient]")</formula1>
    </dataValidation>
    <dataValidation type="list" allowBlank="1" showInputMessage="1" showErrorMessage="1" sqref="F63:F72 I63:I72 L63:L72 O63:O72" xr:uid="{92E07E62-DCDB-4869-8B1F-8418698D94DA}">
      <formula1>INDIRECT(_xlfn.UNIQUE("Table_SourceData_Scope3_Feed[Product]"))</formula1>
    </dataValidation>
    <dataValidation type="list" allowBlank="1" showInputMessage="1" showErrorMessage="1" sqref="M63:M72 P63:P72 J63:J72 G63:G72" xr:uid="{20AFE1C1-C8E1-499B-8D50-6702247B4646}">
      <formula1>INDIRECT("Table_ProductRegions_" &amp; SUBSTITUTE(SUBSTITUTE(SUBSTITUTE(SUBSTITUTE(F63, " ", ""), ",", ""), "(", ""), ")", "") &amp; "[Region]")</formula1>
    </dataValidation>
    <dataValidation type="list" allowBlank="1" showInputMessage="1" showErrorMessage="1" sqref="G78:G87" xr:uid="{AA9B7343-5D7C-47FF-AE2D-9F7F88D0E395}">
      <formula1>"Hour, Hectare"</formula1>
    </dataValidation>
    <dataValidation type="list" allowBlank="1" showInputMessage="1" showErrorMessage="1" sqref="E37:E46" xr:uid="{9FFF97BC-C8C7-4C68-8E4B-D5F6AD1CDA3D}">
      <formula1>INDIRECT("Table_SourceData_Scope3_ChemicalsPharmacy[Product]")</formula1>
    </dataValidation>
    <dataValidation type="list" allowBlank="1" showInputMessage="1" showErrorMessage="1" sqref="F11:F20" xr:uid="{31372BEA-882A-40DD-8B9C-DAB2F9389706}">
      <formula1>"kg / hectare, litre / hectare"</formula1>
    </dataValidation>
    <dataValidation type="list" allowBlank="1" showInputMessage="1" showErrorMessage="1" sqref="I11:I20" xr:uid="{B7A043A9-0F15-44B7-BF2C-A4517E747F7C}">
      <formula1>"grams/litre or grams/kg, fraction of product"</formula1>
    </dataValidation>
    <dataValidation type="list" allowBlank="1" showInputMessage="1" showErrorMessage="1" sqref="J11:J20 M11:M20 P11:P20" xr:uid="{D89AA8DA-3D38-43F4-AAB2-A62AD7D743CA}">
      <formula1>INDIRECT("Table_SourceData_Scope3_Pesticides[Product]")</formula1>
    </dataValidation>
    <dataValidation type="list" allowBlank="1" showInputMessage="1" showErrorMessage="1" sqref="F93:F102" xr:uid="{2BCC4DE9-7273-4314-A470-4650E3C5F8ED}">
      <formula1>INDIRECT("Table_SourceData_Scope3_Packaging[Product]")</formula1>
    </dataValidation>
    <dataValidation type="list" allowBlank="1" showInputMessage="1" showErrorMessage="1" sqref="E24:E33" xr:uid="{2454465F-6F28-4617-8501-CF058CD92F40}">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4C37-58B2-4F72-B87B-D0BBE1D14776}">
  <sheetPr>
    <tabColor theme="5" tint="-0.249977111117893"/>
  </sheetPr>
  <dimension ref="A1:J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4" width="46.5703125" style="1" customWidth="1"/>
    <col min="5" max="9" width="35" style="1" customWidth="1"/>
    <col min="10" max="10" width="5.28515625" style="1" customWidth="1"/>
    <col min="11" max="16384" width="9.140625" style="244"/>
  </cols>
  <sheetData>
    <row r="1" spans="1:10" s="16" customFormat="1" ht="30" customHeight="1" x14ac:dyDescent="0.35">
      <c r="C1" s="16" t="s">
        <v>1039</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1040</v>
      </c>
    </row>
    <row r="7" spans="1:10" ht="20.100000000000001" customHeight="1" x14ac:dyDescent="0.25">
      <c r="A7"/>
    </row>
    <row r="8" spans="1:10" ht="20.100000000000001" customHeight="1" x14ac:dyDescent="0.25">
      <c r="A8" s="7" t="s">
        <v>0</v>
      </c>
      <c r="D8" s="30" t="s">
        <v>1041</v>
      </c>
      <c r="E8" s="30" t="s">
        <v>1042</v>
      </c>
      <c r="F8" s="30" t="s">
        <v>1043</v>
      </c>
      <c r="G8" s="30" t="s">
        <v>1044</v>
      </c>
      <c r="H8" s="30" t="s">
        <v>1045</v>
      </c>
    </row>
    <row r="9" spans="1:10" ht="20.100000000000001" customHeight="1" x14ac:dyDescent="0.25">
      <c r="A9" s="5" t="str">
        <f>HYPERLINK("#'Input - Enterprise'!A1", "Enterprise")</f>
        <v>Enterprise</v>
      </c>
      <c r="D9" s="30" t="s">
        <v>1046</v>
      </c>
      <c r="E9" s="23" t="s">
        <v>1047</v>
      </c>
      <c r="F9" s="30">
        <v>986</v>
      </c>
      <c r="G9" s="30">
        <v>10</v>
      </c>
      <c r="H9" s="30">
        <v>52</v>
      </c>
    </row>
    <row r="10" spans="1:10" ht="20.100000000000001" customHeight="1" x14ac:dyDescent="0.25">
      <c r="A10" s="5" t="str">
        <f>HYPERLINK("#'Input - Site'!A1", "Site")</f>
        <v>Site</v>
      </c>
      <c r="D10" s="30" t="s">
        <v>1048</v>
      </c>
      <c r="E10" s="23" t="s">
        <v>1049</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5" t="str">
        <f>HYPERLINK("#'Input - Freight'!A1", "Freight")</f>
        <v>Freight</v>
      </c>
    </row>
    <row r="22" spans="1:8" ht="20.100000000000001" customHeight="1" x14ac:dyDescent="0.25">
      <c r="A22" s="5" t="str">
        <f>HYPERLINK("#'Input - Manure sent off-site'!A1", "Manure sent off-site")</f>
        <v>Manure sent off-site</v>
      </c>
      <c r="D22" s="2" t="s">
        <v>1050</v>
      </c>
    </row>
    <row r="23" spans="1:8" ht="20.100000000000001" customHeight="1" x14ac:dyDescent="0.25">
      <c r="A23" s="5" t="str">
        <f>HYPERLINK("#'Input - Solid waste'!A1", "Solid waste")</f>
        <v>Solid waste</v>
      </c>
    </row>
    <row r="24" spans="1:8" ht="20.100000000000001" customHeight="1" x14ac:dyDescent="0.25">
      <c r="A24"/>
      <c r="D24" s="30" t="s">
        <v>1041</v>
      </c>
      <c r="E24" s="30" t="s">
        <v>1042</v>
      </c>
      <c r="F24" s="30" t="s">
        <v>1043</v>
      </c>
      <c r="G24" s="30" t="s">
        <v>1044</v>
      </c>
      <c r="H24" s="30" t="s">
        <v>1045</v>
      </c>
    </row>
    <row r="25" spans="1:8" ht="20.100000000000001" customHeight="1" x14ac:dyDescent="0.25">
      <c r="A25"/>
      <c r="D25" s="30" t="s">
        <v>1051</v>
      </c>
      <c r="E25" s="23" t="s">
        <v>1047</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HYPERLINK("#'3.2.1.1-2 Enteric Methane'!A1", "3.2.1.1-2 Enteric methane")</f>
        <v>3.2.1.1-2 Enteric methane</v>
      </c>
      <c r="D27" s="30"/>
      <c r="E27" s="23"/>
      <c r="F27" s="30"/>
      <c r="G27" s="30"/>
      <c r="H27" s="30"/>
    </row>
    <row r="28" spans="1:8" ht="20.100000000000001" customHeight="1" x14ac:dyDescent="0.25">
      <c r="A28" s="5" t="str">
        <f>HYPERLINK("#'4.2.1.1-2 Methane'!A1", "4.2.1.1-2 Manure methane")</f>
        <v>4.2.1.1-2 Manure methane</v>
      </c>
      <c r="D28" s="30"/>
      <c r="E28" s="23"/>
      <c r="F28" s="30"/>
      <c r="G28" s="30"/>
      <c r="H28" s="30"/>
    </row>
    <row r="29" spans="1:8" ht="20.100000000000001" customHeight="1" x14ac:dyDescent="0.25">
      <c r="A29" s="5" t="str">
        <f>HYPERLINK("#'4.2.1.3-4 Soil direct N20'!A1", "4.2.1.3-4 Soil direct N2O")</f>
        <v>4.2.1.3-4 Soil direct N2O</v>
      </c>
      <c r="D29" s="30"/>
      <c r="E29" s="23"/>
      <c r="F29" s="30"/>
      <c r="G29" s="30"/>
      <c r="H29" s="30"/>
    </row>
    <row r="30" spans="1:8" ht="20.100000000000001" customHeight="1" x14ac:dyDescent="0.25">
      <c r="A30" s="5" t="str">
        <f>HYPERLINK("#'4.2.1.5-6 Soil Atmos Dep'!A1", "4.2.1.5-6 Soil atm. deposition")</f>
        <v>4.2.1.5-6 Soil atm. deposition</v>
      </c>
      <c r="D30" s="30"/>
      <c r="E30" s="23"/>
      <c r="F30" s="30"/>
      <c r="G30" s="30"/>
      <c r="H30" s="30"/>
    </row>
    <row r="31" spans="1:8" ht="20.100000000000001" customHeight="1" x14ac:dyDescent="0.25">
      <c r="A31" s="5" t="str">
        <f>HYPERLINK("#'4.2.1.7-8 Soil leach runoff'!A1", "4.2.1.7-8 Soil leach &amp; runoff")</f>
        <v>4.2.1.7-8 Soil leach &amp; runoff</v>
      </c>
      <c r="D31" s="30"/>
      <c r="E31" s="23"/>
      <c r="F31" s="30"/>
      <c r="G31" s="30"/>
      <c r="H31" s="30"/>
    </row>
    <row r="32" spans="1:8" ht="20.100000000000001" customHeight="1" x14ac:dyDescent="0.25">
      <c r="A32" s="5" t="str">
        <f>HYPERLINK("#'5.1.1.1-2 Inorganic fert N2O'!A1", "5.1.1.1-2 Inorganic fert N2O")</f>
        <v>5.1.1.1-2 Inorganic fert N2O</v>
      </c>
      <c r="D32" s="30"/>
      <c r="E32" s="23"/>
      <c r="F32" s="30"/>
      <c r="G32" s="30"/>
      <c r="H32" s="30"/>
    </row>
    <row r="33" spans="1:8" ht="20.100000000000001" customHeight="1" x14ac:dyDescent="0.25">
      <c r="A33" s="5" t="str">
        <f>HYPERLINK("#'5.1.1.3-4 Inorganic fert CO2'!A1", "5.1.1.3-4 Inorganic fert CO2")</f>
        <v>5.1.1.3-4 Inorganic fert CO2</v>
      </c>
      <c r="D33" s="30"/>
      <c r="E33" s="23"/>
      <c r="F33" s="30"/>
      <c r="G33" s="30"/>
      <c r="H33" s="30"/>
    </row>
    <row r="34" spans="1:8" ht="20.100000000000001" customHeight="1" x14ac:dyDescent="0.25">
      <c r="A34" s="5" t="str">
        <f>HYPERLINK("#'5.2.1.1-2 Organic Fert N2O'!A1", "5.2.1.1-2 Organic fert N2O")</f>
        <v>5.2.1.1-2 Organic fert N2O</v>
      </c>
      <c r="D34" s="30"/>
      <c r="E34" s="23"/>
      <c r="F34" s="30"/>
      <c r="G34" s="30"/>
      <c r="H34" s="30"/>
    </row>
    <row r="35" spans="1:8" ht="20.100000000000001" customHeight="1" x14ac:dyDescent="0.25">
      <c r="A35" s="5" t="str">
        <f>HYPERLINK("#'5.3.1.1-2 Lime CO2'!A1", "5.3.1.1-2 Lime CO2")</f>
        <v>5.3.1.1-2 Lime CO2</v>
      </c>
    </row>
    <row r="36" spans="1:8" ht="20.100000000000001" customHeight="1" x14ac:dyDescent="0.25">
      <c r="A36" s="5" t="str">
        <f>HYPERLINK("#'5.4.1.1-4 Atmos deposition'!A1", "5.4.1.1-4 Atmos. deposition")</f>
        <v>5.4.1.1-4 Atmos. deposition</v>
      </c>
    </row>
    <row r="37" spans="1:8" ht="20.100000000000001" customHeight="1" x14ac:dyDescent="0.25">
      <c r="A37" s="5" t="str">
        <f>HYPERLINK("#'5.5.1.1-2 Leaching and runoff'!A1", "5.5.1.1-2 Leaching &amp; runoff")</f>
        <v>5.5.1.1-2 Leaching &amp; runoff</v>
      </c>
    </row>
    <row r="38" spans="1:8" ht="20.100000000000001" customHeight="1" x14ac:dyDescent="0.25">
      <c r="A38" s="5" t="str">
        <f>HYPERLINK("#'6.2.1.1-2 Pasture residue N2O'!A1", "6.2.1.1-2 Pasture residue N2O")</f>
        <v>6.2.1.1-2 Pasture residue N2O</v>
      </c>
    </row>
    <row r="39" spans="1:8" ht="20.100000000000001" customHeight="1" x14ac:dyDescent="0.25">
      <c r="A39" s="5" t="str">
        <f>HYPERLINK("#'6.3.1.1-2 Leach runoff pasture'!A1", "6.3.1.1-2 Leach &amp; runoff (pasture)")</f>
        <v>6.3.1.1-2 Leach &amp; runoff (pasture)</v>
      </c>
    </row>
    <row r="40" spans="1:8" ht="20.100000000000001" customHeight="1" x14ac:dyDescent="0.25">
      <c r="A40" s="5" t="str">
        <f>HYPERLINK("#'8.1.1.1-2 Transport fuel'!A1", "8.1.1.1-2 Transport fuel")</f>
        <v>8.1.1.1-2 Transport fuel</v>
      </c>
    </row>
    <row r="41" spans="1:8" ht="20.100000000000001" customHeight="1" x14ac:dyDescent="0.25">
      <c r="A41" s="5" t="str">
        <f>HYPERLINK("#'8.2.1.1-2 Stationary fuel'!A1", "8.2.1.1-2 Stationary fuel")</f>
        <v>8.2.1.1-2 Stationary fuel</v>
      </c>
    </row>
    <row r="42" spans="1:8" ht="20.100000000000001" customHeight="1" x14ac:dyDescent="0.25">
      <c r="A42" s="5" t="str">
        <f>HYPERLINK("#'14.1.1-2 Purchased electricity'!A1", "14.1.1-2 Purchased electricity")</f>
        <v>14.1.1-2 Purchased electricity</v>
      </c>
    </row>
    <row r="43" spans="1:8" ht="20.100000000000001" customHeight="1" x14ac:dyDescent="0.25">
      <c r="A43" s="5" t="str">
        <f>HYPERLINK("#'15 Scope 3'!A1", "15 Scope 3")</f>
        <v>15 Scope 3</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row>
    <row r="46" spans="1:8" ht="20.100000000000001" customHeight="1" x14ac:dyDescent="0.25">
      <c r="A46"/>
    </row>
    <row r="47" spans="1:8" ht="20.100000000000001" customHeight="1" x14ac:dyDescent="0.25">
      <c r="A47"/>
    </row>
    <row r="48" spans="1:8"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D1AFE639-070A-4145-A316-D21BF2C6F337}">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E301A-26DB-43A1-B478-B286567FF4C0}">
  <sheetPr>
    <tabColor theme="5" tint="-0.249977111117893"/>
  </sheetPr>
  <dimension ref="A1:K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6384" width="9.140625" style="244"/>
  </cols>
  <sheetData>
    <row r="1" spans="1:11" ht="25.5" x14ac:dyDescent="0.35">
      <c r="A1" s="16" t="e" vm="1">
        <v>#VALUE!</v>
      </c>
      <c r="C1" s="16" t="s">
        <v>1052</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1053</v>
      </c>
    </row>
    <row r="6" spans="1:11" x14ac:dyDescent="0.25">
      <c r="A6"/>
    </row>
    <row r="7" spans="1:11" x14ac:dyDescent="0.25">
      <c r="A7"/>
      <c r="D7" s="1" t="s">
        <v>1054</v>
      </c>
    </row>
    <row r="8" spans="1:11" ht="18.75" x14ac:dyDescent="0.25">
      <c r="A8" s="7" t="s">
        <v>0</v>
      </c>
      <c r="D8" s="1" t="s">
        <v>1055</v>
      </c>
    </row>
    <row r="9" spans="1:11" x14ac:dyDescent="0.25">
      <c r="A9" s="5" t="str">
        <f>HYPERLINK("#'Input - Enterprise'!A1", "Enterprise")</f>
        <v>Enterprise</v>
      </c>
    </row>
    <row r="10" spans="1:11" x14ac:dyDescent="0.25">
      <c r="A10" s="5" t="str">
        <f>HYPERLINK("#'Input - Site'!A1", "Site")</f>
        <v>Site</v>
      </c>
      <c r="D10" s="1" t="s">
        <v>1056</v>
      </c>
      <c r="F10" s="86">
        <v>1000</v>
      </c>
      <c r="G10" s="26" t="s">
        <v>1057</v>
      </c>
    </row>
    <row r="11" spans="1:11" x14ac:dyDescent="0.25">
      <c r="A11" s="5" t="str">
        <f>HYPERLINK("#'Input - Pasture Beef'!A1", "Pasture Beef")</f>
        <v>Pasture Beef</v>
      </c>
      <c r="D11" s="1" t="s">
        <v>1058</v>
      </c>
      <c r="F11" s="86">
        <v>2000</v>
      </c>
      <c r="G11" s="26" t="s">
        <v>1057</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1059</v>
      </c>
      <c r="F13" s="23" t="s">
        <v>628</v>
      </c>
      <c r="G13" s="26" t="s">
        <v>110</v>
      </c>
    </row>
    <row r="14" spans="1:11" x14ac:dyDescent="0.25">
      <c r="A14" s="5" t="str">
        <f>HYPERLINK("#'Input - Beef cattle purchases'!A1", "Beef cattle purchases")</f>
        <v>Beef cattle purchases</v>
      </c>
      <c r="D14" s="1" t="s">
        <v>1060</v>
      </c>
      <c r="F14" s="23" t="s">
        <v>257</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6" spans="1:1" x14ac:dyDescent="0.25">
      <c r="A46"/>
    </row>
    <row r="47" spans="1:1" x14ac:dyDescent="0.25">
      <c r="A47"/>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1F1E865B-8A0E-41CE-B43F-78C10B59AB02}">
      <formula1>INDIRECT("Table_SourceData_Fertiliser_IrrigationMethods[Irrigation method]")</formula1>
    </dataValidation>
    <dataValidation type="list" allowBlank="1" showInputMessage="1" showErrorMessage="1" sqref="F13" xr:uid="{F5257CC2-E124-4263-BE17-5A9DED40BDD8}">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16AED-9B1F-4DD6-BCBB-052C8C6A13AE}">
  <dimension ref="A1:AI274"/>
  <sheetViews>
    <sheetView showGridLines="0" topLeftCell="J133"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258</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0" t="s">
        <v>259</v>
      </c>
      <c r="E7" s="100" t="s">
        <v>260</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09" t="s">
        <v>262</v>
      </c>
    </row>
    <row r="19" spans="1:34" ht="20.100000000000001" customHeight="1" x14ac:dyDescent="0.25">
      <c r="A19" s="5" t="str">
        <f>HYPERLINK("#'Input - Electricity'!A1", "Electricity")</f>
        <v>Electricity</v>
      </c>
      <c r="D19" s="110" t="s">
        <v>263</v>
      </c>
      <c r="U19" s="109" t="s">
        <v>264</v>
      </c>
    </row>
    <row r="20" spans="1:34" ht="20.100000000000001" customHeight="1" x14ac:dyDescent="0.25">
      <c r="A20" s="5" t="str">
        <f>HYPERLINK("#'Input - Farm Inputs'!A1", "Farm Inputs")</f>
        <v>Farm Inputs</v>
      </c>
      <c r="D20" s="111" t="s">
        <v>77</v>
      </c>
      <c r="E20" s="112" t="s">
        <v>213</v>
      </c>
      <c r="F20" s="112" t="s">
        <v>214</v>
      </c>
      <c r="G20" s="112" t="s">
        <v>215</v>
      </c>
      <c r="U20" s="110" t="s">
        <v>265</v>
      </c>
    </row>
    <row r="21" spans="1:34" ht="20.100000000000001" customHeight="1" x14ac:dyDescent="0.25">
      <c r="A21" s="5" t="str">
        <f>HYPERLINK("#'Input - Freight'!A1", "Freight")</f>
        <v>Freight</v>
      </c>
      <c r="D21" s="25">
        <f>'Input - Pasture Beef (Enteric)'!$E$104</f>
        <v>0</v>
      </c>
      <c r="E21" s="25">
        <f>'Input - Pasture Beef (Enteric)'!$E$107</f>
        <v>0</v>
      </c>
      <c r="F21" s="25">
        <f>'Input - Pasture Beef (Enteric)'!$F$107</f>
        <v>0</v>
      </c>
      <c r="G21" s="25">
        <f>'Input - Pasture Beef (Enteric)'!$G$107</f>
        <v>0</v>
      </c>
      <c r="H21" s="26" t="s">
        <v>266</v>
      </c>
      <c r="U21" s="111" t="s">
        <v>76</v>
      </c>
      <c r="V21" s="112" t="s">
        <v>213</v>
      </c>
      <c r="W21" s="112" t="s">
        <v>214</v>
      </c>
      <c r="X21" s="112" t="s">
        <v>215</v>
      </c>
    </row>
    <row r="22" spans="1:34" ht="20.100000000000001" customHeight="1" x14ac:dyDescent="0.25">
      <c r="A22" s="5" t="str">
        <f>HYPERLINK("#'Input - Manure sent off-site'!A1", "Manure sent off-site")</f>
        <v>Manure sent off-site</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266</v>
      </c>
    </row>
    <row r="23" spans="1:34" ht="20.100000000000001" customHeight="1" x14ac:dyDescent="0.25">
      <c r="A23" s="5" t="str">
        <f>HYPERLINK("#'Input - Solid waste'!A1", "Solid waste")</f>
        <v>Solid waste</v>
      </c>
      <c r="D23" s="109" t="s">
        <v>267</v>
      </c>
      <c r="U23" s="25" t="e">
        <f>TEXT(EDATE('Input - Pasture Beef (Enteric)'!$D$119,1), "mmmm") &amp; ", " &amp; TEXT(EDATE('Input - Pasture Beef (Enteric)'!$D$119,2), "mmmm") &amp; ", " &amp; TEXT(EDATE('Input - Pasture Beef (Enteric)'!$D$119,3), "mmmm")</f>
        <v>#VALUE!</v>
      </c>
      <c r="Y23" s="26"/>
    </row>
    <row r="24" spans="1:34" ht="20.100000000000001" customHeight="1" x14ac:dyDescent="0.25">
      <c r="D24" s="110" t="s">
        <v>268</v>
      </c>
      <c r="Y24" s="26"/>
    </row>
    <row r="25" spans="1:34" ht="20.100000000000001" customHeight="1" x14ac:dyDescent="0.25">
      <c r="D25" s="111" t="s">
        <v>77</v>
      </c>
      <c r="E25" s="111" t="s">
        <v>233</v>
      </c>
      <c r="F25" s="111" t="s">
        <v>269</v>
      </c>
      <c r="G25" s="111" t="s">
        <v>211</v>
      </c>
      <c r="H25" s="111" t="s">
        <v>201</v>
      </c>
      <c r="I25" s="111" t="s">
        <v>212</v>
      </c>
      <c r="J25" s="111" t="s">
        <v>213</v>
      </c>
      <c r="K25" s="111" t="s">
        <v>214</v>
      </c>
      <c r="L25" s="111" t="s">
        <v>215</v>
      </c>
      <c r="M25" s="111" t="s">
        <v>216</v>
      </c>
      <c r="N25" s="111" t="s">
        <v>217</v>
      </c>
      <c r="O25" s="111" t="s">
        <v>218</v>
      </c>
      <c r="P25" s="111" t="s">
        <v>219</v>
      </c>
      <c r="U25" s="109" t="s">
        <v>270</v>
      </c>
    </row>
    <row r="26" spans="1:34" ht="20.100000000000001" customHeight="1" x14ac:dyDescent="0.25">
      <c r="A26" s="6" t="s">
        <v>2</v>
      </c>
      <c r="D26" s="25" t="s">
        <v>220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0" t="s">
        <v>271</v>
      </c>
    </row>
    <row r="27" spans="1:34" ht="20.100000000000001" customHeight="1" x14ac:dyDescent="0.25">
      <c r="A27" s="101" t="str">
        <f>HYPERLINK("#'3.2.1.1-2 Enteric Methane'!A1", "3.2.1.1-2 Enteric methane")</f>
        <v>3.2.1.1-2 Enteric methane</v>
      </c>
      <c r="D27" s="25" t="s">
        <v>221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1" t="s">
        <v>76</v>
      </c>
      <c r="V27" s="111" t="s">
        <v>233</v>
      </c>
      <c r="W27" s="111" t="s">
        <v>269</v>
      </c>
      <c r="X27" s="111" t="s">
        <v>211</v>
      </c>
      <c r="Y27" s="111" t="s">
        <v>201</v>
      </c>
      <c r="Z27" s="111" t="s">
        <v>212</v>
      </c>
      <c r="AA27" s="111" t="s">
        <v>213</v>
      </c>
      <c r="AB27" s="111" t="s">
        <v>214</v>
      </c>
      <c r="AC27" s="111" t="s">
        <v>215</v>
      </c>
      <c r="AD27" s="111" t="s">
        <v>216</v>
      </c>
      <c r="AE27" s="111" t="s">
        <v>217</v>
      </c>
      <c r="AF27" s="111" t="s">
        <v>218</v>
      </c>
      <c r="AG27" s="111" t="s">
        <v>219</v>
      </c>
    </row>
    <row r="28" spans="1:34" ht="20.100000000000001" customHeight="1" x14ac:dyDescent="0.25">
      <c r="A28" s="5" t="str">
        <f>HYPERLINK("#'4.2.1.1-2 Methane'!A1", "4.2.1.1-2 Manure methane")</f>
        <v>4.2.1.1-2 Manure methane</v>
      </c>
      <c r="D28" s="25" t="s">
        <v>222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HYPERLINK("#'4.2.1.3-4 Soil direct N20'!A1", "4.2.1.3-4 Soil direct N2O")</f>
        <v>4.2.1.3-4 Soil direct N2O</v>
      </c>
      <c r="D29" s="25" t="s">
        <v>223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HYPERLINK("#'4.2.1.5-6 Soil Atmos Dep'!A1", "4.2.1.5-6 Soil atm. deposition")</f>
        <v>4.2.1.5-6 Soil atm. deposition</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HYPERLINK("#'4.2.1.7-8 Soil leach runoff'!A1", "4.2.1.7-8 Soil leach &amp; runoff")</f>
        <v>4.2.1.7-8 Soil leach &amp; runoff</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HYPERLINK("#'5.1.1.1-2 Inorganic fert N2O'!A1", "5.1.1.1-2 Inorganic fert N2O")</f>
        <v>5.1.1.1-2 Inorganic fert N2O</v>
      </c>
      <c r="C32" s="113"/>
      <c r="D32" s="113"/>
      <c r="E32" s="113"/>
      <c r="F32" s="113"/>
      <c r="G32" s="113"/>
      <c r="H32" s="113"/>
      <c r="I32" s="113"/>
      <c r="J32" s="113"/>
      <c r="K32" s="113"/>
      <c r="L32" s="113"/>
      <c r="M32" s="113"/>
      <c r="N32" s="113"/>
      <c r="O32" s="113"/>
      <c r="P32" s="113"/>
      <c r="Q32" s="113"/>
      <c r="R32" s="113"/>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HYPERLINK("#'5.1.1.3-4 Inorganic fert CO2'!A1", "5.1.1.3-4 Inorganic fert CO2")</f>
        <v>5.1.1.3-4 Inorganic fert CO2</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HYPERLINK("#'5.2.1.1-2 Organic Fert N2O'!A1", "5.2.1.1-2 Organic fert N2O")</f>
        <v>5.2.1.1-2 Organic fert N2O</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HYPERLINK("#'5.3.1.1-2 Lime CO2'!A1", "5.3.1.1-2 Lime CO2")</f>
        <v>5.3.1.1-2 Lime CO2</v>
      </c>
      <c r="D35" s="100" t="s">
        <v>259</v>
      </c>
      <c r="E35" s="100"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HYPERLINK("#'5.4.1.1-4 Atmos deposition'!A1", "5.4.1.1-4 Atmos. deposition")</f>
        <v>5.4.1.1-4 Atmos. deposition</v>
      </c>
      <c r="U36" s="25" t="str">
        <f>TEXT(EDATE(X_Cell_Site_StartDate,8), "mmmm")</f>
        <v>September</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HYPERLINK("#'5.5.1.1-2 Leaching and runoff'!A1", "5.5.1.1-2 Leaching &amp; runoff")</f>
        <v>5.5.1.1-2 Leaching &amp; runoff</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HYPERLINK("#'6.2.1.1-2 Pasture residue N2O'!A1", "6.2.1.1-2 Pasture residue N2O")</f>
        <v>6.2.1.1-2 Pasture residue N2O</v>
      </c>
      <c r="D38" s="88" t="s">
        <v>261</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HYPERLINK("#'6.3.1.1-2 Leach runoff pasture'!A1", "6.3.1.1-2 Leach &amp; runoff (pasture)")</f>
        <v>6.3.1.1-2 Leach &amp; runoff (pasture)</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HYPERLINK("#'8.1.1.1-2 Transport fuel'!A1", "8.1.1.1-2 Transport fuel")</f>
        <v>8.1.1.1-2 Transport fuel</v>
      </c>
    </row>
    <row r="41" spans="1:34" ht="20.100000000000001" customHeight="1" x14ac:dyDescent="0.25">
      <c r="A41" s="5" t="str">
        <f>HYPERLINK("#'8.2.1.1-2 Stationary fuel'!A1", "8.2.1.1-2 Stationary fuel")</f>
        <v>8.2.1.1-2 Stationary fuel</v>
      </c>
      <c r="D41" s="102" t="str" cm="1">
        <f t="array" ref="D41:E43">_xlfn.CHOOSECOLS(EntericMethane_PastureBeef_Equations.VEERG_3_2_1_1__3_FeedIntakeForGrazingBeef_Arguments(), 1, 2)</f>
        <v>W_jkl</v>
      </c>
      <c r="E41" s="103" t="str">
        <v>liveweight (kg)</v>
      </c>
      <c r="F41" s="105"/>
      <c r="G41" s="102" t="str" cm="1">
        <f t="array" ref="G41:H43">_xlfn.CHOOSECOLS(EntericMethane_PastureBeef_Equations.VEERG_3_2_1_1__3_FeedIntakeForGrazingBeef_Arguments(), 3,4)</f>
        <v>kg</v>
      </c>
      <c r="H41" s="106" t="str">
        <v>Input</v>
      </c>
      <c r="I41" s="108" t="str" cm="1">
        <f t="array" aca="1" ref="I41" ca="1">HYPERLINK(Common_InputFunctions.Utility_SourceHyperlink($D$45), $D$45)</f>
        <v>M1_Table_W_j_k_l</v>
      </c>
      <c r="U41" s="109" t="s">
        <v>272</v>
      </c>
    </row>
    <row r="42" spans="1:34" ht="20.100000000000001" customHeight="1" x14ac:dyDescent="0.25">
      <c r="A42" s="5" t="str">
        <f>HYPERLINK("#'14.1.1-2 Purchased electricity'!A1", "14.1.1-2 Purchased electricity")</f>
        <v>14.1.1-2 Purchased electricity</v>
      </c>
      <c r="D42" s="102" t="str">
        <v>LWG_jkl</v>
      </c>
      <c r="E42" s="103" t="str">
        <v>live weight gain (kg/head/day)</v>
      </c>
      <c r="F42" s="105"/>
      <c r="G42" s="102" t="str">
        <v>kg/head/day</v>
      </c>
      <c r="H42" s="106" t="str">
        <v>Input</v>
      </c>
      <c r="I42" s="108" t="str" cm="1">
        <f t="array" aca="1" ref="I42" ca="1">HYPERLINK(Common_InputFunctions.Utility_SourceHyperlink($D$53), $D$53)</f>
        <v>M1_Table_LWG_j_k_l</v>
      </c>
      <c r="U42" s="110" t="s">
        <v>273</v>
      </c>
    </row>
    <row r="43" spans="1:34" ht="20.100000000000001" customHeight="1" x14ac:dyDescent="0.25">
      <c r="A43" s="5" t="str">
        <f>HYPERLINK("#'15 Scope 3'!A1", "15 Scope 3")</f>
        <v>15 Scope 3</v>
      </c>
      <c r="D43" s="102" t="str">
        <v>MA_jk45</v>
      </c>
      <c r="E43" s="103" t="str">
        <v>additional intake for milk production in cows greater than 2 years</v>
      </c>
      <c r="F43" s="105"/>
      <c r="G43" s="102" t="str">
        <v>kg/head/day</v>
      </c>
      <c r="H43" s="107" t="str">
        <v>Calculated from 3.2.1.1, (4)</v>
      </c>
      <c r="I43" s="108" t="str" cm="1">
        <f t="array" aca="1" ref="I43" ca="1">HYPERLINK(Common_InputFunctions.Utility_SourceHyperlink($D$23), $D$23)</f>
        <v>M1_Table_MA_j_k-4-5</v>
      </c>
      <c r="U43" s="111" t="s">
        <v>76</v>
      </c>
      <c r="V43" s="112" t="s">
        <v>211</v>
      </c>
      <c r="W43" s="112" t="s">
        <v>201</v>
      </c>
      <c r="X43" s="112" t="s">
        <v>212</v>
      </c>
      <c r="Y43" s="112" t="s">
        <v>213</v>
      </c>
      <c r="Z43" s="112" t="s">
        <v>214</v>
      </c>
      <c r="AA43" s="112" t="s">
        <v>215</v>
      </c>
      <c r="AB43" s="112" t="s">
        <v>216</v>
      </c>
      <c r="AC43" s="112" t="s">
        <v>217</v>
      </c>
      <c r="AD43" s="112" t="s">
        <v>218</v>
      </c>
      <c r="AE43" s="112" t="s">
        <v>219</v>
      </c>
      <c r="AF43" s="26"/>
    </row>
    <row r="44" spans="1:34" ht="20.100000000000001" customHeight="1" x14ac:dyDescent="0.25">
      <c r="A44" s="5" t="str">
        <f>HYPERLINK("#'Calcs - Manure sent off-site'!A1", "Calcs - Manure sent off-site")</f>
        <v>Calcs - Manure sent off-site</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229</v>
      </c>
    </row>
    <row r="45" spans="1:34" ht="20.100000000000001" customHeight="1" x14ac:dyDescent="0.25">
      <c r="A45" s="5" t="str">
        <f>HYPERLINK("#'10.1.1-2 Solid waste treatment'!A1", "10.1.1-2 Solid waste treatment")</f>
        <v>10.1.1-2 Solid waste treatment</v>
      </c>
      <c r="D45" s="109" t="s">
        <v>274</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229</v>
      </c>
    </row>
    <row r="46" spans="1:34" ht="20.100000000000001" customHeight="1" x14ac:dyDescent="0.25">
      <c r="D46" s="110" t="s">
        <v>275</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229</v>
      </c>
    </row>
    <row r="47" spans="1:34" ht="20.100000000000001" customHeight="1" x14ac:dyDescent="0.25">
      <c r="D47" s="111" t="s">
        <v>77</v>
      </c>
      <c r="E47" s="112" t="s">
        <v>211</v>
      </c>
      <c r="F47" s="112" t="s">
        <v>201</v>
      </c>
      <c r="G47" s="112" t="s">
        <v>212</v>
      </c>
      <c r="H47" s="112" t="s">
        <v>213</v>
      </c>
      <c r="I47" s="112" t="s">
        <v>214</v>
      </c>
      <c r="J47" s="112" t="s">
        <v>215</v>
      </c>
      <c r="K47" s="112" t="s">
        <v>216</v>
      </c>
      <c r="L47" s="112" t="s">
        <v>217</v>
      </c>
      <c r="M47" s="112" t="s">
        <v>218</v>
      </c>
      <c r="N47" s="112" t="s">
        <v>219</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229</v>
      </c>
    </row>
    <row r="48" spans="1:34" ht="20.100000000000001" customHeight="1" x14ac:dyDescent="0.25">
      <c r="A48" s="96" t="s">
        <v>1</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229</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229</v>
      </c>
    </row>
    <row r="49" spans="1:34" ht="20.100000000000001" customHeight="1" x14ac:dyDescent="0.25">
      <c r="A49" s="5" t="str">
        <f>HYPERLINK("#'Constants - Pasture Beef'!A1", "Constants - Pasture Beef")</f>
        <v>Constants - Pasture Beef</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229</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229</v>
      </c>
    </row>
    <row r="50" spans="1:34" ht="20.100000000000001" customHeight="1" x14ac:dyDescent="0.25">
      <c r="A50" s="5" t="str">
        <f>HYPERLINK("#'Constants - Ag Residue'!A1", "Constants - Ag residue")</f>
        <v>Constants - Ag residue</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229</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229</v>
      </c>
    </row>
    <row r="51" spans="1:34" ht="20.100000000000001" customHeight="1" x14ac:dyDescent="0.25">
      <c r="A51" s="5" t="str">
        <f>HYPERLINK("#'Constants - Common Livestock'!A1", "Constants - Common Livestock")</f>
        <v>Constants - Common Livestock</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229</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229</v>
      </c>
      <c r="AG51" s="26"/>
      <c r="AH51" s="26"/>
    </row>
    <row r="52" spans="1:34" ht="20.100000000000001" customHeight="1" x14ac:dyDescent="0.25">
      <c r="A52" s="5" t="str">
        <f>HYPERLINK("#'Constants - Electricity'!A1", "Constants - Electricity")</f>
        <v>Constants - Electricity</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229</v>
      </c>
      <c r="AG52" s="26"/>
      <c r="AH52" s="26"/>
    </row>
    <row r="53" spans="1:34" ht="20.100000000000001" customHeight="1" x14ac:dyDescent="0.25">
      <c r="A53" s="5" t="str">
        <f>HYPERLINK("#'Constants - Fertiliser'!A1", "Constants - Fertiliser")</f>
        <v>Constants - Fertiliser</v>
      </c>
      <c r="D53" s="109" t="s">
        <v>276</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229</v>
      </c>
      <c r="AG53" s="26"/>
      <c r="AH53" s="26"/>
    </row>
    <row r="54" spans="1:34" ht="20.100000000000001" customHeight="1" x14ac:dyDescent="0.25">
      <c r="A54" s="5" t="str">
        <f>HYPERLINK("#'Constants - Fuel'!A1", "Constants - Fuel")</f>
        <v>Constants - Fuel</v>
      </c>
      <c r="D54" s="110" t="s">
        <v>277</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229</v>
      </c>
      <c r="AG54" s="26"/>
      <c r="AH54" s="26"/>
    </row>
    <row r="55" spans="1:34" ht="20.100000000000001" customHeight="1" x14ac:dyDescent="0.25">
      <c r="A55" s="5" t="str">
        <f>HYPERLINK("#'Constants - Scope 3'!A1", "Constants - Scope 3")</f>
        <v>Constants - Scope 3</v>
      </c>
      <c r="D55" s="111" t="s">
        <v>77</v>
      </c>
      <c r="E55" s="112" t="s">
        <v>211</v>
      </c>
      <c r="F55" s="112" t="s">
        <v>201</v>
      </c>
      <c r="G55" s="112" t="s">
        <v>212</v>
      </c>
      <c r="H55" s="112" t="s">
        <v>213</v>
      </c>
      <c r="I55" s="112" t="s">
        <v>214</v>
      </c>
      <c r="J55" s="112" t="s">
        <v>215</v>
      </c>
      <c r="K55" s="112" t="s">
        <v>216</v>
      </c>
      <c r="L55" s="112" t="s">
        <v>217</v>
      </c>
      <c r="M55" s="112" t="s">
        <v>218</v>
      </c>
      <c r="N55" s="112" t="s">
        <v>219</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229</v>
      </c>
      <c r="AG55" s="26"/>
      <c r="AH55" s="26"/>
    </row>
    <row r="56" spans="1:34" ht="20.100000000000001" customHeight="1" x14ac:dyDescent="0.25">
      <c r="A56" s="5" t="str">
        <f>HYPERLINK("#'Constants - Common'!A1", "Constants - Common")</f>
        <v>Constants - Common</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229</v>
      </c>
      <c r="P56" s="26"/>
      <c r="Q56" s="26"/>
      <c r="AG56" s="26"/>
      <c r="AH56" s="26"/>
    </row>
    <row r="57" spans="1:34" ht="20.100000000000001" customHeight="1" x14ac:dyDescent="0.25">
      <c r="A57" s="5" t="str">
        <f>HYPERLINK("#'Acknowledgements'!A1", "Acknowledgements")</f>
        <v>Acknowledgements</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229</v>
      </c>
      <c r="P57" s="26"/>
      <c r="Q57" s="26"/>
      <c r="U57" s="109" t="s">
        <v>278</v>
      </c>
      <c r="AG57" s="26"/>
      <c r="AH57" s="26"/>
    </row>
    <row r="58" spans="1:34" ht="20.100000000000001" customHeight="1" x14ac:dyDescent="0.25">
      <c r="A58" s="5" t="str">
        <f>HYPERLINK("#'Constants - Solid Waste'!A1", "Constants - Solid Waste")</f>
        <v>Constants - Solid Waste</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229</v>
      </c>
      <c r="P58" s="26"/>
      <c r="Q58" s="26"/>
      <c r="U58" s="110" t="s">
        <v>279</v>
      </c>
      <c r="AG58" s="26"/>
      <c r="AH58" s="26"/>
    </row>
    <row r="59" spans="1: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229</v>
      </c>
      <c r="P59" s="26"/>
      <c r="Q59" s="26"/>
      <c r="U59" s="111" t="s">
        <v>76</v>
      </c>
      <c r="V59" s="112" t="s">
        <v>211</v>
      </c>
      <c r="W59" s="112" t="s">
        <v>201</v>
      </c>
      <c r="X59" s="112" t="s">
        <v>212</v>
      </c>
      <c r="Y59" s="112" t="s">
        <v>213</v>
      </c>
      <c r="Z59" s="112" t="s">
        <v>214</v>
      </c>
      <c r="AA59" s="112" t="s">
        <v>215</v>
      </c>
      <c r="AB59" s="112" t="s">
        <v>216</v>
      </c>
      <c r="AC59" s="112" t="s">
        <v>217</v>
      </c>
      <c r="AD59" s="112" t="s">
        <v>218</v>
      </c>
      <c r="AE59" s="112" t="s">
        <v>219</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231</v>
      </c>
      <c r="AG60" s="26"/>
      <c r="AH60" s="26"/>
    </row>
    <row r="61" spans="1:34" ht="20.100000000000001" customHeight="1" x14ac:dyDescent="0.25">
      <c r="D61" s="109" t="s">
        <v>280</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231</v>
      </c>
      <c r="AG61" s="26"/>
      <c r="AH61" s="26"/>
    </row>
    <row r="62" spans="1:34" ht="20.100000000000001" customHeight="1" x14ac:dyDescent="0.25">
      <c r="D62" s="110" t="s">
        <v>281</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231</v>
      </c>
      <c r="AG62" s="26"/>
      <c r="AH62" s="26"/>
    </row>
    <row r="63" spans="1:34" ht="20.100000000000001" customHeight="1" x14ac:dyDescent="0.25">
      <c r="D63" s="111" t="s">
        <v>77</v>
      </c>
      <c r="E63" s="111" t="s">
        <v>211</v>
      </c>
      <c r="F63" s="111" t="s">
        <v>201</v>
      </c>
      <c r="G63" s="111" t="s">
        <v>212</v>
      </c>
      <c r="H63" s="111" t="s">
        <v>213</v>
      </c>
      <c r="I63" s="111" t="s">
        <v>214</v>
      </c>
      <c r="J63" s="111" t="s">
        <v>215</v>
      </c>
      <c r="K63" s="111" t="s">
        <v>216</v>
      </c>
      <c r="L63" s="111" t="s">
        <v>217</v>
      </c>
      <c r="M63" s="111" t="s">
        <v>218</v>
      </c>
      <c r="N63" s="111" t="s">
        <v>219</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231</v>
      </c>
      <c r="AG63" s="26"/>
      <c r="AH63" s="26"/>
    </row>
    <row r="64" spans="1:34" ht="20.100000000000001" customHeight="1" x14ac:dyDescent="0.25">
      <c r="D64" s="25" t="s">
        <v>220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231</v>
      </c>
    </row>
    <row r="65" spans="3:34" ht="20.100000000000001" customHeight="1" x14ac:dyDescent="0.25">
      <c r="D65" s="25" t="s">
        <v>221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231</v>
      </c>
    </row>
    <row r="66" spans="3:34" ht="20.100000000000001" customHeight="1" x14ac:dyDescent="0.25">
      <c r="D66" s="25" t="s">
        <v>222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231</v>
      </c>
    </row>
    <row r="67" spans="3:34" ht="20.100000000000001" customHeight="1" x14ac:dyDescent="0.25">
      <c r="D67" s="25" t="s">
        <v>223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231</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231</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231</v>
      </c>
      <c r="AG69" s="26"/>
      <c r="AH69" s="26"/>
    </row>
    <row r="70" spans="3:34" ht="20.100000000000001" customHeight="1" x14ac:dyDescent="0.25">
      <c r="C70" s="113"/>
      <c r="D70" s="113"/>
      <c r="E70" s="113"/>
      <c r="F70" s="113"/>
      <c r="G70" s="113"/>
      <c r="H70" s="113"/>
      <c r="I70" s="113"/>
      <c r="J70" s="113"/>
      <c r="K70" s="113"/>
      <c r="L70" s="113"/>
      <c r="M70" s="113"/>
      <c r="N70" s="113"/>
      <c r="O70" s="113"/>
      <c r="P70" s="113"/>
      <c r="Q70" s="113"/>
      <c r="R70" s="113"/>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231</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231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0" t="s">
        <v>259</v>
      </c>
      <c r="E73" s="100" t="str" cm="1">
        <f t="array" aca="1" ref="E73" ca="1">Common_InputFunctions.Utility_DisplayFunctionName(E85)</f>
        <v>=EntericMethane_PastureBeef_Equations.VEERG_3_2_1_1__2_DailyEntericMethaneProduction</v>
      </c>
      <c r="U73" s="109" t="s">
        <v>282</v>
      </c>
      <c r="AG73" s="26"/>
      <c r="AH73" s="26"/>
    </row>
    <row r="74" spans="3:34" ht="20.100000000000001" customHeight="1" x14ac:dyDescent="0.25">
      <c r="U74" s="110" t="s">
        <v>283</v>
      </c>
      <c r="AG74" s="26"/>
      <c r="AH74" s="26"/>
    </row>
    <row r="75" spans="3:34" ht="20.100000000000001" customHeight="1" x14ac:dyDescent="0.25">
      <c r="U75" s="111" t="s">
        <v>76</v>
      </c>
      <c r="V75" s="111" t="s">
        <v>211</v>
      </c>
      <c r="W75" s="111" t="s">
        <v>201</v>
      </c>
      <c r="X75" s="111" t="s">
        <v>212</v>
      </c>
      <c r="Y75" s="111" t="s">
        <v>213</v>
      </c>
      <c r="Z75" s="111" t="s">
        <v>214</v>
      </c>
      <c r="AA75" s="111" t="s">
        <v>215</v>
      </c>
      <c r="AB75" s="111" t="s">
        <v>216</v>
      </c>
      <c r="AC75" s="111" t="s">
        <v>217</v>
      </c>
      <c r="AD75" s="111" t="s">
        <v>218</v>
      </c>
      <c r="AE75" s="111" t="s">
        <v>219</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261</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2" t="str" cm="1">
        <f t="array" ref="D80:E80">_xlfn.CHOOSECOLS(EntericMethane_PastureBeef_Equations.VEERG_3_2_1_1__2_DailyEntericMethaneProduction_Arguments(), 1, 2)</f>
        <v>I_jkl</v>
      </c>
      <c r="E80" s="103" t="str">
        <v>dry matter intake</v>
      </c>
      <c r="F80" s="105"/>
      <c r="G80" s="102" t="str" cm="1">
        <f t="array" ref="G80:H80">_xlfn.CHOOSECOLS(EntericMethane_PastureBeef_Equations.VEERG_3_2_1_1__2_DailyEntericMethaneProduction_Arguments(), 3,4)</f>
        <v>kg DM/head/day</v>
      </c>
      <c r="H80" s="107" t="str">
        <v>Calculated from 3.2.1.1, (3)</v>
      </c>
      <c r="I80" s="108"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09" t="s">
        <v>284</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0" t="s">
        <v>285</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5.9278127841000021</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1" t="s">
        <v>77</v>
      </c>
      <c r="E84" s="111" t="s">
        <v>211</v>
      </c>
      <c r="F84" s="111" t="s">
        <v>201</v>
      </c>
      <c r="G84" s="111" t="s">
        <v>212</v>
      </c>
      <c r="H84" s="111" t="s">
        <v>213</v>
      </c>
      <c r="I84" s="111" t="s">
        <v>214</v>
      </c>
      <c r="J84" s="111" t="s">
        <v>215</v>
      </c>
      <c r="K84" s="111" t="s">
        <v>216</v>
      </c>
      <c r="L84" s="111" t="s">
        <v>217</v>
      </c>
      <c r="M84" s="111" t="s">
        <v>218</v>
      </c>
      <c r="N84" s="111" t="s">
        <v>219</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8.6730839001000017</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220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8.6730839001000017</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221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8.6730839001000017</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222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223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3"/>
      <c r="D91" s="113"/>
      <c r="E91" s="113"/>
      <c r="F91" s="113"/>
      <c r="G91" s="113"/>
      <c r="H91" s="113"/>
      <c r="I91" s="113"/>
      <c r="J91" s="113"/>
      <c r="K91" s="113"/>
      <c r="L91" s="113"/>
      <c r="M91" s="113"/>
      <c r="N91" s="113"/>
      <c r="O91" s="113"/>
      <c r="P91" s="113"/>
      <c r="Q91" s="113"/>
      <c r="R91" s="113"/>
      <c r="T91" s="113"/>
      <c r="U91" s="113"/>
      <c r="V91" s="113"/>
      <c r="W91" s="113"/>
      <c r="X91" s="113"/>
      <c r="Y91" s="113"/>
      <c r="Z91" s="113"/>
      <c r="AA91" s="113"/>
      <c r="AB91" s="113"/>
      <c r="AC91" s="113"/>
      <c r="AD91" s="113"/>
      <c r="AE91" s="113"/>
      <c r="AF91" s="113"/>
      <c r="AG91" s="113"/>
      <c r="AH91" s="113"/>
      <c r="AI91" s="113"/>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0" t="s">
        <v>259</v>
      </c>
      <c r="E94" s="100" t="str" cm="1">
        <f t="array" aca="1" ref="E94" ca="1">Common_InputFunctions.Utility_DisplayFunctionName(E123)</f>
        <v>=EntericMethane_PastureBeef_Equations.VEERG_3_2_1_1__1_TotalAnnualMethaneFromEntericFermentation</v>
      </c>
      <c r="U94" s="109" t="s">
        <v>286</v>
      </c>
    </row>
    <row r="95" spans="3:35" ht="20.100000000000001" customHeight="1" x14ac:dyDescent="0.25">
      <c r="U95" s="110" t="s">
        <v>287</v>
      </c>
    </row>
    <row r="96" spans="3:35" ht="20.100000000000001" customHeight="1" x14ac:dyDescent="0.25">
      <c r="U96" s="111" t="s">
        <v>76</v>
      </c>
      <c r="V96" s="111" t="s">
        <v>211</v>
      </c>
      <c r="W96" s="111" t="s">
        <v>201</v>
      </c>
      <c r="X96" s="111" t="s">
        <v>212</v>
      </c>
      <c r="Y96" s="111" t="s">
        <v>213</v>
      </c>
      <c r="Z96" s="111" t="s">
        <v>214</v>
      </c>
      <c r="AA96" s="111" t="s">
        <v>215</v>
      </c>
      <c r="AB96" s="111" t="s">
        <v>216</v>
      </c>
      <c r="AC96" s="111" t="s">
        <v>217</v>
      </c>
      <c r="AD96" s="111" t="s">
        <v>218</v>
      </c>
      <c r="AE96" s="111" t="s">
        <v>219</v>
      </c>
    </row>
    <row r="97" spans="4:35" ht="20.100000000000001" customHeight="1" x14ac:dyDescent="0.25">
      <c r="D97" s="88" t="s">
        <v>261</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2" t="str" cm="1">
        <f t="array" ref="D100:E102">_xlfn.CHOOSECOLS(EntericMethane_PastureBeef_Equations.VEERG_3_2_1_1__1_TotalAnnualMethaneFromEntericFermentation_Arguments(), 1, 2)</f>
        <v>D_j</v>
      </c>
      <c r="E100" s="103" t="str">
        <v>number of days the animal is on the farm in each time-period</v>
      </c>
      <c r="F100" s="105"/>
      <c r="G100" s="102" t="str" cm="1">
        <f t="array" ref="G100:H102">_xlfn.CHOOSECOLS(EntericMethane_PastureBeef_Equations.VEERG_3_2_1_1__1_TotalAnnualMethaneFromEntericFermentation_Arguments(), 3,4)</f>
        <v>days</v>
      </c>
      <c r="H100" s="106" t="str">
        <v>Input</v>
      </c>
      <c r="I100" s="108"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2" t="str">
        <v>M_jkl</v>
      </c>
      <c r="E101" s="103" t="str">
        <v>daily production of enteric methane in each time-period, class and subclass</v>
      </c>
      <c r="F101" s="105"/>
      <c r="G101" s="102" t="str">
        <v>kg CH4/head/day</v>
      </c>
      <c r="H101" s="107" t="str">
        <v>Calculated from 3.2.1.1, (2)</v>
      </c>
      <c r="I101" s="108"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2" t="str">
        <v>N_jkl</v>
      </c>
      <c r="E102" s="103" t="str">
        <v>number of beef cattle in each time-period, class and subclass</v>
      </c>
      <c r="F102" s="105"/>
      <c r="G102" s="102" t="str">
        <v>head</v>
      </c>
      <c r="H102" s="106" t="str">
        <v>Input</v>
      </c>
      <c r="I102" s="108"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09" t="s">
        <v>288</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0.12270572463087004</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0" t="s">
        <v>289</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0.17953283673207002</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1" t="s">
        <v>77</v>
      </c>
      <c r="E106" s="112" t="s">
        <v>211</v>
      </c>
      <c r="F106" s="112" t="s">
        <v>201</v>
      </c>
      <c r="G106" s="112" t="s">
        <v>212</v>
      </c>
      <c r="H106" s="112" t="s">
        <v>213</v>
      </c>
      <c r="I106" s="112" t="s">
        <v>214</v>
      </c>
      <c r="J106" s="112" t="s">
        <v>215</v>
      </c>
      <c r="K106" s="112" t="s">
        <v>216</v>
      </c>
      <c r="L106" s="112" t="s">
        <v>217</v>
      </c>
      <c r="M106" s="112" t="s">
        <v>218</v>
      </c>
      <c r="N106" s="112" t="s">
        <v>219</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0.17953283673207002</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220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0.17953283673207002</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221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222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223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3"/>
      <c r="U111" s="113"/>
      <c r="V111" s="113"/>
      <c r="W111" s="113"/>
      <c r="X111" s="113"/>
      <c r="Y111" s="113"/>
      <c r="Z111" s="113"/>
      <c r="AA111" s="113"/>
      <c r="AB111" s="113"/>
      <c r="AC111" s="113"/>
      <c r="AD111" s="113"/>
      <c r="AE111" s="113"/>
      <c r="AF111" s="113"/>
      <c r="AG111" s="113"/>
      <c r="AH111" s="113"/>
      <c r="AI111" s="113"/>
    </row>
    <row r="112" spans="4:35" ht="20.100000000000001" customHeight="1" x14ac:dyDescent="0.25">
      <c r="D112" s="109" t="s">
        <v>290</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0" t="s">
        <v>291</v>
      </c>
    </row>
    <row r="114" spans="4:34"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U114" s="109" t="s">
        <v>292</v>
      </c>
    </row>
    <row r="115" spans="4:34" ht="20.100000000000001" customHeight="1" x14ac:dyDescent="0.25">
      <c r="D115" s="25" t="s">
        <v>220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0" t="s">
        <v>293</v>
      </c>
      <c r="AH115" s="26"/>
    </row>
    <row r="116" spans="4:34" ht="20.100000000000001" customHeight="1" x14ac:dyDescent="0.25">
      <c r="D116" s="25" t="s">
        <v>221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1" t="s">
        <v>76</v>
      </c>
      <c r="V116" s="112" t="s">
        <v>211</v>
      </c>
      <c r="W116" s="112" t="s">
        <v>201</v>
      </c>
      <c r="X116" s="112" t="s">
        <v>212</v>
      </c>
      <c r="Y116" s="112" t="s">
        <v>213</v>
      </c>
      <c r="Z116" s="112" t="s">
        <v>214</v>
      </c>
      <c r="AA116" s="112" t="s">
        <v>215</v>
      </c>
      <c r="AB116" s="112" t="s">
        <v>216</v>
      </c>
      <c r="AC116" s="112" t="s">
        <v>217</v>
      </c>
      <c r="AD116" s="112" t="s">
        <v>218</v>
      </c>
      <c r="AE116" s="112" t="s">
        <v>219</v>
      </c>
      <c r="AF116" s="26"/>
      <c r="AH116" s="26"/>
    </row>
    <row r="117" spans="4:34" ht="20.100000000000001" customHeight="1" x14ac:dyDescent="0.25">
      <c r="D117" s="25" t="s">
        <v>222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223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09" t="s">
        <v>294</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0" t="s">
        <v>295</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1" t="s">
        <v>77</v>
      </c>
      <c r="E122" s="111" t="s">
        <v>211</v>
      </c>
      <c r="F122" s="111" t="s">
        <v>201</v>
      </c>
      <c r="G122" s="111" t="s">
        <v>212</v>
      </c>
      <c r="H122" s="111" t="s">
        <v>213</v>
      </c>
      <c r="I122" s="111" t="s">
        <v>214</v>
      </c>
      <c r="J122" s="111" t="s">
        <v>215</v>
      </c>
      <c r="K122" s="111" t="s">
        <v>216</v>
      </c>
      <c r="L122" s="111" t="s">
        <v>217</v>
      </c>
      <c r="M122" s="111" t="s">
        <v>218</v>
      </c>
      <c r="N122" s="111" t="s">
        <v>219</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220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221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222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223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4" t="s">
        <v>296</v>
      </c>
      <c r="E128" s="115">
        <f ca="1">SUM(E123:N126)</f>
        <v>54.595755432192263</v>
      </c>
      <c r="F128" s="116"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17" t="str" cm="1">
        <f t="array" ref="D130:E131">Common_Equations.Common_ConvertCH4ToCO2e_Arguments()</f>
        <v>ECH4</v>
      </c>
      <c r="E130" s="118" t="str">
        <v>Methane emissions (t CH4)</v>
      </c>
      <c r="F130" s="119"/>
      <c r="G130" s="25">
        <f ca="1">E128</f>
        <v>54.595755432192263</v>
      </c>
      <c r="Q130" s="26"/>
      <c r="U130" s="109" t="s">
        <v>297</v>
      </c>
    </row>
    <row r="131" spans="4:34" ht="20.100000000000001" customHeight="1" x14ac:dyDescent="0.25">
      <c r="D131" s="117" t="str">
        <v>GWPCH4</v>
      </c>
      <c r="E131" s="118" t="str">
        <v>Global warming potential for methane (t CO2-e / t CH4)</v>
      </c>
      <c r="F131" s="119"/>
      <c r="G131" s="25">
        <f>Common_InputFunctions.Utility_LookupValueInTableNumber("CH4",Table_GWPData[Gas],Table_GWPData[CO2-e factor])</f>
        <v>28</v>
      </c>
      <c r="U131" s="110" t="s">
        <v>298</v>
      </c>
      <c r="AH131" s="26"/>
    </row>
    <row r="132" spans="4:34" ht="20.100000000000001" customHeight="1" x14ac:dyDescent="0.25">
      <c r="U132" s="111" t="s">
        <v>76</v>
      </c>
      <c r="V132" s="112" t="s">
        <v>211</v>
      </c>
      <c r="W132" s="112" t="s">
        <v>201</v>
      </c>
      <c r="X132" s="112" t="s">
        <v>212</v>
      </c>
      <c r="Y132" s="112" t="s">
        <v>213</v>
      </c>
      <c r="Z132" s="112" t="s">
        <v>214</v>
      </c>
      <c r="AA132" s="112" t="s">
        <v>215</v>
      </c>
      <c r="AB132" s="112" t="s">
        <v>216</v>
      </c>
      <c r="AC132" s="112" t="s">
        <v>217</v>
      </c>
      <c r="AD132" s="112" t="s">
        <v>218</v>
      </c>
      <c r="AE132" s="112" t="s">
        <v>219</v>
      </c>
      <c r="AF132" s="26"/>
      <c r="AH132" s="26"/>
    </row>
    <row r="133" spans="4:34" ht="20.100000000000001" customHeight="1" x14ac:dyDescent="0.25">
      <c r="D133" s="113" t="s">
        <v>299</v>
      </c>
      <c r="E133" s="113" cm="1">
        <f t="array" aca="1" ref="E133" ca="1">Common_Equations.Common_ConvertN2OToCO2e(G130,G131)</f>
        <v>1528.6811521013833</v>
      </c>
      <c r="F133" s="120"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09" t="s">
        <v>300</v>
      </c>
    </row>
    <row r="147" spans="21:32" ht="20.100000000000001" customHeight="1" x14ac:dyDescent="0.25">
      <c r="U147" s="110" t="s">
        <v>301</v>
      </c>
    </row>
    <row r="148" spans="21:32" ht="20.100000000000001" customHeight="1" x14ac:dyDescent="0.25">
      <c r="U148" s="111" t="s">
        <v>76</v>
      </c>
      <c r="V148" s="111" t="s">
        <v>211</v>
      </c>
      <c r="W148" s="111" t="s">
        <v>201</v>
      </c>
      <c r="X148" s="111" t="s">
        <v>212</v>
      </c>
      <c r="Y148" s="111" t="s">
        <v>213</v>
      </c>
      <c r="Z148" s="111" t="s">
        <v>214</v>
      </c>
      <c r="AA148" s="111" t="s">
        <v>215</v>
      </c>
      <c r="AB148" s="111" t="s">
        <v>216</v>
      </c>
      <c r="AC148" s="111" t="s">
        <v>217</v>
      </c>
      <c r="AD148" s="111" t="s">
        <v>218</v>
      </c>
      <c r="AE148" s="111" t="s">
        <v>219</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0.38038774635569711</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0.53859851019621008</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0.556551793869417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0.53859851019621008</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4" t="s">
        <v>296</v>
      </c>
      <c r="V161" s="115">
        <f ca="1">SUM(V149:AE160)</f>
        <v>54.699181903674365</v>
      </c>
      <c r="W161" s="116">
        <f ca="1">V140</f>
        <v>31</v>
      </c>
    </row>
    <row r="162" spans="21:24" ht="20.100000000000001" customHeight="1" x14ac:dyDescent="0.25"/>
    <row r="163" spans="21:24" ht="20.100000000000001" customHeight="1" x14ac:dyDescent="0.25">
      <c r="U163" s="117" t="str" cm="1">
        <f t="array" ref="U163:V164">Common_Equations.Common_ConvertCH4ToCO2e_Arguments()</f>
        <v>ECH4</v>
      </c>
      <c r="V163" s="118" t="str">
        <v>Methane emissions (t CH4)</v>
      </c>
      <c r="W163" s="119"/>
      <c r="X163" s="25">
        <f ca="1">V161</f>
        <v>54.699181903674365</v>
      </c>
    </row>
    <row r="164" spans="21:24" ht="20.100000000000001" customHeight="1" x14ac:dyDescent="0.25">
      <c r="U164" s="117" t="str">
        <v>GWPCH4</v>
      </c>
      <c r="V164" s="118" t="str">
        <v>Global warming potential for methane (t CO2-e / t CH4)</v>
      </c>
      <c r="W164" s="119"/>
      <c r="X164" s="25">
        <f>Common_InputFunctions.Utility_LookupValueInTableNumber("CH4",Table_GWPData[Gas],Table_GWPData[CO2-e factor])</f>
        <v>28</v>
      </c>
    </row>
    <row r="165" spans="21:24" ht="20.100000000000001" customHeight="1" x14ac:dyDescent="0.25"/>
    <row r="166" spans="21:24" ht="20.100000000000001" customHeight="1" x14ac:dyDescent="0.25">
      <c r="U166" s="113" t="s">
        <v>299</v>
      </c>
      <c r="V166" s="113" cm="1">
        <f t="array" aca="1" ref="V166" ca="1">Common_Equations.Common_ConvertN2OToCO2e(X163,X164)</f>
        <v>1531.5770933028823</v>
      </c>
      <c r="W166" s="120"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80BDF6D2-4689-4423-9627-3D64E9FA621D}"/>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48EA5-571D-4839-B902-09F91F55B97D}">
  <dimension ref="A1:AK281"/>
  <sheetViews>
    <sheetView showGridLines="0" topLeftCell="A20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390</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0" t="s">
        <v>259</v>
      </c>
      <c r="E7" s="100" t="s">
        <v>260</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09" t="s">
        <v>262</v>
      </c>
      <c r="W19" s="109" t="s">
        <v>264</v>
      </c>
    </row>
    <row r="20" spans="1:36" ht="20.100000000000001" customHeight="1" x14ac:dyDescent="0.25">
      <c r="A20" s="5" t="str">
        <f>HYPERLINK("#'Input - Farm Inputs'!A1", "Farm Inputs")</f>
        <v>Farm Inputs</v>
      </c>
      <c r="D20" s="110" t="s">
        <v>263</v>
      </c>
      <c r="W20" s="110" t="s">
        <v>265</v>
      </c>
    </row>
    <row r="21" spans="1:36" ht="20.100000000000001" customHeight="1" x14ac:dyDescent="0.25">
      <c r="A21" s="5" t="str">
        <f>HYPERLINK("#'Input - Freight'!A1", "Freight")</f>
        <v>Freight</v>
      </c>
      <c r="D21" s="111" t="s">
        <v>77</v>
      </c>
      <c r="E21" s="112" t="s">
        <v>233</v>
      </c>
      <c r="F21" s="112" t="s">
        <v>213</v>
      </c>
      <c r="G21" s="112" t="s">
        <v>214</v>
      </c>
      <c r="H21" s="112" t="s">
        <v>215</v>
      </c>
      <c r="W21" s="111" t="s">
        <v>76</v>
      </c>
      <c r="X21" s="112" t="s">
        <v>213</v>
      </c>
      <c r="Y21" s="112" t="s">
        <v>214</v>
      </c>
      <c r="Z21" s="112" t="s">
        <v>215</v>
      </c>
    </row>
    <row r="22" spans="1:36" ht="20.100000000000001" customHeight="1" x14ac:dyDescent="0.25">
      <c r="A22" s="5" t="str">
        <f>HYPERLINK("#'Input - Manure sent off-site'!A1", "Manure sent off-site")</f>
        <v>Manure sent off-site</v>
      </c>
      <c r="D22" s="25" t="s">
        <v>220</v>
      </c>
      <c r="E22" s="25" t="str">
        <f>'Input - Pasture Beef'!$E112</f>
        <v>Yes</v>
      </c>
      <c r="F22" s="172">
        <f>'Input - Pasture Beef'!$F112</f>
        <v>0.1</v>
      </c>
      <c r="G22" s="172">
        <f>'Input - Pasture Beef'!$G112</f>
        <v>0.4</v>
      </c>
      <c r="H22" s="172">
        <f>'Input - Pasture Beef'!$H112</f>
        <v>0.4</v>
      </c>
      <c r="I22" s="26" t="s">
        <v>266</v>
      </c>
      <c r="W22" s="25" t="str">
        <f>TEXT(EDATE('Input - Pasture Beef'!$D$125,0), "mmmm") &amp; ", " &amp; TEXT(EDATE('Input - Pasture Beef'!$D$126,0), "mmmm") &amp; ", " &amp; TEXT(EDATE('Input - Pasture Beef'!$D$127,0), "mmmm")</f>
        <v>August, September, October</v>
      </c>
      <c r="X22" s="172">
        <f>'Input - Pasture Beef'!$E$128</f>
        <v>0.75</v>
      </c>
      <c r="Y22" s="172">
        <f>'Input - Pasture Beef'!$F$128</f>
        <v>0.75</v>
      </c>
      <c r="Z22" s="172">
        <f>'Input - Pasture Beef'!$G$128</f>
        <v>0.75</v>
      </c>
      <c r="AA22" s="26" t="s">
        <v>266</v>
      </c>
    </row>
    <row r="23" spans="1:36" ht="20.100000000000001" customHeight="1" x14ac:dyDescent="0.25">
      <c r="A23" s="5" t="str">
        <f>HYPERLINK("#'Input - Solid waste'!A1", "Solid waste")</f>
        <v>Solid waste</v>
      </c>
      <c r="D23" s="25" t="s">
        <v>221</v>
      </c>
      <c r="E23" s="25" t="str">
        <f>'Input - Pasture Beef'!$E113</f>
        <v>Yes</v>
      </c>
      <c r="F23" s="172">
        <f>'Input - Pasture Beef'!$F113</f>
        <v>0.1</v>
      </c>
      <c r="G23" s="172">
        <f>'Input - Pasture Beef'!$G113</f>
        <v>0</v>
      </c>
      <c r="H23" s="172">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D24" s="25" t="s">
        <v>222</v>
      </c>
      <c r="E24" s="25" t="str">
        <f>'Input - Pasture Beef'!$E114</f>
        <v>No</v>
      </c>
      <c r="F24" s="172">
        <f>'Input - Pasture Beef'!$F114</f>
        <v>0</v>
      </c>
      <c r="G24" s="172">
        <f>'Input - Pasture Beef'!$G114</f>
        <v>0</v>
      </c>
      <c r="H24" s="172">
        <f>'Input - Pasture Beef'!$H114</f>
        <v>0</v>
      </c>
      <c r="AA24" s="26"/>
    </row>
    <row r="25" spans="1:36" ht="20.100000000000001" customHeight="1" x14ac:dyDescent="0.25">
      <c r="D25" s="25" t="s">
        <v>223</v>
      </c>
      <c r="E25" s="25" t="str">
        <f>'Input - Pasture Beef'!$E112</f>
        <v>Yes</v>
      </c>
      <c r="F25" s="172">
        <f>'Input - Pasture Beef'!$F$111</f>
        <v>0.7</v>
      </c>
      <c r="G25" s="172">
        <f>'Input - Pasture Beef'!$G$111</f>
        <v>0.5</v>
      </c>
      <c r="H25" s="172">
        <f>'Input - Pasture Beef'!$H$111</f>
        <v>0.5</v>
      </c>
      <c r="W25" s="109" t="s">
        <v>270</v>
      </c>
    </row>
    <row r="26" spans="1:36" ht="20.100000000000001" customHeight="1" x14ac:dyDescent="0.25">
      <c r="A26" s="6" t="s">
        <v>2</v>
      </c>
      <c r="W26" s="110" t="s">
        <v>271</v>
      </c>
    </row>
    <row r="27" spans="1:36" ht="20.100000000000001" customHeight="1" x14ac:dyDescent="0.25">
      <c r="A27" s="5" t="str">
        <f>HYPERLINK("#'3.2.1.1-2 Enteric Methane'!A1", "3.2.1.1-2 Enteric methane")</f>
        <v>3.2.1.1-2 Enteric methane</v>
      </c>
      <c r="D27" s="109" t="s">
        <v>267</v>
      </c>
      <c r="W27" s="111" t="s">
        <v>76</v>
      </c>
      <c r="X27" s="111" t="s">
        <v>233</v>
      </c>
      <c r="Y27" s="111" t="s">
        <v>269</v>
      </c>
      <c r="Z27" s="111" t="s">
        <v>211</v>
      </c>
      <c r="AA27" s="111" t="s">
        <v>201</v>
      </c>
      <c r="AB27" s="111" t="s">
        <v>212</v>
      </c>
      <c r="AC27" s="111" t="s">
        <v>213</v>
      </c>
      <c r="AD27" s="111" t="s">
        <v>214</v>
      </c>
      <c r="AE27" s="111" t="s">
        <v>215</v>
      </c>
      <c r="AF27" s="111" t="s">
        <v>216</v>
      </c>
      <c r="AG27" s="111" t="s">
        <v>217</v>
      </c>
      <c r="AH27" s="111" t="s">
        <v>218</v>
      </c>
      <c r="AI27" s="111" t="s">
        <v>219</v>
      </c>
    </row>
    <row r="28" spans="1:36" ht="20.100000000000001" customHeight="1" x14ac:dyDescent="0.25">
      <c r="A28" s="101" t="str">
        <f>HYPERLINK("#'4.2.1.1-2 Methane'!A1", "4.2.1.1-2 Manure methane")</f>
        <v>4.2.1.1-2 Manure methane</v>
      </c>
      <c r="D28" s="110" t="s">
        <v>268</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5" t="str">
        <f>HYPERLINK("#'4.2.1.3-4 Soil direct N20'!A1", "4.2.1.3-4 Soil direct N2O")</f>
        <v>4.2.1.3-4 Soil direct N2O</v>
      </c>
      <c r="D29" s="111" t="s">
        <v>77</v>
      </c>
      <c r="E29" s="111" t="s">
        <v>233</v>
      </c>
      <c r="F29" s="111" t="s">
        <v>378</v>
      </c>
      <c r="G29" s="111" t="s">
        <v>269</v>
      </c>
      <c r="H29" s="111" t="s">
        <v>269</v>
      </c>
      <c r="I29" s="111" t="s">
        <v>211</v>
      </c>
      <c r="J29" s="111" t="s">
        <v>201</v>
      </c>
      <c r="K29" s="111" t="s">
        <v>212</v>
      </c>
      <c r="L29" s="111" t="s">
        <v>213</v>
      </c>
      <c r="M29" s="111" t="s">
        <v>214</v>
      </c>
      <c r="N29" s="111" t="s">
        <v>215</v>
      </c>
      <c r="O29" s="111" t="s">
        <v>216</v>
      </c>
      <c r="P29" s="111" t="s">
        <v>217</v>
      </c>
      <c r="Q29" s="111" t="s">
        <v>218</v>
      </c>
      <c r="R29" s="111" t="s">
        <v>219</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HYPERLINK("#'4.2.1.5-6 Soil Atmos Dep'!A1", "4.2.1.5-6 Soil atm. deposition")</f>
        <v>4.2.1.5-6 Soil atm. deposition</v>
      </c>
      <c r="D30" s="25" t="s">
        <v>220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4" cm="1">
        <f t="array" ref="L30">EntericMethane_PastureBeef_Equations.VEERG_3_2_1_1__4_AdditionalIntakeForMilkProductionVariation(F22,F25,$G30,$H30)</f>
        <v>1.1000000000000001</v>
      </c>
      <c r="M30" s="124" cm="1">
        <f t="array" ref="M30">EntericMethane_PastureBeef_Equations.VEERG_3_2_1_1__4_AdditionalIntakeForMilkProductionVariation(G22,G25,$G30,$H30)</f>
        <v>1.17</v>
      </c>
      <c r="N30" s="124"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HYPERLINK("#'4.2.1.7-8 Soil leach runoff'!A1", "4.2.1.7-8 Soil leach &amp; runoff")</f>
        <v>4.2.1.7-8 Soil leach &amp; runoff</v>
      </c>
      <c r="D31" s="25" t="s">
        <v>221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4" cm="1">
        <f t="array" ref="L31">EntericMethane_PastureBeef_Equations.VEERG_3_2_1_1__4_AdditionalIntakeForMilkProductionVariation(F23,F22,$G31,$H31)</f>
        <v>1.04</v>
      </c>
      <c r="M31" s="124" cm="1">
        <f t="array" ref="M31">EntericMethane_PastureBeef_Equations.VEERG_3_2_1_1__4_AdditionalIntakeForMilkProductionVariation(G23,G22,$G31,$H31)</f>
        <v>1.04</v>
      </c>
      <c r="N31" s="124"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HYPERLINK("#'5.1.1.1-2 Inorganic fert N2O'!A1", "5.1.1.1-2 Inorganic fert N2O")</f>
        <v>5.1.1.1-2 Inorganic fert N2O</v>
      </c>
      <c r="D32" s="25" t="s">
        <v>222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4" cm="1">
        <f t="array" ref="L32">EntericMethane_PastureBeef_Equations.VEERG_3_2_1_1__4_AdditionalIntakeForMilkProductionVariation(F24,F23,$G32,$H32)</f>
        <v>1.01</v>
      </c>
      <c r="M32" s="124" cm="1">
        <f t="array" ref="M32">EntericMethane_PastureBeef_Equations.VEERG_3_2_1_1__4_AdditionalIntakeForMilkProductionVariation(G24,G23,$G32,$H32)</f>
        <v>1</v>
      </c>
      <c r="N32" s="124"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HYPERLINK("#'5.1.1.3-4 Inorganic fert CO2'!A1", "5.1.1.3-4 Inorganic fert CO2")</f>
        <v>5.1.1.3-4 Inorganic fert CO2</v>
      </c>
      <c r="D33" s="25" t="s">
        <v>223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4" cm="1">
        <f t="array" ref="L33">EntericMethane_PastureBeef_Equations.VEERG_3_2_1_1__4_AdditionalIntakeForMilkProductionVariation(F25,F24,$G33,$H33)</f>
        <v>1.21</v>
      </c>
      <c r="M33" s="124" cm="1">
        <f t="array" ref="M33">EntericMethane_PastureBeef_Equations.VEERG_3_2_1_1__4_AdditionalIntakeForMilkProductionVariation(G25,G24,$G33,$H33)</f>
        <v>1.1499999999999999</v>
      </c>
      <c r="N33" s="124"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HYPERLINK("#'5.2.1.1-2 Organic Fert N2O'!A1", "5.2.1.1-2 Organic fert N2O")</f>
        <v>5.2.1.1-2 Organic fert N2O</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HYPERLINK("#'5.3.1.1-2 Lime CO2'!A1", "5.3.1.1-2 Lime CO2")</f>
        <v>5.3.1.1-2 Lime CO2</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HYPERLINK("#'5.4.1.1-4 Atmos deposition'!A1", "5.4.1.1-4 Atmos. deposition")</f>
        <v>5.4.1.1-4 Atmos. deposition</v>
      </c>
      <c r="C36" s="113"/>
      <c r="D36" s="113"/>
      <c r="E36" s="113"/>
      <c r="F36" s="113"/>
      <c r="G36" s="113"/>
      <c r="H36" s="113"/>
      <c r="I36" s="113"/>
      <c r="J36" s="113"/>
      <c r="K36" s="113"/>
      <c r="L36" s="113"/>
      <c r="M36" s="113"/>
      <c r="N36" s="113"/>
      <c r="O36" s="113"/>
      <c r="P36" s="113"/>
      <c r="Q36" s="113"/>
      <c r="R36" s="113"/>
      <c r="S36" s="113"/>
      <c r="T36" s="113"/>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HYPERLINK("#'5.5.1.1-2 Leaching and runoff'!A1", "5.5.1.1-2 Leaching &amp; runoff")</f>
        <v>5.5.1.1-2 Leaching &amp; runoff</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HYPERLINK("#'6.2.1.1-2 Pasture residue N2O'!A1", "6.2.1.1-2 Pasture residue N2O")</f>
        <v>6.2.1.1-2 Pasture residue N2O</v>
      </c>
      <c r="D38" s="27" t="str" cm="1">
        <f t="array" ref="D38">EntericMethane_PastureBeef_Equations.VEERG_3_2_1_1__3_FeedIntakeForGrazingBeef_Source()</f>
        <v>VEERG 2026: 3.2.1.1, Equation (3)</v>
      </c>
      <c r="K38" s="1" t="s">
        <v>391</v>
      </c>
      <c r="L38" s="1" t="s">
        <v>392</v>
      </c>
      <c r="M38" s="1" t="s">
        <v>393</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HYPERLINK("#'6.3.1.1-2 Leach runoff pasture'!A1", "6.3.1.1-2 Leach &amp; runoff (pasture)")</f>
        <v>6.3.1.1-2 Leach &amp; runoff (pasture)</v>
      </c>
      <c r="D39" s="100" t="s">
        <v>259</v>
      </c>
      <c r="E39" s="100"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HYPERLINK("#'8.1.1.1-2 Transport fuel'!A1", "8.1.1.1-2 Transport fuel")</f>
        <v>8.1.1.1-2 Transport fuel</v>
      </c>
    </row>
    <row r="41" spans="1:36" ht="20.100000000000001" customHeight="1" x14ac:dyDescent="0.25">
      <c r="A41" s="5" t="str">
        <f>HYPERLINK("#'8.2.1.1-2 Stationary fuel'!A1", "8.2.1.1-2 Stationary fuel")</f>
        <v>8.2.1.1-2 Stationary fuel</v>
      </c>
      <c r="W41" s="109" t="s">
        <v>272</v>
      </c>
    </row>
    <row r="42" spans="1:36" ht="20.100000000000001" customHeight="1" x14ac:dyDescent="0.25">
      <c r="A42" s="5" t="str">
        <f>HYPERLINK("#'14.1.1-2 Purchased electricity'!A1", "14.1.1-2 Purchased electricity")</f>
        <v>14.1.1-2 Purchased electricity</v>
      </c>
      <c r="D42" s="88" t="s">
        <v>261</v>
      </c>
      <c r="E42" s="1" t="str" cm="1">
        <f t="array" ref="E42">EntericMethane_PastureBeef_Equations.VEERG_3_2_1_1__3_FeedIntakeForGrazingBeef_Variable()</f>
        <v>I_jkl</v>
      </c>
      <c r="W42" s="110" t="s">
        <v>273</v>
      </c>
    </row>
    <row r="43" spans="1:36" ht="20.100000000000001" customHeight="1" x14ac:dyDescent="0.25">
      <c r="A43" s="5" t="str">
        <f>HYPERLINK("#'15 Scope 3'!A1", "15 Scope 3")</f>
        <v>15 Scope 3</v>
      </c>
      <c r="D43" s="88" t="s">
        <v>131</v>
      </c>
      <c r="E43" s="15" t="str" cm="1">
        <f t="array" ref="E43">EntericMethane_PastureBeef_Equations.VEERG_3_2_1_1__3_FeedIntakeForGrazingBeef_Unit()</f>
        <v>kg DM/head/day</v>
      </c>
      <c r="W43" s="111" t="s">
        <v>76</v>
      </c>
      <c r="X43" s="112" t="s">
        <v>211</v>
      </c>
      <c r="Y43" s="112" t="s">
        <v>201</v>
      </c>
      <c r="Z43" s="112" t="s">
        <v>212</v>
      </c>
      <c r="AA43" s="112" t="s">
        <v>213</v>
      </c>
      <c r="AB43" s="112" t="s">
        <v>214</v>
      </c>
      <c r="AC43" s="112" t="s">
        <v>215</v>
      </c>
      <c r="AD43" s="112" t="s">
        <v>216</v>
      </c>
      <c r="AE43" s="112" t="s">
        <v>217</v>
      </c>
      <c r="AF43" s="112" t="s">
        <v>218</v>
      </c>
      <c r="AG43" s="112" t="s">
        <v>219</v>
      </c>
      <c r="AH43" s="26"/>
    </row>
    <row r="44" spans="1:36" ht="20.100000000000001" customHeight="1" x14ac:dyDescent="0.25">
      <c r="A44" s="5" t="str">
        <f>HYPERLINK("#'Calcs - Manure sent off-site'!A1", "Calcs - Manure sent off-site")</f>
        <v>Calcs - Manure sent off-site</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229</v>
      </c>
    </row>
    <row r="45" spans="1:36" ht="20.100000000000001" customHeight="1" x14ac:dyDescent="0.25">
      <c r="A45" s="5" t="str">
        <f>HYPERLINK("#'10.1.1-2 Solid waste treatment'!A1", "10.1.1-2 Solid waste treatment")</f>
        <v>10.1.1-2 Solid waste treatment</v>
      </c>
      <c r="D45" s="102" t="str" cm="1">
        <f t="array" ref="D45:E47">_xlfn.CHOOSECOLS(EntericMethane_PastureBeef_Equations.VEERG_3_2_1_1__3_FeedIntakeForGrazingBeef_Arguments(), 1, 2)</f>
        <v>W_jkl</v>
      </c>
      <c r="E45" s="103" t="str">
        <v>liveweight (kg)</v>
      </c>
      <c r="F45" s="105"/>
      <c r="G45" s="102" t="str" cm="1">
        <f t="array" ref="G45:H47">_xlfn.CHOOSECOLS(EntericMethane_PastureBeef_Equations.VEERG_3_2_1_1__3_FeedIntakeForGrazingBeef_Arguments(), 3,4)</f>
        <v>kg</v>
      </c>
      <c r="H45" s="106" t="str">
        <v>Input</v>
      </c>
      <c r="I45" s="108"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229</v>
      </c>
    </row>
    <row r="46" spans="1:36" ht="20.100000000000001" customHeight="1" x14ac:dyDescent="0.25">
      <c r="D46" s="102" t="str">
        <v>LWG_jkl</v>
      </c>
      <c r="E46" s="103" t="str">
        <v>live weight gain (kg/head/day)</v>
      </c>
      <c r="F46" s="105"/>
      <c r="G46" s="102" t="str">
        <v>kg/head/day</v>
      </c>
      <c r="H46" s="106" t="str">
        <v>Input</v>
      </c>
      <c r="I46" s="108"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229</v>
      </c>
    </row>
    <row r="47" spans="1:36" ht="20.100000000000001" customHeight="1" x14ac:dyDescent="0.25">
      <c r="D47" s="102" t="str">
        <v>MA_jk45</v>
      </c>
      <c r="E47" s="103" t="str">
        <v>additional intake for milk production in cows greater than 2 years</v>
      </c>
      <c r="F47" s="105"/>
      <c r="G47" s="102" t="str">
        <v>kg/head/day</v>
      </c>
      <c r="H47" s="107" t="str">
        <v>Calculated from 3.2.1.1, (4)</v>
      </c>
      <c r="I47" s="108"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229</v>
      </c>
    </row>
    <row r="48" spans="1:36" ht="20.100000000000001" customHeight="1" x14ac:dyDescent="0.25">
      <c r="A48" s="96" t="s">
        <v>1</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229</v>
      </c>
    </row>
    <row r="49" spans="1:36" ht="20.100000000000001" customHeight="1" x14ac:dyDescent="0.25">
      <c r="A49" s="5" t="str">
        <f>HYPERLINK("#'Constants - Pasture Beef'!A1", "Constants - Pasture Beef")</f>
        <v>Constants - Pasture Beef</v>
      </c>
      <c r="D49" s="109" t="s">
        <v>274</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229</v>
      </c>
    </row>
    <row r="50" spans="1:36" ht="20.100000000000001" customHeight="1" x14ac:dyDescent="0.25">
      <c r="A50" s="5" t="str">
        <f>HYPERLINK("#'Constants - Ag Residue'!A1", "Constants - Ag residue")</f>
        <v>Constants - Ag residue</v>
      </c>
      <c r="D50" s="110" t="s">
        <v>275</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229</v>
      </c>
    </row>
    <row r="51" spans="1:36" ht="20.100000000000001" customHeight="1" x14ac:dyDescent="0.25">
      <c r="A51" s="5" t="str">
        <f>HYPERLINK("#'Constants - Common Livestock'!A1", "Constants - Common Livestock")</f>
        <v>Constants - Common Livestock</v>
      </c>
      <c r="D51" s="111" t="s">
        <v>77</v>
      </c>
      <c r="E51" s="112" t="s">
        <v>211</v>
      </c>
      <c r="F51" s="112" t="s">
        <v>201</v>
      </c>
      <c r="G51" s="112" t="s">
        <v>212</v>
      </c>
      <c r="H51" s="112" t="s">
        <v>213</v>
      </c>
      <c r="I51" s="112" t="s">
        <v>214</v>
      </c>
      <c r="J51" s="112" t="s">
        <v>215</v>
      </c>
      <c r="K51" s="112" t="s">
        <v>216</v>
      </c>
      <c r="L51" s="112" t="s">
        <v>217</v>
      </c>
      <c r="M51" s="112" t="s">
        <v>218</v>
      </c>
      <c r="N51" s="112" t="s">
        <v>219</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229</v>
      </c>
      <c r="AI51" s="26"/>
      <c r="AJ51" s="26"/>
    </row>
    <row r="52" spans="1:36" ht="20.100000000000001" customHeight="1" x14ac:dyDescent="0.25">
      <c r="A52" s="5" t="str">
        <f>HYPERLINK("#'Constants - Electricity'!A1", "Constants - Electricity")</f>
        <v>Constants - Electricity</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229</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229</v>
      </c>
      <c r="AI52" s="26"/>
      <c r="AJ52" s="26"/>
    </row>
    <row r="53" spans="1:36" ht="20.100000000000001" customHeight="1" x14ac:dyDescent="0.25">
      <c r="A53" s="5" t="str">
        <f>HYPERLINK("#'Constants - Fertiliser'!A1", "Constants - Fertiliser")</f>
        <v>Constants - Fertiliser</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229</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229</v>
      </c>
      <c r="AI53" s="26"/>
      <c r="AJ53" s="26"/>
    </row>
    <row r="54" spans="1:36" ht="20.100000000000001" customHeight="1" x14ac:dyDescent="0.25">
      <c r="A54" s="5" t="str">
        <f>HYPERLINK("#'Constants - Fuel'!A1", "Constants - Fuel")</f>
        <v>Constants - Fuel</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229</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229</v>
      </c>
      <c r="AI54" s="26"/>
      <c r="AJ54" s="26"/>
    </row>
    <row r="55" spans="1:36" ht="20.100000000000001" customHeight="1" x14ac:dyDescent="0.25">
      <c r="A55" s="5" t="str">
        <f>HYPERLINK("#'Constants - Scope 3'!A1", "Constants - Scope 3")</f>
        <v>Constants - Scope 3</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229</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229</v>
      </c>
      <c r="AI55" s="26"/>
      <c r="AJ55" s="26"/>
    </row>
    <row r="56" spans="1:36" ht="20.100000000000001" customHeight="1" x14ac:dyDescent="0.25">
      <c r="A56" s="5" t="str">
        <f>HYPERLINK("#'Constants - Common'!A1", "Constants - Common")</f>
        <v>Constants - Common</v>
      </c>
      <c r="AI56" s="26"/>
      <c r="AJ56" s="26"/>
    </row>
    <row r="57" spans="1:36" ht="20.100000000000001" customHeight="1" x14ac:dyDescent="0.25">
      <c r="A57" s="5" t="str">
        <f>HYPERLINK("#'Acknowledgements'!A1", "Acknowledgements")</f>
        <v>Acknowledgements</v>
      </c>
      <c r="W57" s="109" t="s">
        <v>278</v>
      </c>
      <c r="AI57" s="26"/>
      <c r="AJ57" s="26"/>
    </row>
    <row r="58" spans="1:36" ht="20.100000000000001" customHeight="1" x14ac:dyDescent="0.25">
      <c r="A58" s="5" t="str">
        <f>HYPERLINK("#'Constants - Solid Waste'!A1", "Constants - Solid Waste")</f>
        <v>Constants - Solid Waste</v>
      </c>
      <c r="W58" s="110" t="s">
        <v>279</v>
      </c>
      <c r="AI58" s="26"/>
      <c r="AJ58" s="26"/>
    </row>
    <row r="59" spans="1:36" ht="20.100000000000001" customHeight="1" x14ac:dyDescent="0.25">
      <c r="W59" s="111" t="s">
        <v>76</v>
      </c>
      <c r="X59" s="112" t="s">
        <v>211</v>
      </c>
      <c r="Y59" s="112" t="s">
        <v>201</v>
      </c>
      <c r="Z59" s="112" t="s">
        <v>212</v>
      </c>
      <c r="AA59" s="112" t="s">
        <v>213</v>
      </c>
      <c r="AB59" s="112" t="s">
        <v>214</v>
      </c>
      <c r="AC59" s="112" t="s">
        <v>215</v>
      </c>
      <c r="AD59" s="112" t="s">
        <v>216</v>
      </c>
      <c r="AE59" s="112" t="s">
        <v>217</v>
      </c>
      <c r="AF59" s="112" t="s">
        <v>218</v>
      </c>
      <c r="AG59" s="112" t="s">
        <v>219</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231</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231</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231</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231</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231</v>
      </c>
    </row>
    <row r="65" spans="4:36" ht="20.100000000000001" customHeight="1" x14ac:dyDescent="0.25">
      <c r="D65" s="109" t="s">
        <v>276</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231</v>
      </c>
    </row>
    <row r="66" spans="4:36" ht="20.100000000000001" customHeight="1" x14ac:dyDescent="0.25">
      <c r="D66" s="110" t="s">
        <v>277</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231</v>
      </c>
    </row>
    <row r="67" spans="4:36" ht="20.100000000000001" customHeight="1" x14ac:dyDescent="0.25">
      <c r="D67" s="111" t="s">
        <v>77</v>
      </c>
      <c r="E67" s="112" t="s">
        <v>211</v>
      </c>
      <c r="F67" s="112" t="s">
        <v>201</v>
      </c>
      <c r="G67" s="112" t="s">
        <v>212</v>
      </c>
      <c r="H67" s="112" t="s">
        <v>213</v>
      </c>
      <c r="I67" s="112" t="s">
        <v>214</v>
      </c>
      <c r="J67" s="112" t="s">
        <v>215</v>
      </c>
      <c r="K67" s="112" t="s">
        <v>216</v>
      </c>
      <c r="L67" s="112" t="s">
        <v>217</v>
      </c>
      <c r="M67" s="112" t="s">
        <v>218</v>
      </c>
      <c r="N67" s="112" t="s">
        <v>219</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231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229</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231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229</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231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229</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231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229</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231</v>
      </c>
      <c r="AI71" s="26"/>
      <c r="AJ71" s="26"/>
    </row>
    <row r="72" spans="4:36" ht="20.100000000000001" customHeight="1" x14ac:dyDescent="0.25">
      <c r="AI72" s="26"/>
      <c r="AJ72" s="26"/>
    </row>
    <row r="73" spans="4:36" ht="20.100000000000001" customHeight="1" x14ac:dyDescent="0.25">
      <c r="W73" s="109" t="s">
        <v>282</v>
      </c>
      <c r="AI73" s="26"/>
      <c r="AJ73" s="26"/>
    </row>
    <row r="74" spans="4:36" ht="20.100000000000001" customHeight="1" x14ac:dyDescent="0.25">
      <c r="W74" s="110" t="s">
        <v>283</v>
      </c>
      <c r="AI74" s="26"/>
      <c r="AJ74" s="26"/>
    </row>
    <row r="75" spans="4:36" ht="20.100000000000001" customHeight="1" x14ac:dyDescent="0.25">
      <c r="W75" s="111" t="s">
        <v>76</v>
      </c>
      <c r="X75" s="111" t="s">
        <v>211</v>
      </c>
      <c r="Y75" s="111" t="s">
        <v>201</v>
      </c>
      <c r="Z75" s="111" t="s">
        <v>212</v>
      </c>
      <c r="AA75" s="111" t="s">
        <v>213</v>
      </c>
      <c r="AB75" s="111" t="s">
        <v>214</v>
      </c>
      <c r="AC75" s="111" t="s">
        <v>215</v>
      </c>
      <c r="AD75" s="111" t="s">
        <v>216</v>
      </c>
      <c r="AE75" s="111" t="s">
        <v>217</v>
      </c>
      <c r="AF75" s="111" t="s">
        <v>218</v>
      </c>
      <c r="AG75" s="111" t="s">
        <v>219</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09" t="s">
        <v>280</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0" t="s">
        <v>281</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1" t="s">
        <v>77</v>
      </c>
      <c r="E83" s="111" t="s">
        <v>211</v>
      </c>
      <c r="F83" s="111" t="s">
        <v>201</v>
      </c>
      <c r="G83" s="111" t="s">
        <v>212</v>
      </c>
      <c r="H83" s="111" t="s">
        <v>213</v>
      </c>
      <c r="I83" s="111" t="s">
        <v>214</v>
      </c>
      <c r="J83" s="111" t="s">
        <v>215</v>
      </c>
      <c r="K83" s="111" t="s">
        <v>216</v>
      </c>
      <c r="L83" s="111" t="s">
        <v>217</v>
      </c>
      <c r="M83" s="111" t="s">
        <v>218</v>
      </c>
      <c r="N83" s="111" t="s">
        <v>219</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220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221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222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223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3"/>
      <c r="D98" s="113"/>
      <c r="E98" s="113"/>
      <c r="F98" s="113"/>
      <c r="G98" s="113"/>
      <c r="H98" s="113"/>
      <c r="I98" s="113"/>
      <c r="J98" s="113"/>
      <c r="K98" s="113"/>
      <c r="L98" s="113"/>
      <c r="M98" s="113"/>
      <c r="N98" s="113"/>
      <c r="O98" s="113"/>
      <c r="P98" s="113"/>
      <c r="Q98" s="113"/>
      <c r="R98" s="113"/>
      <c r="S98" s="113"/>
      <c r="T98" s="113"/>
      <c r="V98" s="113"/>
      <c r="W98" s="113"/>
      <c r="X98" s="113"/>
      <c r="Y98" s="113"/>
      <c r="Z98" s="113"/>
      <c r="AA98" s="113"/>
      <c r="AB98" s="113"/>
      <c r="AC98" s="113"/>
      <c r="AD98" s="113"/>
      <c r="AE98" s="113"/>
      <c r="AF98" s="113"/>
      <c r="AG98" s="113"/>
      <c r="AH98" s="113"/>
      <c r="AI98" s="113"/>
      <c r="AJ98" s="113"/>
      <c r="AK98" s="113"/>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0" t="s">
        <v>259</v>
      </c>
      <c r="E101" s="100"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261</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2" t="str" cm="1">
        <f t="array" ref="D108:E110">_xlfn.CHOOSECOLS(MMS_PastureBeef_Methane_Equations.VEERG_4_2_1_1__3_VolatileSolidProductionFromGrazingBeef_Arguments(), 1, 2)</f>
        <v>I_jkl</v>
      </c>
      <c r="E108" s="103" t="str">
        <v>dry matter intake as calculated in Chapter 3 Section 3.2.1</v>
      </c>
      <c r="F108" s="105"/>
      <c r="G108" s="102" t="str" cm="1">
        <f t="array" ref="G108:H110">_xlfn.CHOOSECOLS(MMS_PastureBeef_Methane_Equations.VEERG_4_2_1_1__3_VolatileSolidProductionFromGrazingBeef_Arguments(), 3,4)</f>
        <v>kg/head/day</v>
      </c>
      <c r="H108" s="107" t="str">
        <v>Calculated from 3.2.1.1, (3)</v>
      </c>
      <c r="I108" s="108" t="str" cm="1">
        <f t="array" aca="1" ref="I108" ca="1">HYPERLINK(Common_InputFunctions.Utility_SourceHyperlink($D$81), $D$81)</f>
        <v>M1_Table_I_j_k_l</v>
      </c>
    </row>
    <row r="109" spans="3:37" ht="20.100000000000001" customHeight="1" x14ac:dyDescent="0.25">
      <c r="D109" s="102" t="str">
        <v>DMD_jkl</v>
      </c>
      <c r="E109" s="103" t="str">
        <v>dry matter digestibility expressed as a fraction</v>
      </c>
      <c r="F109" s="105"/>
      <c r="G109" s="102" t="str">
        <v>fraction</v>
      </c>
      <c r="H109" s="106" t="str">
        <v>Input</v>
      </c>
      <c r="I109" s="108" t="str" cm="1">
        <f t="array" aca="1" ref="I109" ca="1">HYPERLINK(Common_InputFunctions.Utility_SourceHyperlink($D$112), $D$112)</f>
        <v>M1_Table_DMD_j_k_l</v>
      </c>
    </row>
    <row r="110" spans="3:37" ht="20.100000000000001" customHeight="1" x14ac:dyDescent="0.25">
      <c r="D110" s="102" t="str">
        <v>A</v>
      </c>
      <c r="E110" s="103" t="str">
        <v>ash content of feed intake expressed as a fraction</v>
      </c>
      <c r="F110" s="105"/>
      <c r="G110" s="102" t="str">
        <v>fraction</v>
      </c>
      <c r="H110" s="107" t="str">
        <v>Constant</v>
      </c>
      <c r="I110" s="102">
        <f>SourceData_PastureBeef_AshContentOfFeedIntake_Data</f>
        <v>0.08</v>
      </c>
    </row>
    <row r="111" spans="3:37" ht="20.100000000000001" customHeight="1" x14ac:dyDescent="0.25"/>
    <row r="112" spans="3:37" ht="20.100000000000001" customHeight="1" x14ac:dyDescent="0.25">
      <c r="D112" s="109" t="s">
        <v>394</v>
      </c>
      <c r="W112" s="109" t="s">
        <v>395</v>
      </c>
    </row>
    <row r="113" spans="4:36" ht="20.100000000000001" customHeight="1" x14ac:dyDescent="0.25">
      <c r="D113" s="110" t="s">
        <v>396</v>
      </c>
      <c r="W113" s="110" t="s">
        <v>397</v>
      </c>
    </row>
    <row r="114" spans="4:36"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W114" s="111" t="s">
        <v>76</v>
      </c>
      <c r="X114" s="112" t="s">
        <v>211</v>
      </c>
      <c r="Y114" s="112" t="s">
        <v>201</v>
      </c>
      <c r="Z114" s="112" t="s">
        <v>212</v>
      </c>
      <c r="AA114" s="112" t="s">
        <v>213</v>
      </c>
      <c r="AB114" s="112" t="s">
        <v>214</v>
      </c>
      <c r="AC114" s="112" t="s">
        <v>215</v>
      </c>
      <c r="AD114" s="112" t="s">
        <v>216</v>
      </c>
      <c r="AE114" s="112" t="s">
        <v>217</v>
      </c>
      <c r="AF114" s="112" t="s">
        <v>218</v>
      </c>
      <c r="AG114" s="112" t="s">
        <v>219</v>
      </c>
    </row>
    <row r="115" spans="4:36" ht="20.100000000000001" customHeight="1" x14ac:dyDescent="0.25">
      <c r="D115" s="25" t="s">
        <v>220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250</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250</v>
      </c>
      <c r="AI115" s="26"/>
      <c r="AJ115" s="26"/>
    </row>
    <row r="116" spans="4:36" ht="20.100000000000001" customHeight="1" x14ac:dyDescent="0.25">
      <c r="D116" s="25" t="s">
        <v>221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250</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250</v>
      </c>
      <c r="AI116" s="26"/>
      <c r="AJ116" s="26"/>
    </row>
    <row r="117" spans="4:36" ht="20.100000000000001" customHeight="1" x14ac:dyDescent="0.25">
      <c r="D117" s="25" t="s">
        <v>222</v>
      </c>
      <c r="E117" s="25">
        <f ca="1"/>
        <v>0.5</v>
      </c>
      <c r="F117" s="25">
        <f ca="1"/>
        <v>0.5</v>
      </c>
      <c r="G117" s="25">
        <f ca="1"/>
        <v>0.5</v>
      </c>
      <c r="H117" s="25">
        <f ca="1"/>
        <v>0.5</v>
      </c>
      <c r="I117" s="25">
        <f ca="1"/>
        <v>0.5</v>
      </c>
      <c r="J117" s="25">
        <f ca="1"/>
        <v>0.5</v>
      </c>
      <c r="K117" s="25">
        <f ca="1"/>
        <v>0.5</v>
      </c>
      <c r="L117" s="25">
        <f ca="1"/>
        <v>0.5</v>
      </c>
      <c r="M117" s="25">
        <f ca="1"/>
        <v>0.5</v>
      </c>
      <c r="N117" s="25">
        <f ca="1"/>
        <v>0.5</v>
      </c>
      <c r="O117" s="26" t="s">
        <v>250</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250</v>
      </c>
      <c r="AI117" s="26"/>
      <c r="AJ117" s="26"/>
    </row>
    <row r="118" spans="4:36" ht="20.100000000000001" customHeight="1" x14ac:dyDescent="0.25">
      <c r="D118" s="25" t="s">
        <v>223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250</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250</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250</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250</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250</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250</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250</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250</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250</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250</v>
      </c>
      <c r="AI126" s="26"/>
      <c r="AJ126" s="26"/>
    </row>
    <row r="127" spans="4:36" ht="20.100000000000001" customHeight="1" x14ac:dyDescent="0.25"/>
    <row r="128" spans="4:36" ht="20.100000000000001" customHeight="1" x14ac:dyDescent="0.25">
      <c r="D128" s="109" t="s">
        <v>398</v>
      </c>
      <c r="W128" s="109" t="s">
        <v>399</v>
      </c>
    </row>
    <row r="129" spans="4:36" ht="20.100000000000001" customHeight="1" x14ac:dyDescent="0.25">
      <c r="D129" s="110" t="s">
        <v>400</v>
      </c>
      <c r="W129" s="110" t="s">
        <v>401</v>
      </c>
    </row>
    <row r="130" spans="4:36" ht="20.100000000000001" customHeight="1" x14ac:dyDescent="0.25">
      <c r="D130" s="111" t="s">
        <v>77</v>
      </c>
      <c r="E130" s="111" t="s">
        <v>211</v>
      </c>
      <c r="F130" s="111" t="s">
        <v>201</v>
      </c>
      <c r="G130" s="111" t="s">
        <v>212</v>
      </c>
      <c r="H130" s="111" t="s">
        <v>213</v>
      </c>
      <c r="I130" s="111" t="s">
        <v>214</v>
      </c>
      <c r="J130" s="111" t="s">
        <v>215</v>
      </c>
      <c r="K130" s="111" t="s">
        <v>216</v>
      </c>
      <c r="L130" s="111" t="s">
        <v>217</v>
      </c>
      <c r="M130" s="111" t="s">
        <v>218</v>
      </c>
      <c r="N130" s="111" t="s">
        <v>219</v>
      </c>
      <c r="W130" s="111" t="s">
        <v>76</v>
      </c>
      <c r="X130" s="111" t="s">
        <v>211</v>
      </c>
      <c r="Y130" s="111" t="s">
        <v>201</v>
      </c>
      <c r="Z130" s="111" t="s">
        <v>212</v>
      </c>
      <c r="AA130" s="111" t="s">
        <v>213</v>
      </c>
      <c r="AB130" s="111" t="s">
        <v>214</v>
      </c>
      <c r="AC130" s="111" t="s">
        <v>215</v>
      </c>
      <c r="AD130" s="111" t="s">
        <v>216</v>
      </c>
      <c r="AE130" s="111" t="s">
        <v>217</v>
      </c>
      <c r="AF130" s="111" t="s">
        <v>218</v>
      </c>
      <c r="AG130" s="111" t="s">
        <v>219</v>
      </c>
    </row>
    <row r="131" spans="4:36" ht="20.100000000000001" customHeight="1" x14ac:dyDescent="0.25">
      <c r="D131" s="25" t="s">
        <v>220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221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222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223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3"/>
      <c r="D145" s="113"/>
      <c r="E145" s="113"/>
      <c r="F145" s="113"/>
      <c r="G145" s="113"/>
      <c r="H145" s="113"/>
      <c r="I145" s="113"/>
      <c r="J145" s="113"/>
      <c r="K145" s="113"/>
      <c r="L145" s="113"/>
      <c r="M145" s="113"/>
      <c r="N145" s="113"/>
      <c r="O145" s="113"/>
      <c r="P145" s="113"/>
      <c r="Q145" s="113"/>
      <c r="R145" s="113"/>
      <c r="S145" s="113"/>
      <c r="T145" s="113"/>
      <c r="V145" s="113"/>
      <c r="W145" s="113"/>
      <c r="X145" s="113"/>
      <c r="Y145" s="113"/>
      <c r="Z145" s="113"/>
      <c r="AA145" s="113"/>
      <c r="AB145" s="113"/>
      <c r="AC145" s="113"/>
      <c r="AD145" s="113"/>
      <c r="AE145" s="113"/>
      <c r="AF145" s="113"/>
      <c r="AG145" s="113"/>
      <c r="AH145" s="113"/>
      <c r="AI145" s="113"/>
      <c r="AJ145" s="113"/>
      <c r="AK145" s="113"/>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0" t="s">
        <v>259</v>
      </c>
      <c r="E148" s="100"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261</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2" t="str" cm="1">
        <f t="array" ref="D154:E160">_xlfn.CHOOSECOLS(MMS_PastureBeef_Methane_Equations.VEERG_4_2_1_1__2_MethaneProductionFromManure_Arguments(), 1, 2)</f>
        <v>VS_jkl</v>
      </c>
      <c r="E154" s="103" t="str">
        <v>volatile solid production</v>
      </c>
      <c r="F154" s="105"/>
      <c r="G154" s="102" t="str" cm="1">
        <f t="array" ref="G154:H160">_xlfn.CHOOSECOLS(MMS_PastureBeef_Methane_Equations.VEERG_4_2_1_1__2_MethaneProductionFromManure_Arguments(), 3,4)</f>
        <v>kg/day</v>
      </c>
      <c r="H154" s="107" t="str">
        <v>Calculated from 4.2.1.1 (3)</v>
      </c>
      <c r="I154" s="108" t="str" cm="1">
        <f t="array" aca="1" ref="I154" ca="1">HYPERLINK(Common_InputFunctions.Utility_SourceHyperlink($D$128), $D$128)</f>
        <v>M1_Table_VS_j_k_l</v>
      </c>
      <c r="W154" s="102" t="str" cm="1">
        <f t="array" ref="W154:X159">_xlfn.CHOOSECOLS(MMS_PastureBeef_Methane_Equations.VEERG_4_2_1_1__2_MethaneProductionFromManure_Arguments_Method2(), 1, 2)</f>
        <v>VS_jkl</v>
      </c>
      <c r="X154" s="103" t="str">
        <v>volatile solid production</v>
      </c>
      <c r="Y154" s="105"/>
      <c r="Z154" s="102" t="str" cm="1">
        <f t="array" ref="Z154:AA159">_xlfn.CHOOSECOLS(MMS_PastureBeef_Methane_Equations.VEERG_4_2_1_1__2_MethaneProductionFromManure_Arguments_Method2(), 3,4)</f>
        <v>kg/day</v>
      </c>
      <c r="AA154" s="107" t="str">
        <v>Calculated from 4.2.1.1 (3)</v>
      </c>
      <c r="AB154" s="108"/>
    </row>
    <row r="155" spans="3:37" ht="20.100000000000001" customHeight="1" x14ac:dyDescent="0.25">
      <c r="D155" s="102" t="str">
        <v>B_o</v>
      </c>
      <c r="E155" s="103" t="str">
        <v>emissions potential</v>
      </c>
      <c r="F155" s="105"/>
      <c r="G155" s="102" t="str">
        <v>m3 CH4/kg VS</v>
      </c>
      <c r="H155" s="107" t="str">
        <v>Constant</v>
      </c>
      <c r="I155" s="102">
        <f>SourceData_PastureBeef_MethaneEmissionsPotential_Data</f>
        <v>0.19</v>
      </c>
      <c r="W155" s="102" t="str">
        <v>B_o</v>
      </c>
      <c r="X155" s="103" t="str">
        <v>emissions potential</v>
      </c>
      <c r="Y155" s="105"/>
      <c r="Z155" s="102" t="str">
        <v>m3 CH4/kg VS</v>
      </c>
      <c r="AA155" s="107" t="str">
        <v>Constant</v>
      </c>
      <c r="AB155" s="102"/>
    </row>
    <row r="156" spans="3:37" ht="20.100000000000001" customHeight="1" x14ac:dyDescent="0.25">
      <c r="D156" s="102" t="str">
        <v>MMS_m</v>
      </c>
      <c r="E156" s="103" t="str">
        <v>fraction of waste in each manure management system</v>
      </c>
      <c r="F156" s="105"/>
      <c r="G156" s="102" t="str">
        <v>fraction</v>
      </c>
      <c r="H156" s="106" t="str">
        <v>Input</v>
      </c>
      <c r="I156" s="108" t="str" cm="1">
        <f t="array" aca="1" ref="I156" ca="1">HYPERLINK(Common_InputFunctions.Utility_SourceHyperlink($D$162), $D$162)</f>
        <v>Table_MMS_m</v>
      </c>
      <c r="W156" s="102" t="str">
        <v>MMS_m</v>
      </c>
      <c r="X156" s="103" t="str">
        <v>fraction of waste in each manure management system</v>
      </c>
      <c r="Y156" s="105"/>
      <c r="Z156" s="102" t="str">
        <v>fraction</v>
      </c>
      <c r="AA156" s="106" t="str">
        <v>Input</v>
      </c>
      <c r="AB156" s="108"/>
    </row>
    <row r="157" spans="3:37" ht="20.100000000000001" customHeight="1" x14ac:dyDescent="0.25">
      <c r="D157" s="102" t="str">
        <v>MCF_im</v>
      </c>
      <c r="E157" s="103" t="str">
        <v>methane conversion factor for temperature zone and MMS</v>
      </c>
      <c r="F157" s="105"/>
      <c r="G157" s="102" t="str">
        <v>fraction</v>
      </c>
      <c r="H157" s="107" t="str">
        <v>Constant</v>
      </c>
      <c r="I157" s="108" t="str" cm="1">
        <f t="array" aca="1" ref="I157" ca="1">HYPERLINK(Common_InputFunctions.Utility_SourceHyperlink($D$168), $D$168)</f>
        <v>M1_Table_MCF_i_m</v>
      </c>
      <c r="W157" s="102" t="str">
        <v>MCF_im</v>
      </c>
      <c r="X157" s="103" t="str">
        <v>methane conversion factor for temperature zone and MMS</v>
      </c>
      <c r="Y157" s="105"/>
      <c r="Z157" s="102" t="str">
        <v>fraction</v>
      </c>
      <c r="AA157" s="107" t="str">
        <v>Constant</v>
      </c>
      <c r="AB157" s="108"/>
    </row>
    <row r="158" spans="3:37" ht="20.100000000000001" customHeight="1" x14ac:dyDescent="0.25">
      <c r="D158" s="102" t="str">
        <v>rho</v>
      </c>
      <c r="E158" s="103" t="str">
        <v>density of methane</v>
      </c>
      <c r="F158" s="105"/>
      <c r="G158" s="102" t="str">
        <v>kg/m3</v>
      </c>
      <c r="H158" s="107" t="str">
        <v>Constant</v>
      </c>
      <c r="I158" s="102">
        <f>Common_SourceData_DensityOfMethane_Data</f>
        <v>0.6784</v>
      </c>
      <c r="W158" s="102" t="str">
        <v>rho</v>
      </c>
      <c r="X158" s="103" t="str">
        <v>density of methane</v>
      </c>
      <c r="Y158" s="105"/>
      <c r="Z158" s="102" t="str">
        <v>kg/m3</v>
      </c>
      <c r="AA158" s="107" t="str">
        <v>Constant</v>
      </c>
      <c r="AB158" s="102"/>
    </row>
    <row r="159" spans="3:37" ht="20.100000000000001" customHeight="1" x14ac:dyDescent="0.25">
      <c r="D159" s="102" t="str">
        <v>i</v>
      </c>
      <c r="E159" s="103" t="str">
        <v>state</v>
      </c>
      <c r="F159" s="105"/>
      <c r="G159" s="102" t="str">
        <v/>
      </c>
      <c r="H159" s="106" t="str">
        <v>Input</v>
      </c>
      <c r="I159" s="102" t="str">
        <f>X_Cell_Site_State</f>
        <v>Western Australia</v>
      </c>
      <c r="W159" s="102" t="str">
        <v>MAT</v>
      </c>
      <c r="X159" s="103" t="str">
        <v>Mean annual temperature</v>
      </c>
      <c r="Y159" s="105"/>
      <c r="Z159" s="102" t="str">
        <v>°C</v>
      </c>
      <c r="AA159" s="106" t="str">
        <v>Input</v>
      </c>
      <c r="AB159" s="102">
        <f>X_Cell_Site_AverageTemperature</f>
        <v>18</v>
      </c>
    </row>
    <row r="160" spans="3:37" ht="20.100000000000001" customHeight="1" x14ac:dyDescent="0.25">
      <c r="D160" s="102" t="str">
        <v>i</v>
      </c>
      <c r="E160" s="103" t="str">
        <v>region</v>
      </c>
      <c r="F160" s="105"/>
      <c r="G160" s="102" t="str">
        <v/>
      </c>
      <c r="H160" s="106" t="str">
        <v>Input</v>
      </c>
      <c r="I160" s="102" t="str">
        <f>X_Cell_PastureBeef_ProductionRegion</f>
        <v>South West</v>
      </c>
    </row>
    <row r="161" spans="4:34" ht="20.100000000000001" customHeight="1" x14ac:dyDescent="0.25"/>
    <row r="162" spans="4:34" ht="20.100000000000001" customHeight="1" x14ac:dyDescent="0.25">
      <c r="D162" s="109" t="s">
        <v>402</v>
      </c>
    </row>
    <row r="163" spans="4:34" ht="20.100000000000001" customHeight="1" x14ac:dyDescent="0.25">
      <c r="D163" s="110" t="s">
        <v>403</v>
      </c>
    </row>
    <row r="164" spans="4:34" ht="20.100000000000001" customHeight="1" x14ac:dyDescent="0.25">
      <c r="D164" s="111" t="s">
        <v>404</v>
      </c>
      <c r="E164" s="112" t="s">
        <v>405</v>
      </c>
      <c r="F164" s="26" t="s">
        <v>250</v>
      </c>
    </row>
    <row r="165" spans="4:34" ht="20.100000000000001" customHeight="1" x14ac:dyDescent="0.25">
      <c r="D165" s="25" t="str">
        <f>'Input - Pasture Beef'!$D$180</f>
        <v>Pasture range and paddock</v>
      </c>
      <c r="E165" s="25">
        <f>X_Cell_PastureBeef_CalculatedMMSPastureRangeAndPaddock</f>
        <v>0.99621999999999999</v>
      </c>
      <c r="F165" s="26" t="s">
        <v>250</v>
      </c>
    </row>
    <row r="166" spans="4:34" ht="20.100000000000001" customHeight="1" x14ac:dyDescent="0.25">
      <c r="D166" s="25" t="str">
        <f>'Input - Pasture Beef'!$D$181</f>
        <v>Anaerobic lagoon</v>
      </c>
      <c r="E166" s="25">
        <f>X_Cell_PastureBeef_CalculatedMMSAnaerobicLagoon</f>
        <v>3.7799999999999999E-3</v>
      </c>
    </row>
    <row r="167" spans="4:34" ht="20.100000000000001" customHeight="1" x14ac:dyDescent="0.25"/>
    <row r="168" spans="4:34" ht="20.100000000000001" customHeight="1" x14ac:dyDescent="0.25">
      <c r="D168" s="109" t="s">
        <v>406</v>
      </c>
      <c r="W168" s="109" t="s">
        <v>407</v>
      </c>
    </row>
    <row r="169" spans="4:34" ht="20.100000000000001" customHeight="1" x14ac:dyDescent="0.25">
      <c r="D169" s="110" t="s">
        <v>408</v>
      </c>
      <c r="W169" s="110" t="s">
        <v>409</v>
      </c>
    </row>
    <row r="170" spans="4:34" ht="20.100000000000001" customHeight="1" x14ac:dyDescent="0.25">
      <c r="D170" s="111" t="s">
        <v>404</v>
      </c>
      <c r="E170" s="111" t="s">
        <v>410</v>
      </c>
      <c r="W170" s="111" t="s">
        <v>404</v>
      </c>
      <c r="X170" s="111" t="s">
        <v>410</v>
      </c>
    </row>
    <row r="171" spans="4:34" ht="20.100000000000001" customHeight="1" x14ac:dyDescent="0.25">
      <c r="D171" s="25" t="str">
        <f>'Input - Pasture Beef'!$D$180</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09" t="s">
        <v>411</v>
      </c>
      <c r="W174" s="109" t="s">
        <v>412</v>
      </c>
    </row>
    <row r="175" spans="4:34" ht="20.100000000000001" customHeight="1" x14ac:dyDescent="0.25">
      <c r="D175" s="110" t="s">
        <v>413</v>
      </c>
      <c r="W175" s="110" t="s">
        <v>414</v>
      </c>
    </row>
    <row r="176" spans="4:34" ht="20.100000000000001" customHeight="1" x14ac:dyDescent="0.25">
      <c r="D176" s="111" t="s">
        <v>404</v>
      </c>
      <c r="E176" s="111" t="s">
        <v>77</v>
      </c>
      <c r="F176" s="111" t="s">
        <v>211</v>
      </c>
      <c r="G176" s="111" t="s">
        <v>201</v>
      </c>
      <c r="H176" s="111" t="s">
        <v>212</v>
      </c>
      <c r="I176" s="111" t="s">
        <v>213</v>
      </c>
      <c r="J176" s="111" t="s">
        <v>214</v>
      </c>
      <c r="K176" s="111" t="s">
        <v>215</v>
      </c>
      <c r="L176" s="111" t="s">
        <v>216</v>
      </c>
      <c r="M176" s="111" t="s">
        <v>217</v>
      </c>
      <c r="N176" s="111" t="s">
        <v>218</v>
      </c>
      <c r="O176" s="111" t="s">
        <v>219</v>
      </c>
      <c r="W176" s="111" t="s">
        <v>404</v>
      </c>
      <c r="X176" s="111" t="s">
        <v>76</v>
      </c>
      <c r="Y176" s="111" t="s">
        <v>211</v>
      </c>
      <c r="Z176" s="111" t="s">
        <v>201</v>
      </c>
      <c r="AA176" s="111" t="s">
        <v>212</v>
      </c>
      <c r="AB176" s="111" t="s">
        <v>213</v>
      </c>
      <c r="AC176" s="111" t="s">
        <v>214</v>
      </c>
      <c r="AD176" s="111" t="s">
        <v>215</v>
      </c>
      <c r="AE176" s="111" t="s">
        <v>216</v>
      </c>
      <c r="AF176" s="111" t="s">
        <v>217</v>
      </c>
      <c r="AG176" s="111" t="s">
        <v>218</v>
      </c>
      <c r="AH176" s="111" t="s">
        <v>219</v>
      </c>
    </row>
    <row r="177" spans="4:36" ht="20.100000000000001" customHeight="1" x14ac:dyDescent="0.25">
      <c r="D177" s="25" t="str">
        <f>'Input - Pasture Beef'!$D$180</f>
        <v>Pasture range and paddock</v>
      </c>
      <c r="E177" s="25" t="s">
        <v>220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Beef'!$D$180</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Beef'!$D$180</f>
        <v>Pasture range and paddock</v>
      </c>
      <c r="E178" s="25" t="s">
        <v>221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Beef'!$D$180</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Beef'!$D$180</f>
        <v>Pasture range and paddock</v>
      </c>
      <c r="E179" s="25" t="s">
        <v>222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Beef'!$D$180</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Beef'!$D$180</f>
        <v>Pasture range and paddock</v>
      </c>
      <c r="E180" s="25" t="s">
        <v>223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Beef'!$D$180</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Beef'!$D$181</f>
        <v>Anaerobic lagoon</v>
      </c>
      <c r="E181" s="25" t="s">
        <v>220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Beef'!$D$180</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Beef'!$D$181</f>
        <v>Anaerobic lagoon</v>
      </c>
      <c r="E182" s="25" t="s">
        <v>221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Beef'!$D$180</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Beef'!$D$181</f>
        <v>Anaerobic lagoon</v>
      </c>
      <c r="E183" s="25" t="s">
        <v>222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Beef'!$D$180</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Beef'!$D$181</f>
        <v>Anaerobic lagoon</v>
      </c>
      <c r="E184" s="25" t="s">
        <v>223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Beef'!$D$180</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Beef'!$D$180</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Beef'!$D$180</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Beef'!$D$180</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Beef'!$D$180</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Beef'!$D$181</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Beef'!$D$181</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Beef'!$D$181</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Beef'!$D$181</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Beef'!$D$181</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Beef'!$D$181</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Beef'!$D$181</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Beef'!$D$181</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Beef'!$D$181</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Beef'!$D$181</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Beef'!$D$181</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Beef'!$D$181</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3"/>
      <c r="D203" s="113"/>
      <c r="E203" s="113"/>
      <c r="F203" s="113"/>
      <c r="G203" s="113"/>
      <c r="H203" s="113"/>
      <c r="I203" s="113"/>
      <c r="J203" s="113"/>
      <c r="K203" s="113"/>
      <c r="L203" s="113"/>
      <c r="M203" s="113"/>
      <c r="N203" s="113"/>
      <c r="O203" s="113"/>
      <c r="P203" s="113"/>
      <c r="Q203" s="113"/>
      <c r="R203" s="113"/>
      <c r="S203" s="113"/>
      <c r="T203" s="113"/>
      <c r="V203" s="113"/>
      <c r="W203" s="113"/>
      <c r="X203" s="113"/>
      <c r="Y203" s="113"/>
      <c r="Z203" s="113"/>
      <c r="AA203" s="113"/>
      <c r="AB203" s="113"/>
      <c r="AC203" s="113"/>
      <c r="AD203" s="113"/>
      <c r="AE203" s="113"/>
      <c r="AF203" s="113"/>
      <c r="AG203" s="113"/>
      <c r="AH203" s="113"/>
      <c r="AI203" s="113"/>
      <c r="AJ203" s="113"/>
      <c r="AK203" s="113"/>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0" t="s">
        <v>259</v>
      </c>
      <c r="E206" s="100"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261</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2" t="str" cm="1">
        <f t="array" ref="D212:E214">_xlfn.CHOOSECOLS(MMS_PastureBeef_Methane_Equations.VEERG_4_2_1_1__1_TotalAnnualMethaneProductionFromManureManagement_Arguments(), 1, 2)</f>
        <v>N_jkl</v>
      </c>
      <c r="E212" s="103" t="str">
        <v>number of beef cattle in each time-period, class and subclass</v>
      </c>
      <c r="F212" s="105"/>
      <c r="G212" s="102" t="str" cm="1">
        <f t="array" ref="G212:H214">_xlfn.CHOOSECOLS(MMS_PastureBeef_Methane_Equations.VEERG_4_2_1_1__1_TotalAnnualMethaneProductionFromManureManagement_Arguments(), 3,4)</f>
        <v>head</v>
      </c>
      <c r="H212" s="106" t="str">
        <v>Input</v>
      </c>
      <c r="I212" s="108" t="str" cm="1">
        <f t="array" aca="1" ref="I212" ca="1">HYPERLINK(Common_InputFunctions.Utility_SourceHyperlink($D$216), $D$216)</f>
        <v>M1_Table_N_j_k_l</v>
      </c>
    </row>
    <row r="213" spans="4:34" ht="20.100000000000001" customHeight="1" x14ac:dyDescent="0.25">
      <c r="D213" s="102" t="str">
        <v>M_jklm</v>
      </c>
      <c r="E213" s="103" t="str">
        <v>methane production from manure in each time-period, class, subclass and MMS</v>
      </c>
      <c r="F213" s="105"/>
      <c r="G213" s="102" t="str">
        <v>kg/head/day</v>
      </c>
      <c r="H213" s="107" t="str">
        <v>Calculated from 4.2.1.1 (2)</v>
      </c>
      <c r="I213" s="108" t="str" cm="1">
        <f t="array" aca="1" ref="I213" ca="1">HYPERLINK(Common_InputFunctions.Utility_SourceHyperlink($D$174), $D$174)</f>
        <v>M1_Table_M_j_k_l_m</v>
      </c>
    </row>
    <row r="214" spans="4:34" ht="20.100000000000001" customHeight="1" x14ac:dyDescent="0.25">
      <c r="D214" s="102" t="str">
        <v>D_j</v>
      </c>
      <c r="E214" s="103" t="str">
        <v>number of days in each time-period for each input class</v>
      </c>
      <c r="F214" s="105"/>
      <c r="G214" s="102" t="str">
        <v>days</v>
      </c>
      <c r="H214" s="106" t="str">
        <v>Input</v>
      </c>
      <c r="I214" s="108" t="str" cm="1">
        <f t="array" aca="1" ref="I214" ca="1">HYPERLINK(Common_InputFunctions.Utility_SourceHyperlink($D$224), $D$224)</f>
        <v>M1_Table_D_j</v>
      </c>
    </row>
    <row r="215" spans="4:34" ht="20.100000000000001" customHeight="1" x14ac:dyDescent="0.25"/>
    <row r="216" spans="4:34" ht="20.100000000000001" customHeight="1" x14ac:dyDescent="0.25">
      <c r="D216" s="109" t="s">
        <v>288</v>
      </c>
      <c r="W216" s="109" t="s">
        <v>292</v>
      </c>
    </row>
    <row r="217" spans="4:34" ht="20.100000000000001" customHeight="1" x14ac:dyDescent="0.25">
      <c r="D217" s="110" t="s">
        <v>289</v>
      </c>
      <c r="W217" s="110" t="s">
        <v>293</v>
      </c>
    </row>
    <row r="218" spans="4:34" ht="20.100000000000001" customHeight="1" x14ac:dyDescent="0.25">
      <c r="D218" s="111" t="s">
        <v>77</v>
      </c>
      <c r="E218" s="112" t="s">
        <v>211</v>
      </c>
      <c r="F218" s="112" t="s">
        <v>201</v>
      </c>
      <c r="G218" s="112" t="s">
        <v>212</v>
      </c>
      <c r="H218" s="112" t="s">
        <v>213</v>
      </c>
      <c r="I218" s="112" t="s">
        <v>214</v>
      </c>
      <c r="J218" s="112" t="s">
        <v>215</v>
      </c>
      <c r="K218" s="112" t="s">
        <v>216</v>
      </c>
      <c r="L218" s="112" t="s">
        <v>217</v>
      </c>
      <c r="M218" s="112" t="s">
        <v>218</v>
      </c>
      <c r="N218" s="112" t="s">
        <v>219</v>
      </c>
      <c r="W218" s="111" t="s">
        <v>76</v>
      </c>
      <c r="X218" s="112" t="s">
        <v>211</v>
      </c>
      <c r="Y218" s="112" t="s">
        <v>201</v>
      </c>
      <c r="Z218" s="112" t="s">
        <v>212</v>
      </c>
      <c r="AA218" s="112" t="s">
        <v>213</v>
      </c>
      <c r="AB218" s="112" t="s">
        <v>214</v>
      </c>
      <c r="AC218" s="112" t="s">
        <v>215</v>
      </c>
      <c r="AD218" s="112" t="s">
        <v>216</v>
      </c>
      <c r="AE218" s="112" t="s">
        <v>217</v>
      </c>
      <c r="AF218" s="112" t="s">
        <v>218</v>
      </c>
      <c r="AG218" s="112" t="s">
        <v>219</v>
      </c>
      <c r="AH218" s="26"/>
    </row>
    <row r="219" spans="4:34" ht="20.100000000000001" customHeight="1" x14ac:dyDescent="0.25">
      <c r="D219" s="25" t="s">
        <v>220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415</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225</v>
      </c>
    </row>
    <row r="220" spans="4:34" ht="20.100000000000001" customHeight="1" x14ac:dyDescent="0.25">
      <c r="D220" s="25" t="s">
        <v>221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415</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225</v>
      </c>
    </row>
    <row r="221" spans="4:34" ht="20.100000000000001" customHeight="1" x14ac:dyDescent="0.25">
      <c r="D221" s="25" t="s">
        <v>222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415</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225</v>
      </c>
    </row>
    <row r="222" spans="4:34" ht="20.100000000000001" customHeight="1" x14ac:dyDescent="0.25">
      <c r="D222" s="25" t="s">
        <v>223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415</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225</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225</v>
      </c>
    </row>
    <row r="224" spans="4:34" ht="20.100000000000001" customHeight="1" x14ac:dyDescent="0.25">
      <c r="D224" s="109" t="s">
        <v>290</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225</v>
      </c>
    </row>
    <row r="225" spans="4:34" ht="20.100000000000001" customHeight="1" x14ac:dyDescent="0.25">
      <c r="D225" s="110" t="s">
        <v>291</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225</v>
      </c>
    </row>
    <row r="226" spans="4:34" ht="20.100000000000001" customHeight="1" x14ac:dyDescent="0.25">
      <c r="D226" s="111" t="s">
        <v>77</v>
      </c>
      <c r="E226" s="112" t="s">
        <v>211</v>
      </c>
      <c r="F226" s="112" t="s">
        <v>201</v>
      </c>
      <c r="G226" s="112" t="s">
        <v>212</v>
      </c>
      <c r="H226" s="112" t="s">
        <v>213</v>
      </c>
      <c r="I226" s="112" t="s">
        <v>214</v>
      </c>
      <c r="J226" s="112" t="s">
        <v>215</v>
      </c>
      <c r="K226" s="112" t="s">
        <v>216</v>
      </c>
      <c r="L226" s="112" t="s">
        <v>217</v>
      </c>
      <c r="M226" s="112" t="s">
        <v>218</v>
      </c>
      <c r="N226" s="112" t="s">
        <v>219</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225</v>
      </c>
    </row>
    <row r="227" spans="4:34" ht="20.100000000000001" customHeight="1" x14ac:dyDescent="0.25">
      <c r="D227" s="25" t="s">
        <v>220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416</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225</v>
      </c>
    </row>
    <row r="228" spans="4:34" ht="20.100000000000001" customHeight="1" x14ac:dyDescent="0.25">
      <c r="D228" s="25" t="s">
        <v>221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416</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225</v>
      </c>
    </row>
    <row r="229" spans="4:34" ht="20.100000000000001" customHeight="1" x14ac:dyDescent="0.25">
      <c r="D229" s="25" t="s">
        <v>222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416</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225</v>
      </c>
    </row>
    <row r="230" spans="4:34" ht="20.100000000000001" customHeight="1" x14ac:dyDescent="0.25">
      <c r="D230" s="25" t="s">
        <v>223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416</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225</v>
      </c>
    </row>
    <row r="231" spans="4:34" ht="20.100000000000001" customHeight="1" x14ac:dyDescent="0.25"/>
    <row r="232" spans="4:34" ht="20.100000000000001" customHeight="1" x14ac:dyDescent="0.25">
      <c r="D232" s="109" t="s">
        <v>417</v>
      </c>
      <c r="W232" s="109" t="s">
        <v>297</v>
      </c>
    </row>
    <row r="233" spans="4:34" ht="20.100000000000001" customHeight="1" x14ac:dyDescent="0.25">
      <c r="D233" s="110" t="s">
        <v>418</v>
      </c>
      <c r="W233" s="110" t="s">
        <v>298</v>
      </c>
    </row>
    <row r="234" spans="4:34" ht="20.100000000000001" customHeight="1" x14ac:dyDescent="0.25">
      <c r="D234" s="111" t="s">
        <v>404</v>
      </c>
      <c r="E234" s="111" t="s">
        <v>77</v>
      </c>
      <c r="F234" s="111" t="s">
        <v>211</v>
      </c>
      <c r="G234" s="111" t="s">
        <v>201</v>
      </c>
      <c r="H234" s="111" t="s">
        <v>212</v>
      </c>
      <c r="I234" s="111" t="s">
        <v>213</v>
      </c>
      <c r="J234" s="111" t="s">
        <v>214</v>
      </c>
      <c r="K234" s="111" t="s">
        <v>215</v>
      </c>
      <c r="L234" s="111" t="s">
        <v>216</v>
      </c>
      <c r="M234" s="111" t="s">
        <v>217</v>
      </c>
      <c r="N234" s="111" t="s">
        <v>218</v>
      </c>
      <c r="O234" s="111" t="s">
        <v>219</v>
      </c>
      <c r="W234" s="111" t="s">
        <v>76</v>
      </c>
      <c r="X234" s="112" t="s">
        <v>211</v>
      </c>
      <c r="Y234" s="112" t="s">
        <v>201</v>
      </c>
      <c r="Z234" s="112" t="s">
        <v>212</v>
      </c>
      <c r="AA234" s="112" t="s">
        <v>213</v>
      </c>
      <c r="AB234" s="112" t="s">
        <v>214</v>
      </c>
      <c r="AC234" s="112" t="s">
        <v>215</v>
      </c>
      <c r="AD234" s="112" t="s">
        <v>216</v>
      </c>
      <c r="AE234" s="112" t="s">
        <v>217</v>
      </c>
      <c r="AF234" s="112" t="s">
        <v>218</v>
      </c>
      <c r="AG234" s="112" t="s">
        <v>219</v>
      </c>
      <c r="AH234" s="26"/>
    </row>
    <row r="235" spans="4:34" ht="20.100000000000001" customHeight="1" x14ac:dyDescent="0.25">
      <c r="D235" s="25" t="str">
        <f>'Input - Pasture Beef'!$D$180</f>
        <v>Pasture range and paddock</v>
      </c>
      <c r="E235" s="25" t="s">
        <v>220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416</v>
      </c>
    </row>
    <row r="236" spans="4:34" ht="20.100000000000001" customHeight="1" x14ac:dyDescent="0.25">
      <c r="D236" s="25" t="str">
        <f>'Input - Pasture Beef'!$D$180</f>
        <v>Pasture range and paddock</v>
      </c>
      <c r="E236" s="25" t="s">
        <v>221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416</v>
      </c>
    </row>
    <row r="237" spans="4:34" ht="20.100000000000001" customHeight="1" x14ac:dyDescent="0.25">
      <c r="D237" s="25" t="str">
        <f>'Input - Pasture Beef'!$D$180</f>
        <v>Pasture range and paddock</v>
      </c>
      <c r="E237" s="25" t="s">
        <v>222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416</v>
      </c>
    </row>
    <row r="238" spans="4:34" ht="20.100000000000001" customHeight="1" x14ac:dyDescent="0.25">
      <c r="D238" s="25" t="str">
        <f>'Input - Pasture Beef'!$D$180</f>
        <v>Pasture range and paddock</v>
      </c>
      <c r="E238" s="25" t="s">
        <v>223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416</v>
      </c>
    </row>
    <row r="239" spans="4:34" ht="20.100000000000001" customHeight="1" x14ac:dyDescent="0.25">
      <c r="D239" s="25" t="str">
        <f>'Input - Pasture Beef'!$D$181</f>
        <v>Anaerobic lagoon</v>
      </c>
      <c r="E239" s="25" t="s">
        <v>220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416</v>
      </c>
    </row>
    <row r="240" spans="4:34" ht="20.100000000000001" customHeight="1" x14ac:dyDescent="0.25">
      <c r="D240" s="25" t="str">
        <f>'Input - Pasture Beef'!$D$181</f>
        <v>Anaerobic lagoon</v>
      </c>
      <c r="E240" s="25" t="s">
        <v>221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416</v>
      </c>
    </row>
    <row r="241" spans="4:36" ht="20.100000000000001" customHeight="1" x14ac:dyDescent="0.25">
      <c r="D241" s="25" t="str">
        <f>'Input - Pasture Beef'!$D$181</f>
        <v>Anaerobic lagoon</v>
      </c>
      <c r="E241" s="25" t="s">
        <v>222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416</v>
      </c>
    </row>
    <row r="242" spans="4:36" ht="20.100000000000001" customHeight="1" x14ac:dyDescent="0.25">
      <c r="D242" s="25" t="str">
        <f>'Input - Pasture Beef'!$D$181</f>
        <v>Anaerobic lagoon</v>
      </c>
      <c r="E242" s="25" t="s">
        <v>223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416</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416</v>
      </c>
    </row>
    <row r="244" spans="4:36" ht="20.100000000000001" customHeight="1" x14ac:dyDescent="0.25">
      <c r="D244" s="114" t="s">
        <v>296</v>
      </c>
      <c r="E244" s="115">
        <f ca="1">SUM(F235:O242)</f>
        <v>0.88628531326724402</v>
      </c>
      <c r="F244" s="116"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416</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416</v>
      </c>
    </row>
    <row r="246" spans="4:36" ht="20.100000000000001" customHeight="1" x14ac:dyDescent="0.25">
      <c r="D246" s="117" t="str" cm="1">
        <f t="array" ref="D246:E247">Common_Equations.Common_ConvertCH4ToCO2e_Arguments()</f>
        <v>ECH4</v>
      </c>
      <c r="E246" s="118" t="str">
        <v>Methane emissions (t CH4)</v>
      </c>
      <c r="F246" s="119"/>
      <c r="G246" s="25">
        <f ca="1">E244</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416</v>
      </c>
    </row>
    <row r="247" spans="4:36" ht="20.100000000000001" customHeight="1" x14ac:dyDescent="0.25">
      <c r="D247" s="117" t="str">
        <v>GWPCH4</v>
      </c>
      <c r="E247" s="118" t="str">
        <v>Global warming potential for methane (t CO2-e / t CH4)</v>
      </c>
      <c r="F247" s="119"/>
      <c r="G247" s="25">
        <f>Common_InputFunctions.Utility_LookupValueInTableNumber("CH4",Table_GWPData[Gas],Table_GWPData[CO2-e factor])</f>
        <v>28</v>
      </c>
    </row>
    <row r="248" spans="4:36" ht="20.100000000000001" customHeight="1" x14ac:dyDescent="0.25">
      <c r="W248" s="109" t="s">
        <v>419</v>
      </c>
    </row>
    <row r="249" spans="4:36" ht="20.100000000000001" customHeight="1" x14ac:dyDescent="0.25">
      <c r="D249" s="113" t="s">
        <v>299</v>
      </c>
      <c r="E249" s="113" cm="1">
        <f t="array" aca="1" ref="E249" ca="1">Common_Equations.Common_ConvertN2OToCO2e(G246,G247)</f>
        <v>24.815988771482832</v>
      </c>
      <c r="F249" s="120" t="str" cm="1">
        <f t="array" ref="F249">Common_Equations.Common_ConvertN2OToCO2e_Unit()</f>
        <v>t CO2e</v>
      </c>
      <c r="W249" s="110" t="s">
        <v>420</v>
      </c>
    </row>
    <row r="250" spans="4:36" ht="20.100000000000001" customHeight="1" x14ac:dyDescent="0.25">
      <c r="W250" s="111" t="s">
        <v>404</v>
      </c>
      <c r="X250" s="111" t="s">
        <v>76</v>
      </c>
      <c r="Y250" s="111" t="s">
        <v>211</v>
      </c>
      <c r="Z250" s="111" t="s">
        <v>201</v>
      </c>
      <c r="AA250" s="111" t="s">
        <v>212</v>
      </c>
      <c r="AB250" s="111" t="s">
        <v>213</v>
      </c>
      <c r="AC250" s="111" t="s">
        <v>214</v>
      </c>
      <c r="AD250" s="111" t="s">
        <v>215</v>
      </c>
      <c r="AE250" s="111" t="s">
        <v>216</v>
      </c>
      <c r="AF250" s="111" t="s">
        <v>217</v>
      </c>
      <c r="AG250" s="111" t="s">
        <v>218</v>
      </c>
      <c r="AH250" s="111" t="s">
        <v>219</v>
      </c>
    </row>
    <row r="251" spans="4:36" ht="20.100000000000001" customHeight="1" x14ac:dyDescent="0.25">
      <c r="W251" s="25" t="str">
        <f>'Input - Pasture Beef'!$D$180</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Beef'!$D$180</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Beef'!$D$180</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Beef'!$D$180</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Beef'!$D$180</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Beef'!$D$180</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Beef'!$D$180</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Beef'!$D$180</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Beef'!$D$180</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Beef'!$D$180</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Beef'!$D$180</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Beef'!$D$180</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Beef'!$D$181</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Beef'!$D$181</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Beef'!$D$181</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Beef'!$D$181</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Beef'!$D$181</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Beef'!$D$181</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Beef'!$D$181</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Beef'!$D$181</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Beef'!$D$181</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Beef'!$D$181</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Beef'!$D$181</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Beef'!$D$181</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4" t="s">
        <v>296</v>
      </c>
      <c r="X276" s="115">
        <f ca="1">SUM(Y251:AH274)</f>
        <v>0.89029635334910784</v>
      </c>
      <c r="Y276" s="116">
        <f ca="1">X242</f>
        <v>31</v>
      </c>
    </row>
    <row r="278" spans="23:36" x14ac:dyDescent="0.25">
      <c r="W278" s="117" t="str" cm="1">
        <f t="array" ref="W278:X279">Common_Equations.Common_ConvertCH4ToCO2e_Arguments()</f>
        <v>ECH4</v>
      </c>
      <c r="X278" s="118" t="str">
        <v>Methane emissions (t CH4)</v>
      </c>
      <c r="Y278" s="119"/>
      <c r="Z278" s="25">
        <f ca="1">X276</f>
        <v>0.89029635334910784</v>
      </c>
    </row>
    <row r="279" spans="23:36" x14ac:dyDescent="0.25">
      <c r="W279" s="117" t="str">
        <v>GWPCH4</v>
      </c>
      <c r="X279" s="118" t="str">
        <v>Global warming potential for methane (t CO2-e / t CH4)</v>
      </c>
      <c r="Y279" s="119"/>
      <c r="Z279" s="25">
        <f>Common_InputFunctions.Utility_LookupValueInTableNumber("CH4",Table_GWPData[Gas],Table_GWPData[CO2-e factor])</f>
        <v>28</v>
      </c>
    </row>
    <row r="281" spans="23:36" ht="18.75" x14ac:dyDescent="0.25">
      <c r="W281" s="113" t="s">
        <v>299</v>
      </c>
      <c r="X281" s="113" cm="1">
        <f t="array" aca="1" ref="X281" ca="1">Common_Equations.Common_ConvertN2OToCO2e(Z278,Z279)</f>
        <v>24.928297893775021</v>
      </c>
      <c r="Y281" s="120"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6A07768D-174A-40EC-BD55-CBCB02B32310}"/>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1382D-3467-4E88-9DA7-58D6581BF003}">
  <dimension ref="A1:AI291"/>
  <sheetViews>
    <sheetView showGridLines="0" topLeftCell="P24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421</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0" t="s">
        <v>259</v>
      </c>
      <c r="E7" s="100"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5">_xlfn.CHOOSECOLS(MMS_PastureBeef_Soil_N2ODirect_Equations.VEERG_4_2_1_3__7_RelativeSize_Arguments(),1,2)</f>
        <v>W_jkl</v>
      </c>
      <c r="E13" s="102" t="str">
        <v>liveweight (kg)</v>
      </c>
      <c r="F13" s="102" t="str" cm="1">
        <f t="array" ref="F13:G15">_xlfn.CHOOSECOLS(MMS_PastureBeef_Soil_N2ODirect_Equations.VEERG_4_2_1_3__7_RelativeSize_Arguments(),3,4)</f>
        <v>kg</v>
      </c>
      <c r="G13" s="106" t="str">
        <v>Input</v>
      </c>
      <c r="H13" s="108"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2" t="str">
        <v>SRW_k</v>
      </c>
      <c r="E14" s="102" t="str">
        <v>standard reference weight (kg)</v>
      </c>
      <c r="F14" s="102" t="str">
        <v>kg</v>
      </c>
      <c r="G14" s="107" t="str">
        <v>Constant</v>
      </c>
      <c r="H14" s="108" t="str" cm="1">
        <f t="array" aca="1" ref="H14" ca="1">HYPERLINK(Common_InputFunctions.Utility_SourceHyperlink(D25), D25)</f>
        <v>Table_SRW_k</v>
      </c>
    </row>
    <row r="15" spans="1:35" ht="20.100000000000001" customHeight="1" x14ac:dyDescent="0.25">
      <c r="A15" s="5" t="str">
        <f>HYPERLINK("#'Input - Pasture'!A1", "Pasture")</f>
        <v>Pasture</v>
      </c>
      <c r="D15" s="102" t="str">
        <v>i</v>
      </c>
      <c r="E15" s="102" t="str">
        <v>state</v>
      </c>
      <c r="F15" s="102" t="str">
        <v/>
      </c>
      <c r="G15" s="106" t="str">
        <v>Input</v>
      </c>
      <c r="H15" s="102"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09" t="s">
        <v>274</v>
      </c>
      <c r="U17" s="109" t="s">
        <v>422</v>
      </c>
    </row>
    <row r="18" spans="1:34" ht="20.100000000000001" customHeight="1" x14ac:dyDescent="0.25">
      <c r="A18" s="5" t="str">
        <f>HYPERLINK("#'Input - Fuel'!A1", "Fuel")</f>
        <v>Fuel</v>
      </c>
      <c r="D18" s="110" t="s">
        <v>275</v>
      </c>
      <c r="U18" s="110" t="s">
        <v>273</v>
      </c>
    </row>
    <row r="19" spans="1:34" ht="20.100000000000001" customHeight="1" x14ac:dyDescent="0.25">
      <c r="A19" s="5" t="str">
        <f>HYPERLINK("#'Input - Electricity'!A1", "Electricity")</f>
        <v>Electricity</v>
      </c>
      <c r="D19" s="111" t="s">
        <v>77</v>
      </c>
      <c r="E19" s="112" t="s">
        <v>211</v>
      </c>
      <c r="F19" s="112" t="s">
        <v>201</v>
      </c>
      <c r="G19" s="112" t="s">
        <v>212</v>
      </c>
      <c r="H19" s="112" t="s">
        <v>213</v>
      </c>
      <c r="I19" s="112" t="s">
        <v>214</v>
      </c>
      <c r="J19" s="112" t="s">
        <v>215</v>
      </c>
      <c r="K19" s="112" t="s">
        <v>216</v>
      </c>
      <c r="L19" s="112" t="s">
        <v>217</v>
      </c>
      <c r="M19" s="112" t="s">
        <v>218</v>
      </c>
      <c r="N19" s="112" t="s">
        <v>219</v>
      </c>
      <c r="U19" s="111" t="s">
        <v>76</v>
      </c>
      <c r="V19" s="112" t="s">
        <v>211</v>
      </c>
      <c r="W19" s="112" t="s">
        <v>201</v>
      </c>
      <c r="X19" s="112" t="s">
        <v>212</v>
      </c>
      <c r="Y19" s="112" t="s">
        <v>213</v>
      </c>
      <c r="Z19" s="112" t="s">
        <v>214</v>
      </c>
      <c r="AA19" s="112" t="s">
        <v>215</v>
      </c>
      <c r="AB19" s="112" t="s">
        <v>216</v>
      </c>
      <c r="AC19" s="112" t="s">
        <v>217</v>
      </c>
      <c r="AD19" s="112" t="s">
        <v>218</v>
      </c>
      <c r="AE19" s="112" t="s">
        <v>219</v>
      </c>
      <c r="AF19" s="26"/>
      <c r="AG19" s="26"/>
      <c r="AH19" s="26"/>
    </row>
    <row r="20" spans="1:34" ht="20.100000000000001" customHeight="1" x14ac:dyDescent="0.25">
      <c r="A20" s="5" t="str">
        <f>HYPERLINK("#'Input - Farm Inputs'!A1", "Farm Inputs")</f>
        <v>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229</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229</v>
      </c>
      <c r="AG20" s="26"/>
      <c r="AH20" s="26"/>
    </row>
    <row r="21" spans="1:34" ht="20.100000000000001" customHeight="1" x14ac:dyDescent="0.25">
      <c r="A21" s="5" t="str">
        <f>HYPERLINK("#'Input - Freight'!A1", "Freight")</f>
        <v>Freight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229</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229</v>
      </c>
      <c r="AG21" s="26"/>
      <c r="AH21" s="26"/>
    </row>
    <row r="22" spans="1:34" ht="20.100000000000001" customHeight="1" x14ac:dyDescent="0.25">
      <c r="A22" s="5" t="str">
        <f>HYPERLINK("#'Input - Manure sent off-site'!A1", "Manure sent off-site")</f>
        <v>Manure sent off-site</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229</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229</v>
      </c>
      <c r="AG22" s="26"/>
      <c r="AH22" s="26"/>
    </row>
    <row r="23" spans="1:34" ht="20.100000000000001" customHeight="1" x14ac:dyDescent="0.25">
      <c r="A23" s="5" t="str">
        <f>HYPERLINK("#'Input - Solid waste'!A1", "Solid waste")</f>
        <v>Solid waste</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229</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229</v>
      </c>
      <c r="AG23" s="26"/>
      <c r="AH23" s="26"/>
    </row>
    <row r="24" spans="1:34" ht="20.100000000000001" customHeight="1" x14ac:dyDescent="0.25">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229</v>
      </c>
      <c r="AG24" s="26"/>
      <c r="AH24" s="26"/>
    </row>
    <row r="25" spans="1:34" ht="20.100000000000001" customHeight="1" x14ac:dyDescent="0.25">
      <c r="D25" s="109" t="s">
        <v>423</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229</v>
      </c>
      <c r="AG25" s="26"/>
      <c r="AH25" s="26"/>
    </row>
    <row r="26" spans="1:34" ht="20.100000000000001" customHeight="1" x14ac:dyDescent="0.25">
      <c r="A26" s="6" t="s">
        <v>2</v>
      </c>
      <c r="D26" s="110" t="s">
        <v>424</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229</v>
      </c>
      <c r="AG26" s="26"/>
      <c r="AH26" s="26"/>
    </row>
    <row r="27" spans="1:34" ht="20.100000000000001" customHeight="1" x14ac:dyDescent="0.25">
      <c r="A27" s="5" t="str">
        <f>HYPERLINK("#'3.2.1.1-2 Enteric Methane'!A1", "3.2.1.1-2 Enteric methane")</f>
        <v>3.2.1.1-2 Enteric methane</v>
      </c>
      <c r="D27" s="111" t="s">
        <v>211</v>
      </c>
      <c r="E27" s="111" t="s">
        <v>201</v>
      </c>
      <c r="F27" s="111" t="s">
        <v>212</v>
      </c>
      <c r="G27" s="111" t="s">
        <v>213</v>
      </c>
      <c r="H27" s="111" t="s">
        <v>214</v>
      </c>
      <c r="I27" s="111" t="s">
        <v>215</v>
      </c>
      <c r="J27" s="111" t="s">
        <v>216</v>
      </c>
      <c r="K27" s="111" t="s">
        <v>217</v>
      </c>
      <c r="L27" s="111" t="s">
        <v>218</v>
      </c>
      <c r="M27" s="111" t="s">
        <v>219</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229</v>
      </c>
      <c r="AG27" s="26"/>
      <c r="AH27" s="26"/>
    </row>
    <row r="28" spans="1:34" ht="20.100000000000001" customHeight="1" x14ac:dyDescent="0.25">
      <c r="A28" s="5" t="str">
        <f>HYPERLINK("#'4.2.1.1-2 Methane'!A1", "4.2.1.1-2 Manure methane")</f>
        <v>4.2.1.1-2 Manure methane</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229</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229</v>
      </c>
      <c r="AG28" s="26"/>
      <c r="AH28" s="26"/>
    </row>
    <row r="29" spans="1:34" ht="20.100000000000001" customHeight="1" x14ac:dyDescent="0.25">
      <c r="A29" s="101" t="str">
        <f>HYPERLINK("#'4.2.1.3-4 Soil direct N20'!A1", "4.2.1.3-4 Soil direct N2O")</f>
        <v>4.2.1.3-4 Soil direct N2O</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229</v>
      </c>
      <c r="AG29" s="26"/>
      <c r="AH29" s="26"/>
    </row>
    <row r="30" spans="1:34" ht="20.100000000000001" customHeight="1" x14ac:dyDescent="0.25">
      <c r="A30" s="5" t="str">
        <f>HYPERLINK("#'4.2.1.5-6 Soil Atmos Dep'!A1", "4.2.1.5-6 Soil atm. deposition")</f>
        <v>4.2.1.5-6 Soil atm. deposition</v>
      </c>
      <c r="D30" s="109" t="s">
        <v>425</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229</v>
      </c>
      <c r="AG30" s="26"/>
      <c r="AH30" s="26"/>
    </row>
    <row r="31" spans="1:34" ht="20.100000000000001" customHeight="1" x14ac:dyDescent="0.25">
      <c r="A31" s="5" t="str">
        <f>HYPERLINK("#'4.2.1.7-8 Soil leach runoff'!A1", "4.2.1.7-8 Soil leach &amp; runoff")</f>
        <v>4.2.1.7-8 Soil leach &amp; runoff</v>
      </c>
      <c r="D31" s="110" t="s">
        <v>426</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229</v>
      </c>
      <c r="AG31" s="26"/>
      <c r="AH31" s="26"/>
    </row>
    <row r="32" spans="1:34" ht="20.100000000000001" customHeight="1" x14ac:dyDescent="0.25">
      <c r="A32" s="5" t="str">
        <f>HYPERLINK("#'5.1.1.1-2 Inorganic fert N2O'!A1", "5.1.1.1-2 Inorganic fert N2O")</f>
        <v>5.1.1.1-2 Inorganic fert N2O</v>
      </c>
      <c r="D32" s="111" t="s">
        <v>77</v>
      </c>
      <c r="E32" s="111" t="s">
        <v>211</v>
      </c>
      <c r="F32" s="111" t="s">
        <v>201</v>
      </c>
      <c r="G32" s="111" t="s">
        <v>212</v>
      </c>
      <c r="H32" s="111" t="s">
        <v>213</v>
      </c>
      <c r="I32" s="111" t="s">
        <v>214</v>
      </c>
      <c r="J32" s="111" t="s">
        <v>215</v>
      </c>
      <c r="K32" s="111" t="s">
        <v>216</v>
      </c>
      <c r="L32" s="111" t="s">
        <v>217</v>
      </c>
      <c r="M32" s="111" t="s">
        <v>218</v>
      </c>
      <c r="N32" s="111" t="s">
        <v>219</v>
      </c>
    </row>
    <row r="33" spans="1:34" ht="20.100000000000001" customHeight="1" x14ac:dyDescent="0.25">
      <c r="A33" s="5" t="str">
        <f>HYPERLINK("#'5.1.1.3-4 Inorganic fert CO2'!A1", "5.1.1.3-4 Inorganic fert CO2")</f>
        <v>5.1.1.3-4 Inorganic fert CO2</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09" t="s">
        <v>427</v>
      </c>
    </row>
    <row r="34" spans="1:34" ht="20.100000000000001" customHeight="1" x14ac:dyDescent="0.25">
      <c r="A34" s="5" t="str">
        <f>HYPERLINK("#'5.2.1.1-2 Organic Fert N2O'!A1", "5.2.1.1-2 Organic fert N2O")</f>
        <v>5.2.1.1-2 Organic fert N2O</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0" t="s">
        <v>428</v>
      </c>
    </row>
    <row r="35" spans="1:34" ht="20.100000000000001" customHeight="1" x14ac:dyDescent="0.25">
      <c r="A35" s="5" t="str">
        <f>HYPERLINK("#'5.3.1.1-2 Lime CO2'!A1", "5.3.1.1-2 Lime CO2")</f>
        <v>5.3.1.1-2 Lime CO2</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1" t="s">
        <v>76</v>
      </c>
      <c r="V35" s="111" t="s">
        <v>211</v>
      </c>
      <c r="W35" s="111" t="s">
        <v>201</v>
      </c>
      <c r="X35" s="111" t="s">
        <v>212</v>
      </c>
      <c r="Y35" s="111" t="s">
        <v>213</v>
      </c>
      <c r="Z35" s="111" t="s">
        <v>214</v>
      </c>
      <c r="AA35" s="111" t="s">
        <v>215</v>
      </c>
      <c r="AB35" s="111" t="s">
        <v>216</v>
      </c>
      <c r="AC35" s="111" t="s">
        <v>217</v>
      </c>
      <c r="AD35" s="111" t="s">
        <v>218</v>
      </c>
      <c r="AE35" s="111" t="s">
        <v>219</v>
      </c>
      <c r="AF35" s="26"/>
      <c r="AG35" s="26"/>
      <c r="AH35" s="26"/>
    </row>
    <row r="36" spans="1:34" ht="20.100000000000001" customHeight="1" x14ac:dyDescent="0.25">
      <c r="A36" s="5" t="str">
        <f>HYPERLINK("#'5.4.1.1-4 Atmos deposition'!A1", "5.4.1.1-4 Atmos. deposition")</f>
        <v>5.4.1.1-4 Atmos. deposition</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HYPERLINK("#'5.5.1.1-2 Leaching and runoff'!A1", "5.5.1.1-2 Leaching &amp; runoff")</f>
        <v>5.5.1.1-2 Leaching &amp; runoff</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HYPERLINK("#'6.2.1.1-2 Pasture residue N2O'!A1", "6.2.1.1-2 Pasture residue N2O")</f>
        <v>6.2.1.1-2 Pasture residue N2O</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HYPERLINK("#'6.3.1.1-2 Leach runoff pasture'!A1", "6.3.1.1-2 Leach &amp; runoff (pasture)")</f>
        <v>6.3.1.1-2 Leach &amp; runoff (pasture)</v>
      </c>
      <c r="C39" s="113"/>
      <c r="D39" s="113"/>
      <c r="E39" s="113"/>
      <c r="F39" s="113"/>
      <c r="G39" s="113"/>
      <c r="H39" s="113"/>
      <c r="I39" s="113"/>
      <c r="J39" s="113"/>
      <c r="K39" s="113"/>
      <c r="L39" s="113"/>
      <c r="M39" s="113"/>
      <c r="N39" s="113"/>
      <c r="O39" s="113"/>
      <c r="P39" s="113"/>
      <c r="Q39" s="113"/>
      <c r="R39" s="113"/>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HYPERLINK("#'8.1.1.1-2 Transport fuel'!A1", "8.1.1.1-2 Transport fuel")</f>
        <v>8.1.1.1-2 Transport fuel</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HYPERLINK("#'8.2.1.1-2 Stationary fuel'!A1", "8.2.1.1-2 Stationary fuel")</f>
        <v>8.2.1.1-2 Stationary fuel</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HYPERLINK("#'15 Scope 3'!A1", "15 Scope 3")</f>
        <v>15 Scope 3</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HYPERLINK("#'Calcs - Manure sent off-site'!A1", "Calcs - Manure sent off-site")</f>
        <v>Calcs - Manure sent off-site</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HYPERLINK("#'10.1.1-2 Solid waste treatment'!A1", "10.1.1-2 Solid waste treatment")</f>
        <v>10.1.1-2 Solid waste treatment</v>
      </c>
      <c r="D45" s="88" t="s">
        <v>261</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96" t="s">
        <v>1</v>
      </c>
      <c r="D48" s="102" t="str" cm="1">
        <f t="array" ref="D48:E49">_xlfn.CHOOSECOLS(MMS_PastureBeef_Soil_N2ODirect_Equations.VEERG_4_2_1_3__6_IntakeRelativeToMaintenance_Arguments(),1,2)</f>
        <v>I_jkl</v>
      </c>
      <c r="E48" s="103" t="str">
        <v>dry matter intake as calculated in Chapter 3 Section 3.2.1 (kg DM/head/day)</v>
      </c>
      <c r="F48" s="105"/>
      <c r="G48" s="102" t="str" cm="1">
        <f t="array" ref="G48:H49">_xlfn.CHOOSECOLS(MMS_PastureBeef_Soil_N2ODirect_Equations.VEERG_4_2_1_3__6_IntakeRelativeToMaintenance_Arguments(),3,4)</f>
        <v>kg DM/head/day</v>
      </c>
      <c r="H48" s="107" t="str">
        <v>Calculated from 3.2.1.1 (3)</v>
      </c>
      <c r="I48" s="108" t="str" cm="1">
        <f t="array" aca="1" ref="I48" ca="1">HYPERLINK(Common_InputFunctions.Utility_SourceHyperlink($D$51), $D$51)</f>
        <v>M1_Table_I_j_k_l</v>
      </c>
    </row>
    <row r="49" spans="1:35" ht="20.100000000000001" customHeight="1" x14ac:dyDescent="0.25">
      <c r="A49" s="5" t="str">
        <f>HYPERLINK("#'Constants - Pasture Beef'!A1", "Constants - Pasture Beef")</f>
        <v>Constants - Pasture Beef</v>
      </c>
      <c r="D49" s="102" t="str">
        <v>W_jkl</v>
      </c>
      <c r="E49" s="103" t="str">
        <v>liveweight (kg/head)</v>
      </c>
      <c r="F49" s="105"/>
      <c r="G49" s="102" t="str">
        <v>kg/head</v>
      </c>
      <c r="H49" s="106" t="str">
        <v>Input</v>
      </c>
      <c r="I49" s="108" t="str" cm="1">
        <f t="array" aca="1" ref="I49" ca="1">HYPERLINK(Common_InputFunctions.Utility_SourceHyperlink($D$17), $D$17)</f>
        <v>M1_Table_W_j_k_l</v>
      </c>
    </row>
    <row r="50" spans="1:35" ht="20.100000000000001" customHeight="1" x14ac:dyDescent="0.25">
      <c r="A50" s="5" t="str">
        <f>HYPERLINK("#'Constants - Ag Residue'!A1", "Constants - Ag residue")</f>
        <v>Constants - Ag residue</v>
      </c>
      <c r="T50" s="113"/>
      <c r="U50" s="113"/>
      <c r="V50" s="113"/>
      <c r="W50" s="113"/>
      <c r="X50" s="113"/>
      <c r="Y50" s="113"/>
      <c r="Z50" s="113"/>
      <c r="AA50" s="113"/>
      <c r="AB50" s="113"/>
      <c r="AC50" s="113"/>
      <c r="AD50" s="113"/>
      <c r="AE50" s="113"/>
      <c r="AF50" s="113"/>
      <c r="AG50" s="113"/>
      <c r="AH50" s="113"/>
      <c r="AI50" s="113"/>
    </row>
    <row r="51" spans="1:35" ht="20.100000000000001" customHeight="1" x14ac:dyDescent="0.25">
      <c r="A51" s="5" t="str">
        <f>HYPERLINK("#'Constants - Common Livestock'!A1", "Constants - Common Livestock")</f>
        <v>Constants - Common Livestock</v>
      </c>
      <c r="D51" s="109" t="s">
        <v>280</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Electricity'!A1", "Constants - Electricity")</f>
        <v>Constants - Electricity</v>
      </c>
      <c r="D52" s="110" t="s">
        <v>281</v>
      </c>
    </row>
    <row r="53" spans="1:35" ht="20.100000000000001" customHeight="1" x14ac:dyDescent="0.25">
      <c r="A53" s="5" t="str">
        <f>HYPERLINK("#'Constants - Fertiliser'!A1", "Constants - Fertiliser")</f>
        <v>Constants - Fertiliser</v>
      </c>
      <c r="D53" s="111" t="s">
        <v>77</v>
      </c>
      <c r="E53" s="111" t="s">
        <v>211</v>
      </c>
      <c r="F53" s="111" t="s">
        <v>201</v>
      </c>
      <c r="G53" s="111" t="s">
        <v>212</v>
      </c>
      <c r="H53" s="111" t="s">
        <v>213</v>
      </c>
      <c r="I53" s="111" t="s">
        <v>214</v>
      </c>
      <c r="J53" s="111" t="s">
        <v>215</v>
      </c>
      <c r="K53" s="111" t="s">
        <v>216</v>
      </c>
      <c r="L53" s="111" t="s">
        <v>217</v>
      </c>
      <c r="M53" s="111" t="s">
        <v>218</v>
      </c>
      <c r="N53" s="111" t="s">
        <v>219</v>
      </c>
      <c r="U53" s="109" t="s">
        <v>282</v>
      </c>
    </row>
    <row r="54" spans="1:35" ht="20.100000000000001" customHeight="1" x14ac:dyDescent="0.25">
      <c r="A54" s="5" t="str">
        <f>HYPERLINK("#'Constants - Fuel'!A1", "Constants - Fuel")</f>
        <v>Constants - Fuel</v>
      </c>
      <c r="D54" s="25" t="s">
        <v>220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0" t="s">
        <v>283</v>
      </c>
    </row>
    <row r="55" spans="1:35" ht="20.100000000000001" customHeight="1" x14ac:dyDescent="0.25">
      <c r="A55" s="5" t="str">
        <f>HYPERLINK("#'Constants - Scope 3'!A1", "Constants - Scope 3")</f>
        <v>Constants - Scope 3</v>
      </c>
      <c r="D55" s="25" t="s">
        <v>221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1" t="s">
        <v>76</v>
      </c>
      <c r="V55" s="111" t="s">
        <v>211</v>
      </c>
      <c r="W55" s="111" t="s">
        <v>201</v>
      </c>
      <c r="X55" s="111" t="s">
        <v>212</v>
      </c>
      <c r="Y55" s="111" t="s">
        <v>213</v>
      </c>
      <c r="Z55" s="111" t="s">
        <v>214</v>
      </c>
      <c r="AA55" s="111" t="s">
        <v>215</v>
      </c>
      <c r="AB55" s="111" t="s">
        <v>216</v>
      </c>
      <c r="AC55" s="111" t="s">
        <v>217</v>
      </c>
      <c r="AD55" s="111" t="s">
        <v>218</v>
      </c>
      <c r="AE55" s="111" t="s">
        <v>219</v>
      </c>
    </row>
    <row r="56" spans="1:35" ht="20.100000000000001" customHeight="1" x14ac:dyDescent="0.25">
      <c r="A56" s="5" t="str">
        <f>HYPERLINK("#'Constants - Common'!A1", "Constants - Common")</f>
        <v>Constants - Common</v>
      </c>
      <c r="D56" s="25" t="s">
        <v>222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HYPERLINK("#'Acknowledgements'!A1", "Acknowledgements")</f>
        <v>Acknowledgements</v>
      </c>
      <c r="D57" s="25" t="s">
        <v>223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HYPERLINK("#'Constants - Solid Waste'!A1", "Constants - Solid Waste")</f>
        <v>Constants - Solid Waste</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D59" s="109" t="s">
        <v>429</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0" t="s">
        <v>430</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1" t="s">
        <v>77</v>
      </c>
      <c r="E61" s="111" t="s">
        <v>211</v>
      </c>
      <c r="F61" s="111" t="s">
        <v>201</v>
      </c>
      <c r="G61" s="111" t="s">
        <v>212</v>
      </c>
      <c r="H61" s="111" t="s">
        <v>213</v>
      </c>
      <c r="I61" s="111" t="s">
        <v>214</v>
      </c>
      <c r="J61" s="111" t="s">
        <v>215</v>
      </c>
      <c r="K61" s="111" t="s">
        <v>216</v>
      </c>
      <c r="L61" s="111" t="s">
        <v>217</v>
      </c>
      <c r="M61" s="111" t="s">
        <v>218</v>
      </c>
      <c r="N61" s="111" t="s">
        <v>219</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220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221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222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223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3"/>
      <c r="D68" s="113"/>
      <c r="E68" s="113"/>
      <c r="F68" s="113"/>
      <c r="G68" s="113"/>
      <c r="H68" s="113"/>
      <c r="I68" s="113"/>
      <c r="J68" s="113"/>
      <c r="K68" s="113"/>
      <c r="L68" s="113"/>
      <c r="M68" s="113"/>
      <c r="N68" s="113"/>
      <c r="O68" s="113"/>
      <c r="P68" s="113"/>
      <c r="Q68" s="113"/>
      <c r="R68" s="113"/>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09" t="s">
        <v>431</v>
      </c>
    </row>
    <row r="70" spans="3:34" ht="20.100000000000001" customHeight="1" x14ac:dyDescent="0.25">
      <c r="D70" s="27" t="str" cm="1">
        <f t="array" ref="D70">MMS_PastureBeef_Soil_N2ODirect_Equations.VEERG_4_2_1_3__5_MilkProductionForCalvingSeason_Source()</f>
        <v>VEERG 2026: 4.2.1.3, Equation (5)</v>
      </c>
      <c r="U70" s="110" t="s">
        <v>432</v>
      </c>
    </row>
    <row r="71" spans="3:34" ht="20.100000000000001" customHeight="1" x14ac:dyDescent="0.25">
      <c r="D71" s="36"/>
      <c r="U71" s="111" t="s">
        <v>76</v>
      </c>
      <c r="V71" s="111" t="s">
        <v>211</v>
      </c>
      <c r="W71" s="111" t="s">
        <v>201</v>
      </c>
      <c r="X71" s="111" t="s">
        <v>212</v>
      </c>
      <c r="Y71" s="111" t="s">
        <v>213</v>
      </c>
      <c r="Z71" s="111" t="s">
        <v>214</v>
      </c>
      <c r="AA71" s="111" t="s">
        <v>215</v>
      </c>
      <c r="AB71" s="111" t="s">
        <v>216</v>
      </c>
      <c r="AC71" s="111" t="s">
        <v>217</v>
      </c>
      <c r="AD71" s="111" t="s">
        <v>218</v>
      </c>
      <c r="AE71" s="111" t="s">
        <v>219</v>
      </c>
    </row>
    <row r="72" spans="3:34" ht="20.100000000000001" customHeight="1" x14ac:dyDescent="0.25">
      <c r="D72" s="100" t="s">
        <v>259</v>
      </c>
      <c r="E72" s="100" t="s">
        <v>433</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261</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2" t="str" cm="1">
        <f t="array" ref="D78:E82">_xlfn.CHOOSECOLS(MMS_PastureBeef_Soil_N2ODirect_Equations.VEERG_4_2_1_3__5_MilkProductionForCalvingSeason_ArgumentsVariation(),1,2)</f>
        <v>LC_jk5curr</v>
      </c>
      <c r="E78" s="103" t="str">
        <v>proportion of cows greater than 2 years lactating for the season of calving</v>
      </c>
      <c r="F78" s="105"/>
      <c r="G78" s="102" t="str" cm="1">
        <f t="array" ref="G78:H82">_xlfn.CHOOSECOLS(MMS_PastureBeef_Soil_N2ODirect_Equations.VEERG_4_2_1_3__5_MilkProductionForCalvingSeason_ArgumentsVariation(),3,4)</f>
        <v>fraction</v>
      </c>
      <c r="H78" s="106" t="str">
        <v>Input</v>
      </c>
      <c r="I78" s="108"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2" t="str">
        <v>LC_jk5prev</v>
      </c>
      <c r="E79" s="103" t="str">
        <v>proportion of cows greater than 2 years lactating for the season after calving</v>
      </c>
      <c r="F79" s="105"/>
      <c r="G79" s="102" t="str">
        <v>fraction</v>
      </c>
      <c r="H79" s="106" t="str">
        <v>Input</v>
      </c>
      <c r="I79" s="108"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2" t="str">
        <v>DMP_jk5calv</v>
      </c>
      <c r="E80" s="103" t="str">
        <v>daily milk production for the season of calving (kg/head/day)</v>
      </c>
      <c r="F80" s="105"/>
      <c r="G80" s="102" t="str">
        <v>kg/head/day</v>
      </c>
      <c r="H80" s="107" t="str">
        <v>Constant</v>
      </c>
      <c r="I80" s="117"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2" t="str">
        <v>DMP_jk5after</v>
      </c>
      <c r="E81" s="103" t="str">
        <v>daily milk production for the season after calving (kg/head/day)</v>
      </c>
      <c r="F81" s="105"/>
      <c r="G81" s="102" t="str">
        <v>kg/head/day</v>
      </c>
      <c r="H81" s="107" t="str">
        <v>Constant</v>
      </c>
      <c r="I81" s="11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2" t="str">
        <v>b</v>
      </c>
      <c r="E82" s="103" t="str">
        <v>breed of cattle</v>
      </c>
      <c r="F82" s="105"/>
      <c r="G82" s="102" t="str">
        <v/>
      </c>
      <c r="H82" s="106" t="str">
        <v>Input</v>
      </c>
      <c r="I82" s="117"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09" t="s">
        <v>262</v>
      </c>
    </row>
    <row r="85" spans="4:35" ht="20.100000000000001" customHeight="1" x14ac:dyDescent="0.25">
      <c r="D85" s="110" t="s">
        <v>263</v>
      </c>
    </row>
    <row r="86" spans="4:35" ht="20.100000000000001" customHeight="1" x14ac:dyDescent="0.25">
      <c r="D86" s="111" t="s">
        <v>77</v>
      </c>
      <c r="E86" s="112" t="s">
        <v>213</v>
      </c>
      <c r="F86" s="112" t="s">
        <v>214</v>
      </c>
      <c r="G86" s="112" t="s">
        <v>215</v>
      </c>
      <c r="T86" s="113"/>
      <c r="U86" s="113"/>
      <c r="V86" s="113"/>
      <c r="W86" s="113"/>
      <c r="X86" s="113"/>
      <c r="Y86" s="113"/>
      <c r="Z86" s="113"/>
      <c r="AA86" s="113"/>
      <c r="AB86" s="113"/>
      <c r="AC86" s="113"/>
      <c r="AD86" s="113"/>
      <c r="AE86" s="113"/>
      <c r="AF86" s="113"/>
      <c r="AG86" s="113"/>
      <c r="AH86" s="113"/>
      <c r="AI86" s="113"/>
    </row>
    <row r="87" spans="4:35" ht="20.100000000000001" customHeight="1" x14ac:dyDescent="0.25">
      <c r="D87" s="25" t="str">
        <f>'Input - Pasture Beef'!$E$105</f>
        <v>Winter</v>
      </c>
      <c r="E87" s="172">
        <f>'Input - Pasture Beef'!$F$111</f>
        <v>0.7</v>
      </c>
      <c r="F87" s="172">
        <f>'Input - Pasture Beef'!$G$111</f>
        <v>0.5</v>
      </c>
      <c r="G87" s="172">
        <f>'Input - Pasture Beef'!$H$111</f>
        <v>0.5</v>
      </c>
      <c r="H87" s="26" t="s">
        <v>266</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09" t="s">
        <v>264</v>
      </c>
    </row>
    <row r="90" spans="4:35" ht="20.100000000000001" customHeight="1" x14ac:dyDescent="0.25">
      <c r="U90" s="110" t="s">
        <v>265</v>
      </c>
    </row>
    <row r="91" spans="4:35" ht="20.100000000000001" customHeight="1" x14ac:dyDescent="0.25">
      <c r="U91" s="111" t="s">
        <v>76</v>
      </c>
      <c r="V91" s="112" t="s">
        <v>213</v>
      </c>
      <c r="W91" s="112" t="s">
        <v>214</v>
      </c>
      <c r="X91" s="112" t="s">
        <v>215</v>
      </c>
    </row>
    <row r="92" spans="4:35" ht="20.100000000000001" customHeight="1" x14ac:dyDescent="0.25">
      <c r="D92" s="109" t="s">
        <v>434</v>
      </c>
      <c r="U92" s="25" t="str">
        <f>TEXT(EDATE('Input - Pasture Beef'!$D$125,0), "mmmm") &amp; ", " &amp; TEXT(EDATE('Input - Pasture Beef'!$D$126,0), "mmmm") &amp; ", " &amp; TEXT(EDATE('Input - Pasture Beef'!$D$127,0), "mmmm")</f>
        <v>August, September, October</v>
      </c>
      <c r="V92" s="172">
        <f>'Input - Pasture Beef'!$E$128</f>
        <v>0.75</v>
      </c>
      <c r="W92" s="172">
        <f>'Input - Pasture Beef'!$F$128</f>
        <v>0.75</v>
      </c>
      <c r="X92" s="172">
        <f>'Input - Pasture Beef'!$G$128</f>
        <v>0.75</v>
      </c>
      <c r="Y92" s="26" t="s">
        <v>266</v>
      </c>
    </row>
    <row r="93" spans="4:35" ht="20.100000000000001" customHeight="1" x14ac:dyDescent="0.25">
      <c r="D93" s="110" t="s">
        <v>435</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1" t="s">
        <v>77</v>
      </c>
      <c r="E94" s="111" t="s">
        <v>233</v>
      </c>
      <c r="F94" s="111" t="s">
        <v>436</v>
      </c>
      <c r="G94" s="111" t="s">
        <v>211</v>
      </c>
      <c r="H94" s="111" t="s">
        <v>201</v>
      </c>
      <c r="I94" s="111" t="s">
        <v>212</v>
      </c>
      <c r="J94" s="111" t="s">
        <v>213</v>
      </c>
      <c r="K94" s="111" t="s">
        <v>214</v>
      </c>
      <c r="L94" s="111" t="s">
        <v>215</v>
      </c>
      <c r="M94" s="111" t="s">
        <v>216</v>
      </c>
      <c r="N94" s="111" t="s">
        <v>217</v>
      </c>
      <c r="O94" s="111" t="s">
        <v>218</v>
      </c>
      <c r="P94" s="111" t="s">
        <v>219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09" t="s">
        <v>437</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0" t="s">
        <v>435</v>
      </c>
    </row>
    <row r="99" spans="3:34" ht="20.100000000000001" customHeight="1" x14ac:dyDescent="0.25">
      <c r="U99" s="111" t="s">
        <v>76</v>
      </c>
      <c r="V99" s="111" t="s">
        <v>233</v>
      </c>
      <c r="W99" s="111" t="s">
        <v>436</v>
      </c>
      <c r="X99" s="111" t="s">
        <v>211</v>
      </c>
      <c r="Y99" s="111" t="s">
        <v>201</v>
      </c>
      <c r="Z99" s="111" t="s">
        <v>212</v>
      </c>
      <c r="AA99" s="111" t="s">
        <v>213</v>
      </c>
      <c r="AB99" s="111" t="s">
        <v>214</v>
      </c>
      <c r="AC99" s="111" t="s">
        <v>215</v>
      </c>
      <c r="AD99" s="111" t="s">
        <v>216</v>
      </c>
      <c r="AE99" s="111" t="s">
        <v>217</v>
      </c>
      <c r="AF99" s="111" t="s">
        <v>218</v>
      </c>
      <c r="AG99" s="111" t="s">
        <v>219</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3"/>
      <c r="D101" s="113"/>
      <c r="E101" s="113"/>
      <c r="F101" s="113"/>
      <c r="G101" s="113"/>
      <c r="H101" s="113"/>
      <c r="I101" s="113"/>
      <c r="J101" s="113"/>
      <c r="K101" s="113"/>
      <c r="L101" s="113"/>
      <c r="M101" s="113"/>
      <c r="N101" s="113"/>
      <c r="O101" s="113"/>
      <c r="P101" s="113"/>
      <c r="Q101" s="113"/>
      <c r="R101" s="113"/>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0" t="s">
        <v>259</v>
      </c>
      <c r="E104" s="100"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261</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2" t="str" cm="1">
        <f t="array" ref="D111:E114">_xlfn.CHOOSECOLS(MMS_PastureBeef_Soil_N2ODirect_Equations.VEERG_4_2_1_3__4_NitrogenRetainedByBody_Arguments(),1,2)</f>
        <v>MP_jk5</v>
      </c>
      <c r="E111" s="103" t="str">
        <v>milk production (kg/head/day)</v>
      </c>
      <c r="F111" s="105"/>
      <c r="G111" s="102" t="str" cm="1">
        <f t="array" ref="G111:H114">_xlfn.CHOOSECOLS(MMS_PastureBeef_Soil_N2ODirect_Equations.VEERG_4_2_1_3__4_NitrogenRetainedByBody_Arguments(),3,4)</f>
        <v>kg/head/day</v>
      </c>
      <c r="H111" s="107" t="str">
        <v>Calculated from 4.2.1.3 (5)</v>
      </c>
      <c r="I111" s="108"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2" t="str">
        <v>L_jkl</v>
      </c>
      <c r="E112" s="103" t="str">
        <v>intake relative to that needed for maintenance</v>
      </c>
      <c r="F112" s="105"/>
      <c r="G112" s="102" t="str">
        <v/>
      </c>
      <c r="H112" s="107" t="str">
        <v>Calculated from 4.2.1.3 (6)</v>
      </c>
      <c r="I112" s="108" t="str" cm="1">
        <f t="array" aca="1" ref="I112" ca="1">HYPERLINK(Common_InputFunctions.Utility_SourceHyperlink($D$59), $D$59)</f>
        <v>M1_Table_L_j_k_l</v>
      </c>
    </row>
    <row r="113" spans="4:35" ht="20.100000000000001" customHeight="1" x14ac:dyDescent="0.25">
      <c r="D113" s="102" t="str">
        <v>Z_jkl</v>
      </c>
      <c r="E113" s="103" t="str">
        <v>relative size</v>
      </c>
      <c r="F113" s="105"/>
      <c r="G113" s="102" t="str">
        <v/>
      </c>
      <c r="H113" s="107" t="str">
        <v>Calculated from 4.2.1.3 (7)</v>
      </c>
      <c r="I113" s="108" t="str" cm="1">
        <f t="array" aca="1" ref="I113" ca="1">HYPERLINK(Common_InputFunctions.Utility_SourceHyperlink($D$30), $D$30)</f>
        <v>M1_Table_Z_j_k_l</v>
      </c>
    </row>
    <row r="114" spans="4:35" ht="20.100000000000001" customHeight="1" x14ac:dyDescent="0.25">
      <c r="D114" s="102" t="str">
        <v>LWG_jkl</v>
      </c>
      <c r="E114" s="103" t="str">
        <v>liveweight gain (kg/head/day)</v>
      </c>
      <c r="F114" s="105"/>
      <c r="G114" s="102" t="str">
        <v>kg/head/day</v>
      </c>
      <c r="H114" s="106" t="str">
        <v>Input</v>
      </c>
      <c r="I114" s="108" t="str" cm="1">
        <f t="array" aca="1" ref="I114" ca="1">HYPERLINK(Common_InputFunctions.Utility_SourceHyperlink($D$116), $D$116)</f>
        <v>M1_Table_LWG_j_k_l</v>
      </c>
      <c r="T114" s="113"/>
      <c r="U114" s="113"/>
      <c r="V114" s="113"/>
      <c r="W114" s="113"/>
      <c r="X114" s="113"/>
      <c r="Y114" s="113"/>
      <c r="Z114" s="113"/>
      <c r="AA114" s="113"/>
      <c r="AB114" s="113"/>
      <c r="AC114" s="113"/>
      <c r="AD114" s="113"/>
      <c r="AE114" s="113"/>
      <c r="AF114" s="113"/>
      <c r="AG114" s="113"/>
      <c r="AH114" s="113"/>
      <c r="AI114" s="113"/>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09" t="s">
        <v>276</v>
      </c>
    </row>
    <row r="117" spans="4:35" ht="20.100000000000001" customHeight="1" x14ac:dyDescent="0.25">
      <c r="D117" s="110" t="s">
        <v>277</v>
      </c>
      <c r="U117" s="109" t="s">
        <v>278</v>
      </c>
    </row>
    <row r="118" spans="4:35" ht="20.100000000000001" customHeight="1" x14ac:dyDescent="0.25">
      <c r="D118" s="111" t="s">
        <v>77</v>
      </c>
      <c r="E118" s="112" t="s">
        <v>211</v>
      </c>
      <c r="F118" s="112" t="s">
        <v>201</v>
      </c>
      <c r="G118" s="112" t="s">
        <v>212</v>
      </c>
      <c r="H118" s="112" t="s">
        <v>213</v>
      </c>
      <c r="I118" s="112" t="s">
        <v>214</v>
      </c>
      <c r="J118" s="112" t="s">
        <v>215</v>
      </c>
      <c r="K118" s="112" t="s">
        <v>216</v>
      </c>
      <c r="L118" s="112" t="s">
        <v>217</v>
      </c>
      <c r="M118" s="112" t="s">
        <v>218</v>
      </c>
      <c r="N118" s="112" t="s">
        <v>219</v>
      </c>
      <c r="U118" s="110" t="s">
        <v>279</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229</v>
      </c>
      <c r="U119" s="111" t="s">
        <v>76</v>
      </c>
      <c r="V119" s="112" t="s">
        <v>211</v>
      </c>
      <c r="W119" s="112" t="s">
        <v>201</v>
      </c>
      <c r="X119" s="112" t="s">
        <v>212</v>
      </c>
      <c r="Y119" s="112" t="s">
        <v>213</v>
      </c>
      <c r="Z119" s="112" t="s">
        <v>214</v>
      </c>
      <c r="AA119" s="112" t="s">
        <v>215</v>
      </c>
      <c r="AB119" s="112" t="s">
        <v>216</v>
      </c>
      <c r="AC119" s="112" t="s">
        <v>217</v>
      </c>
      <c r="AD119" s="112" t="s">
        <v>218</v>
      </c>
      <c r="AE119" s="112" t="s">
        <v>219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229</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231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229</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231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229</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231</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231</v>
      </c>
      <c r="AG123" s="26"/>
      <c r="AH123" s="26"/>
    </row>
    <row r="124" spans="4:35" ht="20.100000000000001" customHeight="1" x14ac:dyDescent="0.25">
      <c r="D124" s="109" t="s">
        <v>438</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231</v>
      </c>
      <c r="AG124" s="26"/>
      <c r="AH124" s="26"/>
    </row>
    <row r="125" spans="4:35" ht="20.100000000000001" customHeight="1" x14ac:dyDescent="0.25">
      <c r="D125" s="110" t="s">
        <v>439</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231</v>
      </c>
      <c r="AG125" s="26"/>
      <c r="AH125" s="26"/>
    </row>
    <row r="126" spans="4:35" ht="20.100000000000001" customHeight="1" x14ac:dyDescent="0.25">
      <c r="D126" s="111" t="s">
        <v>77</v>
      </c>
      <c r="E126" s="111" t="s">
        <v>211</v>
      </c>
      <c r="F126" s="111" t="s">
        <v>201</v>
      </c>
      <c r="G126" s="111" t="s">
        <v>212</v>
      </c>
      <c r="H126" s="111" t="s">
        <v>213</v>
      </c>
      <c r="I126" s="111" t="s">
        <v>214</v>
      </c>
      <c r="J126" s="111" t="s">
        <v>215</v>
      </c>
      <c r="K126" s="111" t="s">
        <v>216</v>
      </c>
      <c r="L126" s="111" t="s">
        <v>217</v>
      </c>
      <c r="M126" s="111" t="s">
        <v>218</v>
      </c>
      <c r="N126" s="111" t="s">
        <v>219</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231</v>
      </c>
      <c r="AG126" s="26"/>
      <c r="AH126" s="26"/>
    </row>
    <row r="127" spans="4:35" ht="20.100000000000001" customHeight="1" x14ac:dyDescent="0.25">
      <c r="D127" s="25" t="s">
        <v>220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231</v>
      </c>
      <c r="AG127" s="26"/>
      <c r="AH127" s="26"/>
    </row>
    <row r="128" spans="4:35" ht="20.100000000000001" customHeight="1" x14ac:dyDescent="0.25">
      <c r="D128" s="25" t="s">
        <v>221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231</v>
      </c>
      <c r="AG128" s="26"/>
      <c r="AH128" s="26"/>
    </row>
    <row r="129" spans="3:34" ht="20.100000000000001" customHeight="1" x14ac:dyDescent="0.25">
      <c r="D129" s="25" t="s">
        <v>222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231</v>
      </c>
      <c r="AG129" s="26"/>
      <c r="AH129" s="26"/>
    </row>
    <row r="130" spans="3:34" ht="20.100000000000001" customHeight="1" x14ac:dyDescent="0.25">
      <c r="D130" s="25" t="s">
        <v>223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231</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231</v>
      </c>
      <c r="AG131" s="26"/>
      <c r="AH131" s="26"/>
    </row>
    <row r="132" spans="3:34" ht="20.100000000000001" customHeight="1" x14ac:dyDescent="0.25"/>
    <row r="133" spans="3:34" ht="20.100000000000001" customHeight="1" x14ac:dyDescent="0.25">
      <c r="C133" s="113"/>
      <c r="D133" s="113"/>
      <c r="E133" s="113"/>
      <c r="F133" s="113"/>
      <c r="G133" s="113"/>
      <c r="H133" s="113"/>
      <c r="I133" s="113"/>
      <c r="J133" s="113"/>
      <c r="K133" s="113"/>
      <c r="L133" s="113"/>
      <c r="M133" s="113"/>
      <c r="N133" s="113"/>
      <c r="O133" s="113"/>
      <c r="P133" s="113"/>
      <c r="Q133" s="113"/>
      <c r="R133" s="113"/>
      <c r="U133" s="109" t="s">
        <v>440</v>
      </c>
    </row>
    <row r="134" spans="3:34" ht="20.100000000000001" customHeight="1" x14ac:dyDescent="0.25">
      <c r="D134" s="2" t="str" cm="1">
        <f t="array" ref="D134">MMS_PastureBeef_Soil_N2ODirect_Equations.VEERG_4_2_1_3__3_NitrogenExcreted_Title()</f>
        <v>Nitrogen excreted</v>
      </c>
      <c r="U134" s="110" t="s">
        <v>441</v>
      </c>
    </row>
    <row r="135" spans="3:34" ht="20.100000000000001" customHeight="1" x14ac:dyDescent="0.25">
      <c r="D135" s="27" t="str" cm="1">
        <f t="array" ref="D135">MMS_PastureBeef_Soil_N2ODirect_Equations.VEERG_4_2_1_3__3_NitrogenExcreted_Source()</f>
        <v>VEERG 2026: 4.2.1.3, Equation (3)</v>
      </c>
      <c r="U135" s="111" t="s">
        <v>76</v>
      </c>
      <c r="V135" s="111" t="s">
        <v>211</v>
      </c>
      <c r="W135" s="111" t="s">
        <v>201</v>
      </c>
      <c r="X135" s="111" t="s">
        <v>212</v>
      </c>
      <c r="Y135" s="111" t="s">
        <v>213</v>
      </c>
      <c r="Z135" s="111" t="s">
        <v>214</v>
      </c>
      <c r="AA135" s="111" t="s">
        <v>215</v>
      </c>
      <c r="AB135" s="111" t="s">
        <v>216</v>
      </c>
      <c r="AC135" s="111" t="s">
        <v>217</v>
      </c>
      <c r="AD135" s="111" t="s">
        <v>218</v>
      </c>
      <c r="AE135" s="111" t="s">
        <v>219</v>
      </c>
    </row>
    <row r="136" spans="3:34" ht="20.100000000000001" customHeight="1" x14ac:dyDescent="0.25">
      <c r="D136" s="100" t="s">
        <v>259</v>
      </c>
      <c r="E136" s="100"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261</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2" t="str" cm="1">
        <f t="array" ref="D142:E148">_xlfn.CHOOSECOLS(MMS_PastureBeef_Soil_N2ODirect_Equations.VEERG_4_2_1_3__3_NitrogenExcreted_Arguments(),1,2)</f>
        <v>I_jkl</v>
      </c>
      <c r="E142" s="103" t="str">
        <v>dry matter intake as calculated in Chapter 3 Section 3.2.1 (kg DM/head/day)</v>
      </c>
      <c r="F142" s="105"/>
      <c r="G142" s="102" t="str" cm="1">
        <f t="array" ref="G142:H148">_xlfn.CHOOSECOLS(MMS_PastureBeef_Soil_N2ODirect_Equations.VEERG_4_2_1_3__3_NitrogenExcreted_Arguments(),3,4)</f>
        <v>kg DM/head/day</v>
      </c>
      <c r="H142" s="107" t="str">
        <v>Calculated from 3.2.1.1 (3)</v>
      </c>
      <c r="I142" s="108"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2" t="str">
        <v>CP_j</v>
      </c>
      <c r="E143" s="103" t="str">
        <v>crude protein content of dry matter intake</v>
      </c>
      <c r="F143" s="105"/>
      <c r="G143" s="102" t="str">
        <v>fraction</v>
      </c>
      <c r="H143" s="106" t="str">
        <v>Input</v>
      </c>
      <c r="I143" s="108"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2" t="str">
        <v>MC_jk136</v>
      </c>
      <c r="E144" s="103" t="str">
        <v>milk intake (kg/head/day)</v>
      </c>
      <c r="F144" s="105"/>
      <c r="G144" s="102" t="str">
        <v>kg/head/day</v>
      </c>
      <c r="H144" s="107" t="str">
        <v>Constant</v>
      </c>
      <c r="I144" s="108"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2" t="str">
        <v>NR_jkl</v>
      </c>
      <c r="E145" s="103" t="str">
        <v>the amount of nitrogen retained by the body (kg N/head/day)</v>
      </c>
      <c r="F145" s="105"/>
      <c r="G145" s="102" t="str">
        <v>kg N/head/day</v>
      </c>
      <c r="H145" s="107" t="str">
        <v>Calculated from 4.2.1.3 (4)</v>
      </c>
      <c r="I145" s="108"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2" t="str">
        <v>W_jkl</v>
      </c>
      <c r="E146" s="103" t="str">
        <v>liveweight (kg/head)</v>
      </c>
      <c r="F146" s="105"/>
      <c r="G146" s="102" t="str">
        <v>kg/head</v>
      </c>
      <c r="H146" s="106" t="str">
        <v>Input</v>
      </c>
      <c r="I146" s="108"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2" t="str">
        <v>b</v>
      </c>
      <c r="E147" s="103" t="str">
        <v>breed of cattle</v>
      </c>
      <c r="F147" s="105"/>
      <c r="G147" s="102" t="str">
        <v/>
      </c>
      <c r="H147" s="106" t="str">
        <v>Input</v>
      </c>
      <c r="I147" s="117"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2" t="str">
        <v>s</v>
      </c>
      <c r="E148" s="103" t="str">
        <v>Calving season</v>
      </c>
      <c r="F148" s="105"/>
      <c r="G148" s="102" t="str">
        <v/>
      </c>
      <c r="H148" s="106" t="str">
        <v>Input</v>
      </c>
      <c r="I148" s="117" t="str">
        <f>'Input - Pasture Beef'!$E$105</f>
        <v>Winter</v>
      </c>
    </row>
    <row r="149" spans="4:35" ht="20.100000000000001" customHeight="1" x14ac:dyDescent="0.25"/>
    <row r="150" spans="4:35" ht="20.100000000000001" customHeight="1" x14ac:dyDescent="0.25">
      <c r="D150" s="109" t="s">
        <v>442</v>
      </c>
      <c r="T150" s="113"/>
      <c r="U150" s="113"/>
      <c r="V150" s="113"/>
      <c r="W150" s="113"/>
      <c r="X150" s="113"/>
      <c r="Y150" s="113"/>
      <c r="Z150" s="113"/>
      <c r="AA150" s="113"/>
      <c r="AB150" s="113"/>
      <c r="AC150" s="113"/>
      <c r="AD150" s="113"/>
      <c r="AE150" s="113"/>
      <c r="AF150" s="113"/>
      <c r="AG150" s="113"/>
      <c r="AH150" s="113"/>
      <c r="AI150" s="113"/>
    </row>
    <row r="151" spans="4:35" ht="20.100000000000001" customHeight="1" x14ac:dyDescent="0.25">
      <c r="D151" s="110" t="s">
        <v>443</v>
      </c>
      <c r="U151" s="2" t="str" cm="1">
        <f t="array" ref="U151">MMS_PastureBeef_Soil_N2ODirect_Equations.VEERG_4_2_1_3__3_NitrogenExcreted_Title()</f>
        <v>Nitrogen excreted</v>
      </c>
    </row>
    <row r="152" spans="4:35" ht="20.100000000000001" customHeight="1" x14ac:dyDescent="0.25">
      <c r="D152" s="111" t="s">
        <v>77</v>
      </c>
      <c r="E152" s="112" t="s">
        <v>211</v>
      </c>
      <c r="F152" s="112" t="s">
        <v>201</v>
      </c>
      <c r="G152" s="112" t="s">
        <v>212</v>
      </c>
      <c r="H152" s="112" t="s">
        <v>213</v>
      </c>
      <c r="I152" s="112" t="s">
        <v>214</v>
      </c>
      <c r="J152" s="112" t="s">
        <v>215</v>
      </c>
      <c r="K152" s="112" t="s">
        <v>216</v>
      </c>
      <c r="L152" s="112" t="s">
        <v>217</v>
      </c>
      <c r="M152" s="112" t="s">
        <v>218</v>
      </c>
      <c r="N152" s="112" t="s">
        <v>219</v>
      </c>
    </row>
    <row r="153" spans="4:35" ht="20.100000000000001" customHeight="1" x14ac:dyDescent="0.25">
      <c r="D153" s="25" t="s">
        <v>220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250</v>
      </c>
    </row>
    <row r="154" spans="4:35" ht="20.100000000000001" customHeight="1" x14ac:dyDescent="0.25">
      <c r="D154" s="25" t="s">
        <v>221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250</v>
      </c>
    </row>
    <row r="155" spans="4:35" ht="20.100000000000001" customHeight="1" x14ac:dyDescent="0.25">
      <c r="D155" s="25" t="s">
        <v>222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250</v>
      </c>
    </row>
    <row r="156" spans="4:35" ht="20.100000000000001" customHeight="1" x14ac:dyDescent="0.25">
      <c r="D156" s="25" t="s">
        <v>223</v>
      </c>
      <c r="E156" s="25">
        <f ca="1"/>
        <v>0.2</v>
      </c>
      <c r="F156" s="25">
        <f ca="1"/>
        <v>0.2</v>
      </c>
      <c r="G156" s="25">
        <f ca="1"/>
        <v>0.2</v>
      </c>
      <c r="H156" s="25">
        <f ca="1"/>
        <v>0.2</v>
      </c>
      <c r="I156" s="25">
        <f ca="1"/>
        <v>0.2</v>
      </c>
      <c r="J156" s="25">
        <f ca="1"/>
        <v>0.2</v>
      </c>
      <c r="K156" s="25">
        <f ca="1"/>
        <v>0.2</v>
      </c>
      <c r="L156" s="25">
        <f ca="1"/>
        <v>0.2</v>
      </c>
      <c r="M156" s="25">
        <f ca="1"/>
        <v>0.2</v>
      </c>
      <c r="N156" s="25">
        <f ca="1"/>
        <v>0.2</v>
      </c>
      <c r="O156" s="26" t="s">
        <v>250</v>
      </c>
    </row>
    <row r="157" spans="4:35" ht="20.100000000000001" customHeight="1" x14ac:dyDescent="0.25"/>
    <row r="158" spans="4:35" ht="20.100000000000001" customHeight="1" x14ac:dyDescent="0.25">
      <c r="D158" s="109" t="s">
        <v>444</v>
      </c>
    </row>
    <row r="159" spans="4:35" ht="20.100000000000001" customHeight="1" x14ac:dyDescent="0.25">
      <c r="D159" s="110" t="s">
        <v>445</v>
      </c>
    </row>
    <row r="160" spans="4:35" ht="20.100000000000001" customHeight="1" x14ac:dyDescent="0.25">
      <c r="D160" s="111" t="s">
        <v>77</v>
      </c>
      <c r="E160" s="111" t="s">
        <v>233</v>
      </c>
      <c r="F160" s="111" t="s">
        <v>211</v>
      </c>
      <c r="G160" s="111" t="s">
        <v>201</v>
      </c>
      <c r="H160" s="111" t="s">
        <v>212</v>
      </c>
      <c r="I160" s="111" t="s">
        <v>213</v>
      </c>
      <c r="J160" s="111" t="s">
        <v>214</v>
      </c>
      <c r="K160" s="111" t="s">
        <v>215</v>
      </c>
      <c r="L160" s="111" t="s">
        <v>216</v>
      </c>
      <c r="M160" s="111" t="s">
        <v>217</v>
      </c>
      <c r="N160" s="111" t="s">
        <v>218</v>
      </c>
      <c r="O160" s="111" t="s">
        <v>219</v>
      </c>
    </row>
    <row r="161" spans="3:34" ht="20.100000000000001" customHeight="1" x14ac:dyDescent="0.25">
      <c r="D161" s="25" t="s">
        <v>220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231</v>
      </c>
      <c r="Q161" s="26"/>
      <c r="U161" s="109" t="s">
        <v>446</v>
      </c>
    </row>
    <row r="162" spans="3:34" ht="20.100000000000001" customHeight="1" x14ac:dyDescent="0.25">
      <c r="D162" s="25" t="s">
        <v>221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231</v>
      </c>
      <c r="Q162" s="26"/>
      <c r="U162" s="110" t="s">
        <v>447</v>
      </c>
    </row>
    <row r="163" spans="3:34" ht="20.100000000000001" customHeight="1" x14ac:dyDescent="0.25">
      <c r="D163" s="25" t="s">
        <v>222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231</v>
      </c>
      <c r="Q163" s="26"/>
      <c r="U163" s="111" t="s">
        <v>76</v>
      </c>
      <c r="V163" s="112" t="s">
        <v>211</v>
      </c>
      <c r="W163" s="112" t="s">
        <v>201</v>
      </c>
      <c r="X163" s="112" t="s">
        <v>212</v>
      </c>
      <c r="Y163" s="112" t="s">
        <v>213</v>
      </c>
      <c r="Z163" s="112" t="s">
        <v>214</v>
      </c>
      <c r="AA163" s="112" t="s">
        <v>215</v>
      </c>
      <c r="AB163" s="112" t="s">
        <v>216</v>
      </c>
      <c r="AC163" s="112" t="s">
        <v>217</v>
      </c>
      <c r="AD163" s="112" t="s">
        <v>218</v>
      </c>
      <c r="AE163" s="112" t="s">
        <v>219</v>
      </c>
    </row>
    <row r="164" spans="3:34" ht="20.100000000000001" customHeight="1" x14ac:dyDescent="0.25">
      <c r="D164" s="25" t="s">
        <v>223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231</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250</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250</v>
      </c>
    </row>
    <row r="166" spans="3:34" ht="20.100000000000001" customHeight="1" x14ac:dyDescent="0.25">
      <c r="D166" s="109" t="s">
        <v>448</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250</v>
      </c>
    </row>
    <row r="167" spans="3:34" ht="20.100000000000001" customHeight="1" x14ac:dyDescent="0.25">
      <c r="D167" s="110" t="s">
        <v>449</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250</v>
      </c>
    </row>
    <row r="168" spans="3:34" ht="20.100000000000001" customHeight="1" x14ac:dyDescent="0.25">
      <c r="D168" s="111" t="s">
        <v>77</v>
      </c>
      <c r="E168" s="111" t="s">
        <v>211</v>
      </c>
      <c r="F168" s="111" t="s">
        <v>201</v>
      </c>
      <c r="G168" s="111" t="s">
        <v>212</v>
      </c>
      <c r="H168" s="111" t="s">
        <v>213</v>
      </c>
      <c r="I168" s="111" t="s">
        <v>214</v>
      </c>
      <c r="J168" s="111" t="s">
        <v>215</v>
      </c>
      <c r="K168" s="111" t="s">
        <v>216</v>
      </c>
      <c r="L168" s="111" t="s">
        <v>217</v>
      </c>
      <c r="M168" s="111" t="s">
        <v>218</v>
      </c>
      <c r="N168" s="111" t="s">
        <v>219</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250</v>
      </c>
      <c r="AG168" s="26"/>
      <c r="AH168" s="26"/>
    </row>
    <row r="169" spans="3:34" ht="20.100000000000001" customHeight="1" x14ac:dyDescent="0.25">
      <c r="D169" s="25" t="s">
        <v>220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250</v>
      </c>
      <c r="AG169" s="26"/>
      <c r="AH169" s="26"/>
    </row>
    <row r="170" spans="3:34" ht="20.100000000000001" customHeight="1" x14ac:dyDescent="0.25">
      <c r="D170" s="25" t="s">
        <v>221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250</v>
      </c>
      <c r="AG170" s="26"/>
      <c r="AH170" s="26"/>
    </row>
    <row r="171" spans="3:34" ht="20.100000000000001" customHeight="1" x14ac:dyDescent="0.25">
      <c r="D171" s="25" t="s">
        <v>222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250</v>
      </c>
      <c r="AG171" s="26"/>
      <c r="AH171" s="26"/>
    </row>
    <row r="172" spans="3:34" ht="20.100000000000001" customHeight="1" x14ac:dyDescent="0.25">
      <c r="D172" s="25" t="s">
        <v>223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250</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250</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250</v>
      </c>
      <c r="AG174" s="26"/>
      <c r="AH174" s="26"/>
    </row>
    <row r="175" spans="3:34" ht="20.100000000000001" customHeight="1" x14ac:dyDescent="0.25">
      <c r="C175" s="113"/>
      <c r="D175" s="113"/>
      <c r="E175" s="113"/>
      <c r="F175" s="113"/>
      <c r="G175" s="113"/>
      <c r="H175" s="113"/>
      <c r="I175" s="113"/>
      <c r="J175" s="113"/>
      <c r="K175" s="113"/>
      <c r="L175" s="113"/>
      <c r="M175" s="113"/>
      <c r="N175" s="113"/>
      <c r="O175" s="113"/>
      <c r="P175" s="113"/>
      <c r="Q175" s="113"/>
      <c r="R175" s="113"/>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250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09" t="s">
        <v>450</v>
      </c>
      <c r="AH177" s="26"/>
    </row>
    <row r="178" spans="4:34" ht="20.100000000000001" customHeight="1" x14ac:dyDescent="0.25">
      <c r="D178" s="100" t="s">
        <v>259</v>
      </c>
      <c r="E178" s="100" t="str" cm="1">
        <f t="array" aca="1" ref="E178" ca="1">Common_InputFunctions.Utility_DisplayFunctionName($E$207)</f>
        <v>=MMS_PastureBeef_Soil_N2ODirect_Equations.VEERG_4_2_1_3__2_TotalNitrogenExcretedToPastureRangeAndPaddock</v>
      </c>
      <c r="U178" s="110" t="s">
        <v>451</v>
      </c>
      <c r="AH178" s="26"/>
    </row>
    <row r="179" spans="4:34" ht="20.100000000000001" customHeight="1" x14ac:dyDescent="0.25">
      <c r="U179" s="111" t="s">
        <v>76</v>
      </c>
      <c r="V179" s="111" t="s">
        <v>233</v>
      </c>
      <c r="W179" s="111" t="s">
        <v>211</v>
      </c>
      <c r="X179" s="111" t="s">
        <v>201</v>
      </c>
      <c r="Y179" s="111" t="s">
        <v>212</v>
      </c>
      <c r="Z179" s="111" t="s">
        <v>213</v>
      </c>
      <c r="AA179" s="111" t="s">
        <v>214</v>
      </c>
      <c r="AB179" s="111" t="s">
        <v>215</v>
      </c>
      <c r="AC179" s="111" t="s">
        <v>216</v>
      </c>
      <c r="AD179" s="111" t="s">
        <v>217</v>
      </c>
      <c r="AE179" s="111" t="s">
        <v>218</v>
      </c>
      <c r="AF179" s="111" t="s">
        <v>219</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231</v>
      </c>
    </row>
    <row r="181" spans="4:34" ht="20.100000000000001" customHeight="1" x14ac:dyDescent="0.25">
      <c r="D181" s="88" t="s">
        <v>261</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231</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231</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231</v>
      </c>
    </row>
    <row r="184" spans="4:34" ht="20.100000000000001" customHeight="1" x14ac:dyDescent="0.25">
      <c r="D184" s="102" t="str" cm="1">
        <f t="array" ref="D184:E186">_xlfn.CHOOSECOLS(MMS_PastureBeef_Soil_N2ODirect_Equations.VEERG_4_2_1_3__2_TotalNitrogenExcretedToPastureRangeAndPaddock_Arguments(),1,2)</f>
        <v>N_jkl</v>
      </c>
      <c r="E184" s="103" t="str">
        <v>number of beef cattle by time-period, class and subclass</v>
      </c>
      <c r="F184" s="105"/>
      <c r="G184" s="102" t="str" cm="1">
        <f t="array" ref="G184:H186">_xlfn.CHOOSECOLS(MMS_PastureBeef_Soil_N2ODirect_Equations.VEERG_4_2_1_3__2_TotalNitrogenExcretedToPastureRangeAndPaddock_Arguments(),3,4)</f>
        <v>head</v>
      </c>
      <c r="H184" s="106" t="str">
        <v>Input</v>
      </c>
      <c r="I184" s="108"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231</v>
      </c>
      <c r="AH184" s="26"/>
    </row>
    <row r="185" spans="4:34" ht="20.100000000000001" customHeight="1" x14ac:dyDescent="0.25">
      <c r="D185" s="102" t="str">
        <v>NE_jkl</v>
      </c>
      <c r="E185" s="103" t="str">
        <v>nitrogen excreted in each time-period, by each class and subclass</v>
      </c>
      <c r="F185" s="105"/>
      <c r="G185" s="102" t="str">
        <v>kg N/head/day</v>
      </c>
      <c r="H185" s="107" t="str">
        <v>Calculated from 4.2.1.3 (3)</v>
      </c>
      <c r="I185" s="108"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231</v>
      </c>
      <c r="AH185" s="26"/>
    </row>
    <row r="186" spans="4:34" ht="20.100000000000001" customHeight="1" x14ac:dyDescent="0.25">
      <c r="D186" s="102" t="str">
        <v>D_j</v>
      </c>
      <c r="E186" s="103" t="str">
        <v>number of days in each time-period (days)</v>
      </c>
      <c r="F186" s="105"/>
      <c r="G186" s="102" t="str">
        <v>days</v>
      </c>
      <c r="H186" s="106" t="str">
        <v>Input</v>
      </c>
      <c r="I186" s="108"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231</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231</v>
      </c>
      <c r="AH187" s="26"/>
    </row>
    <row r="188" spans="4:34" ht="20.100000000000001" customHeight="1" x14ac:dyDescent="0.25">
      <c r="D188" s="109" t="s">
        <v>288</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231</v>
      </c>
    </row>
    <row r="189" spans="4:34" ht="20.100000000000001" customHeight="1" x14ac:dyDescent="0.25">
      <c r="D189" s="110" t="s">
        <v>289</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231</v>
      </c>
    </row>
    <row r="190" spans="4:34" ht="20.100000000000001" customHeight="1" x14ac:dyDescent="0.25">
      <c r="D190" s="111" t="s">
        <v>77</v>
      </c>
      <c r="E190" s="112" t="s">
        <v>211</v>
      </c>
      <c r="F190" s="112" t="s">
        <v>201</v>
      </c>
      <c r="G190" s="112" t="s">
        <v>212</v>
      </c>
      <c r="H190" s="112" t="s">
        <v>213</v>
      </c>
      <c r="I190" s="112" t="s">
        <v>214</v>
      </c>
      <c r="J190" s="112" t="s">
        <v>215</v>
      </c>
      <c r="K190" s="112" t="s">
        <v>216</v>
      </c>
      <c r="L190" s="112" t="s">
        <v>217</v>
      </c>
      <c r="M190" s="112" t="s">
        <v>218</v>
      </c>
      <c r="N190" s="112" t="s">
        <v>219</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231</v>
      </c>
    </row>
    <row r="191" spans="4:34" ht="20.100000000000001" customHeight="1" x14ac:dyDescent="0.25">
      <c r="D191" s="25" t="s">
        <v>220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415</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231</v>
      </c>
    </row>
    <row r="192" spans="4:34" ht="20.100000000000001" customHeight="1" x14ac:dyDescent="0.25">
      <c r="D192" s="25" t="s">
        <v>221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415</v>
      </c>
    </row>
    <row r="193" spans="4:34" ht="20.100000000000001" customHeight="1" x14ac:dyDescent="0.25">
      <c r="D193" s="25" t="s">
        <v>222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415</v>
      </c>
      <c r="U193" s="109" t="s">
        <v>452</v>
      </c>
    </row>
    <row r="194" spans="4:34" ht="20.100000000000001" customHeight="1" x14ac:dyDescent="0.25">
      <c r="D194" s="25" t="s">
        <v>223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415</v>
      </c>
      <c r="U194" s="110" t="s">
        <v>453</v>
      </c>
    </row>
    <row r="195" spans="4:34" ht="20.100000000000001" customHeight="1" x14ac:dyDescent="0.25">
      <c r="U195" s="111" t="s">
        <v>76</v>
      </c>
      <c r="V195" s="111" t="s">
        <v>211</v>
      </c>
      <c r="W195" s="111" t="s">
        <v>201</v>
      </c>
      <c r="X195" s="111" t="s">
        <v>212</v>
      </c>
      <c r="Y195" s="111" t="s">
        <v>213</v>
      </c>
      <c r="Z195" s="111" t="s">
        <v>214</v>
      </c>
      <c r="AA195" s="111" t="s">
        <v>215</v>
      </c>
      <c r="AB195" s="111" t="s">
        <v>216</v>
      </c>
      <c r="AC195" s="111" t="s">
        <v>217</v>
      </c>
      <c r="AD195" s="111" t="s">
        <v>218</v>
      </c>
      <c r="AE195" s="111" t="s">
        <v>219</v>
      </c>
    </row>
    <row r="196" spans="4:34" ht="20.100000000000001" customHeight="1" x14ac:dyDescent="0.25">
      <c r="D196" s="109" t="s">
        <v>290</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0" t="s">
        <v>291</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1" t="s">
        <v>77</v>
      </c>
      <c r="E198" s="112" t="s">
        <v>211</v>
      </c>
      <c r="F198" s="112" t="s">
        <v>201</v>
      </c>
      <c r="G198" s="112" t="s">
        <v>212</v>
      </c>
      <c r="H198" s="112" t="s">
        <v>213</v>
      </c>
      <c r="I198" s="112" t="s">
        <v>214</v>
      </c>
      <c r="J198" s="112" t="s">
        <v>215</v>
      </c>
      <c r="K198" s="112" t="s">
        <v>216</v>
      </c>
      <c r="L198" s="112" t="s">
        <v>217</v>
      </c>
      <c r="M198" s="112" t="s">
        <v>218</v>
      </c>
      <c r="N198" s="112" t="s">
        <v>219</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220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416</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221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416</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222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416</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223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416</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09" t="s">
        <v>454</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0" t="s">
        <v>455</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1" t="s">
        <v>77</v>
      </c>
      <c r="E206" s="111" t="s">
        <v>211</v>
      </c>
      <c r="F206" s="111" t="s">
        <v>201</v>
      </c>
      <c r="G206" s="111" t="s">
        <v>212</v>
      </c>
      <c r="H206" s="111" t="s">
        <v>213</v>
      </c>
      <c r="I206" s="111" t="s">
        <v>214</v>
      </c>
      <c r="J206" s="111" t="s">
        <v>215</v>
      </c>
      <c r="K206" s="111" t="s">
        <v>216</v>
      </c>
      <c r="L206" s="111" t="s">
        <v>217</v>
      </c>
      <c r="M206" s="111" t="s">
        <v>218</v>
      </c>
      <c r="N206" s="111" t="s">
        <v>219</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220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221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222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223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3"/>
      <c r="U210" s="113"/>
      <c r="V210" s="113"/>
      <c r="W210" s="113"/>
      <c r="X210" s="113"/>
      <c r="Y210" s="113"/>
      <c r="Z210" s="113"/>
      <c r="AA210" s="113"/>
      <c r="AB210" s="113"/>
      <c r="AC210" s="113"/>
      <c r="AD210" s="113"/>
      <c r="AE210" s="113"/>
      <c r="AF210" s="113"/>
      <c r="AG210" s="113"/>
      <c r="AH210" s="113"/>
      <c r="AI210" s="113"/>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5" t="s">
        <v>456</v>
      </c>
      <c r="E212" s="113">
        <f ca="1">SUM(E207:N210)</f>
        <v>60490.349382369524</v>
      </c>
      <c r="F212" s="120" t="str">
        <f>E182</f>
        <v>kg N</v>
      </c>
    </row>
    <row r="213" spans="3:35" ht="20.100000000000001" customHeight="1" x14ac:dyDescent="0.25">
      <c r="U213" s="109" t="s">
        <v>292</v>
      </c>
    </row>
    <row r="214" spans="3:35" ht="20.100000000000001" customHeight="1" x14ac:dyDescent="0.25">
      <c r="U214" s="110" t="s">
        <v>293</v>
      </c>
    </row>
    <row r="215" spans="3:35" ht="20.100000000000001" customHeight="1" x14ac:dyDescent="0.25">
      <c r="C215" s="113"/>
      <c r="D215" s="113"/>
      <c r="E215" s="113"/>
      <c r="F215" s="113"/>
      <c r="G215" s="113"/>
      <c r="H215" s="113"/>
      <c r="I215" s="113"/>
      <c r="J215" s="113"/>
      <c r="K215" s="113"/>
      <c r="L215" s="113"/>
      <c r="M215" s="113"/>
      <c r="N215" s="113"/>
      <c r="O215" s="113"/>
      <c r="P215" s="113"/>
      <c r="Q215" s="113"/>
      <c r="R215" s="113"/>
      <c r="U215" s="111" t="s">
        <v>76</v>
      </c>
      <c r="V215" s="112" t="s">
        <v>211</v>
      </c>
      <c r="W215" s="112" t="s">
        <v>201</v>
      </c>
      <c r="X215" s="112" t="s">
        <v>212</v>
      </c>
      <c r="Y215" s="112" t="s">
        <v>213</v>
      </c>
      <c r="Z215" s="112" t="s">
        <v>214</v>
      </c>
      <c r="AA215" s="112" t="s">
        <v>215</v>
      </c>
      <c r="AB215" s="112" t="s">
        <v>216</v>
      </c>
      <c r="AC215" s="112" t="s">
        <v>217</v>
      </c>
      <c r="AD215" s="112" t="s">
        <v>218</v>
      </c>
      <c r="AE215" s="112" t="s">
        <v>219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415</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415</v>
      </c>
      <c r="AG217" s="26"/>
      <c r="AH217" s="26"/>
    </row>
    <row r="218" spans="3:35" ht="20.100000000000001" customHeight="1" x14ac:dyDescent="0.25">
      <c r="D218" s="100" t="s">
        <v>259</v>
      </c>
      <c r="E218" s="100" t="str" cm="1">
        <f t="array" aca="1" ref="E218" ca="1">Common_InputFunctions.Utility_DisplayFunctionName(E229)</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415</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415</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415</v>
      </c>
      <c r="AG220" s="26"/>
      <c r="AH220" s="26"/>
    </row>
    <row r="221" spans="3:35" ht="20.100000000000001" customHeight="1" x14ac:dyDescent="0.25">
      <c r="D221" s="88" t="s">
        <v>261</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415</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415</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415</v>
      </c>
      <c r="AG223" s="26"/>
      <c r="AH223" s="26"/>
    </row>
    <row r="224" spans="3:35" ht="20.100000000000001" customHeight="1" x14ac:dyDescent="0.25">
      <c r="D224" s="126" t="str" cm="1">
        <f t="array" ref="D224:G227">MMS_PastureBeef_Soil_N2ODirect_Equations.VEERG_4_2_1_3__1_DirectNitrousOxideEmissionsOnPasture_Arguments()</f>
        <v>AE</v>
      </c>
      <c r="E224" s="127" t="str">
        <v>total mass of nitrogen excreted on PRP for beef cattle</v>
      </c>
      <c r="F224" s="128" t="str">
        <v>kg N</v>
      </c>
      <c r="G224" s="129" t="str">
        <v>Calculated from 4.2.1.3 (2)</v>
      </c>
      <c r="H224" s="126"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415</v>
      </c>
      <c r="AG224" s="26"/>
      <c r="AH224" s="26"/>
    </row>
    <row r="225" spans="4:34" ht="20.100000000000001" customHeight="1" x14ac:dyDescent="0.25">
      <c r="D225" s="126" t="str">
        <v>EF_PRP</v>
      </c>
      <c r="E225" s="127" t="str">
        <v>emission factor for nitrous oxide from urine and dung deposited to soil</v>
      </c>
      <c r="F225" s="128" t="str">
        <v>kg N2O-N/kg N deposited</v>
      </c>
      <c r="G225" s="129" t="str">
        <v>Constant</v>
      </c>
      <c r="H225" s="117">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415</v>
      </c>
      <c r="AG225" s="26"/>
      <c r="AH225" s="26"/>
    </row>
    <row r="226" spans="4:34" ht="20.100000000000001" customHeight="1" x14ac:dyDescent="0.25">
      <c r="D226" s="126" t="str">
        <v>C_N2O</v>
      </c>
      <c r="E226" s="127" t="str">
        <v>factor to convert elemental mass of nitrous oxide to molecular mass</v>
      </c>
      <c r="F226" s="128" t="str">
        <v/>
      </c>
      <c r="G226" s="129" t="str">
        <v>Constant</v>
      </c>
      <c r="H226" s="117">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415</v>
      </c>
      <c r="AG226" s="26"/>
      <c r="AH226" s="26"/>
    </row>
    <row r="227" spans="4:34" ht="20.100000000000001" customHeight="1" x14ac:dyDescent="0.25">
      <c r="D227" s="126" t="str">
        <v>z</v>
      </c>
      <c r="E227" s="127" t="str">
        <v>wet or dry climate zone</v>
      </c>
      <c r="F227" s="128" t="str">
        <v/>
      </c>
      <c r="G227" s="129" t="str">
        <v>Input</v>
      </c>
      <c r="H227" s="126"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415</v>
      </c>
      <c r="AG227" s="26"/>
      <c r="AH227" s="26"/>
    </row>
    <row r="228" spans="4:34" ht="20.100000000000001" customHeight="1" x14ac:dyDescent="0.25"/>
    <row r="229" spans="4:34" ht="20.100000000000001" customHeight="1" x14ac:dyDescent="0.25">
      <c r="D229" s="114" t="s">
        <v>457</v>
      </c>
      <c r="E229" s="115" cm="1">
        <f t="array" aca="1" ref="E229" ca="1">MMS_PastureBeef_Soil_N2ODirect_Equations.VEERG_4_2_1_3__1_DirectNitrousOxideEmissionsOnPasture($E$212,$H$225,$H$226)</f>
        <v>0.19011252663030423</v>
      </c>
      <c r="F229" s="116" t="str">
        <f>$E$222</f>
        <v>t N2O</v>
      </c>
      <c r="U229" s="109" t="s">
        <v>297</v>
      </c>
    </row>
    <row r="230" spans="4:34" ht="20.100000000000001" customHeight="1" x14ac:dyDescent="0.25">
      <c r="U230" s="110" t="s">
        <v>298</v>
      </c>
    </row>
    <row r="231" spans="4:34" ht="20.100000000000001" customHeight="1" x14ac:dyDescent="0.25">
      <c r="D231" s="117" t="str" cm="1">
        <f t="array" ref="D231:E232">Common_Equations.Common_ConvertN2OToCO2e_Arguments()</f>
        <v>EN2O</v>
      </c>
      <c r="E231" s="118" t="str">
        <v>Nitrous oxide emissions (t N2O)</v>
      </c>
      <c r="F231" s="119"/>
      <c r="G231" s="25">
        <f ca="1">E229</f>
        <v>0.19011252663030423</v>
      </c>
      <c r="U231" s="111" t="s">
        <v>76</v>
      </c>
      <c r="V231" s="112" t="s">
        <v>211</v>
      </c>
      <c r="W231" s="112" t="s">
        <v>201</v>
      </c>
      <c r="X231" s="112" t="s">
        <v>212</v>
      </c>
      <c r="Y231" s="112" t="s">
        <v>213</v>
      </c>
      <c r="Z231" s="112" t="s">
        <v>214</v>
      </c>
      <c r="AA231" s="112" t="s">
        <v>215</v>
      </c>
      <c r="AB231" s="112" t="s">
        <v>216</v>
      </c>
      <c r="AC231" s="112" t="s">
        <v>217</v>
      </c>
      <c r="AD231" s="112" t="s">
        <v>218</v>
      </c>
      <c r="AE231" s="112" t="s">
        <v>219</v>
      </c>
    </row>
    <row r="232" spans="4:34" ht="20.100000000000001" customHeight="1" x14ac:dyDescent="0.25">
      <c r="D232" s="117" t="str">
        <v>GWPN2O</v>
      </c>
      <c r="E232" s="118" t="str">
        <v>Global warming potential for nitrous oxide (t CO2-e / t N2O)</v>
      </c>
      <c r="F232" s="119"/>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416</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416</v>
      </c>
      <c r="AG233" s="26"/>
      <c r="AH233" s="26"/>
    </row>
    <row r="234" spans="4:34" ht="20.100000000000001" customHeight="1" x14ac:dyDescent="0.25">
      <c r="D234" s="113" t="s">
        <v>299</v>
      </c>
      <c r="E234" s="113" cm="1">
        <f t="array" aca="1" ref="E234" ca="1">Common_Equations.Common_ConvertN2OToCO2e(G231,G232)</f>
        <v>50.379819557030622</v>
      </c>
      <c r="F234" s="120"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416</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416</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416</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416</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416</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416</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416</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416</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416</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416</v>
      </c>
      <c r="AG243" s="26"/>
      <c r="AH243" s="26"/>
    </row>
    <row r="244" spans="21:34" ht="20.100000000000001" customHeight="1" x14ac:dyDescent="0.25"/>
    <row r="245" spans="21:34" ht="20.100000000000001" customHeight="1" x14ac:dyDescent="0.25">
      <c r="U245" s="109" t="s">
        <v>458</v>
      </c>
    </row>
    <row r="246" spans="21:34" ht="20.100000000000001" customHeight="1" x14ac:dyDescent="0.25">
      <c r="U246" s="110" t="s">
        <v>459</v>
      </c>
    </row>
    <row r="247" spans="21:34" ht="20.100000000000001" customHeight="1" x14ac:dyDescent="0.25">
      <c r="U247" s="111" t="s">
        <v>76</v>
      </c>
      <c r="V247" s="111" t="s">
        <v>211</v>
      </c>
      <c r="W247" s="111" t="s">
        <v>201</v>
      </c>
      <c r="X247" s="111" t="s">
        <v>212</v>
      </c>
      <c r="Y247" s="111" t="s">
        <v>213</v>
      </c>
      <c r="Z247" s="111" t="s">
        <v>214</v>
      </c>
      <c r="AA247" s="111" t="s">
        <v>215</v>
      </c>
      <c r="AB247" s="111" t="s">
        <v>216</v>
      </c>
      <c r="AC247" s="111" t="s">
        <v>217</v>
      </c>
      <c r="AD247" s="111" t="s">
        <v>218</v>
      </c>
      <c r="AE247" s="111" t="s">
        <v>219</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5" t="s">
        <v>456</v>
      </c>
      <c r="V261" s="113">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3"/>
      <c r="U264" s="113"/>
      <c r="V264" s="113"/>
      <c r="W264" s="113"/>
      <c r="X264" s="113"/>
      <c r="Y264" s="113"/>
      <c r="Z264" s="113"/>
      <c r="AA264" s="113"/>
      <c r="AB264" s="113"/>
      <c r="AC264" s="113"/>
      <c r="AD264" s="113"/>
      <c r="AE264" s="113"/>
      <c r="AF264" s="113"/>
      <c r="AG264" s="113"/>
      <c r="AH264" s="113"/>
      <c r="AI264" s="113"/>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4" t="s">
        <v>457</v>
      </c>
      <c r="V267" s="115" cm="1">
        <f t="array" aca="1" ref="V267" ca="1">MMS_PastureBeef_Soil_N2ODirect_Equations.VEERG_4_2_1_3__1_DirectNitrousOxideEmissionsOnPasture($V$261,$H$225,$H$226)</f>
        <v>0.18424525527410571</v>
      </c>
      <c r="W267" s="116" t="str">
        <f>$E$222</f>
        <v>t N2O</v>
      </c>
    </row>
    <row r="268" spans="20:35" ht="20.100000000000001" customHeight="1" x14ac:dyDescent="0.25"/>
    <row r="269" spans="20:35" ht="20.100000000000001" customHeight="1" x14ac:dyDescent="0.25">
      <c r="U269" s="117" t="str" cm="1">
        <f t="array" ref="U269:V270">Common_Equations.Common_ConvertN2OToCO2e_Arguments()</f>
        <v>EN2O</v>
      </c>
      <c r="V269" s="118" t="str">
        <v>Nitrous oxide emissions (t N2O)</v>
      </c>
      <c r="W269" s="119"/>
      <c r="X269" s="25">
        <f ca="1">V267</f>
        <v>0.18424525527410571</v>
      </c>
    </row>
    <row r="270" spans="20:35" ht="20.100000000000001" customHeight="1" x14ac:dyDescent="0.25">
      <c r="U270" s="117" t="str">
        <v>GWPN2O</v>
      </c>
      <c r="V270" s="118" t="str">
        <v>Global warming potential for nitrous oxide (t CO2-e / t N2O)</v>
      </c>
      <c r="W270" s="119"/>
      <c r="X270" s="25">
        <f>Common_InputFunctions.Utility_LookupValueInTableNumber("N2O",Table_GWPData[Gas],Table_GWPData[CO2-e factor])</f>
        <v>265</v>
      </c>
    </row>
    <row r="271" spans="20:35" ht="20.100000000000001" customHeight="1" x14ac:dyDescent="0.25"/>
    <row r="272" spans="20:35" ht="20.100000000000001" customHeight="1" x14ac:dyDescent="0.25">
      <c r="U272" s="113" t="s">
        <v>299</v>
      </c>
      <c r="V272" s="113" cm="1">
        <f t="array" aca="1" ref="V272" ca="1">Common_Equations.Common_ConvertN2OToCO2e(X269,X270)</f>
        <v>48.824992647638012</v>
      </c>
      <c r="W272" s="120"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9FF02DCD-CB88-463D-9AD8-A9FF384A4181}"/>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3D47-4670-49ED-813E-E18713A89E6B}">
  <dimension ref="A1:V165"/>
  <sheetViews>
    <sheetView showGridLines="0" topLeftCell="H1"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460</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0" t="s">
        <v>259</v>
      </c>
      <c r="E7" s="100"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261</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2" t="str" cm="1">
        <f t="array" ref="D13:E14">_xlfn.CHOOSECOLS(MMS_PastureBeef_Soil_AtmosphericDeposition_Equations.VEERG_4_2_1_5__2_MassOfNitrogenVolatilisedOnPasture_Arguments(),1,2)</f>
        <v>AE</v>
      </c>
      <c r="E13" s="103" t="str">
        <v>total mass of nitrogen excreted on PRP for beef cattle</v>
      </c>
      <c r="F13" s="104"/>
      <c r="G13" s="105"/>
      <c r="H13" s="102" t="str" cm="1">
        <f t="array" ref="H13:I14">_xlfn.CHOOSECOLS(MMS_PastureBeef_Soil_AtmosphericDeposition_Equations.VEERG_4_2_1_5__2_MassOfNitrogenVolatilisedOnPasture_Arguments(),3,4)</f>
        <v>kg N</v>
      </c>
      <c r="I13" s="107" t="str">
        <v>Calculated from 4.2.1.3 (2)</v>
      </c>
      <c r="J13" s="102">
        <f ca="1">VEERG_4_2_1_3__2_TotalNitrogenExcretedToPastureRangeAndPaddock_Result_Method1</f>
        <v>60490.349382369524</v>
      </c>
      <c r="N13" s="102" t="str" cm="1">
        <f t="array" ref="N13:O14">_xlfn.CHOOSECOLS(MMS_PastureBeef_Soil_AtmosphericDeposition_Equations.VEERG_4_2_1_5__2_MassOfNitrogenVolatilisedOnPasture_Arguments(),1,2)</f>
        <v>AE</v>
      </c>
      <c r="O13" s="103" t="str">
        <v>total mass of nitrogen excreted on PRP for beef cattle</v>
      </c>
      <c r="P13" s="104"/>
      <c r="Q13" s="105"/>
      <c r="R13" s="102" t="str" cm="1">
        <f t="array" ref="R13:S14">_xlfn.CHOOSECOLS(MMS_PastureBeef_Soil_AtmosphericDeposition_Equations.VEERG_4_2_1_5__2_MassOfNitrogenVolatilisedOnPasture_Arguments(),3,4)</f>
        <v>kg N</v>
      </c>
      <c r="S13" s="107" t="str">
        <v>Calculated from 4.2.1.3 (2)</v>
      </c>
      <c r="T13" s="117">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2" t="str">
        <v>FracGASMsoil</v>
      </c>
      <c r="E14" s="103" t="str">
        <v>fraction of nitrogen volatilised from urine and faeces deposited on pasture ((kg NH3-N + NOx-N)/kg N)</v>
      </c>
      <c r="F14" s="104"/>
      <c r="G14" s="105"/>
      <c r="H14" s="102" t="str">
        <v>fraction</v>
      </c>
      <c r="I14" s="107" t="str">
        <v>Constant</v>
      </c>
      <c r="J14" s="102">
        <f>SourceData_PastureBeef_FracGASMSoil_Data</f>
        <v>0.21</v>
      </c>
      <c r="N14" s="102" t="str">
        <v>FracGASMsoil</v>
      </c>
      <c r="O14" s="103" t="str">
        <v>fraction of nitrogen volatilised from urine and faeces deposited on pasture ((kg NH3-N + NOx-N)/kg N)</v>
      </c>
      <c r="P14" s="104"/>
      <c r="Q14" s="105"/>
      <c r="R14" s="102" t="str">
        <v>fraction</v>
      </c>
      <c r="S14" s="107" t="str">
        <v>Constant</v>
      </c>
      <c r="T14" s="117"/>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5" t="s">
        <v>461</v>
      </c>
      <c r="E16" s="113" cm="1">
        <f t="array" aca="1" ref="E16" ca="1">MMS_PastureBeef_Soil_AtmosphericDeposition_Equations.VEERG_4_2_1_5__2_MassOfNitrogenVolatilisedOnPasture(J13,J14)</f>
        <v>12702.973370297599</v>
      </c>
      <c r="F16" s="120" t="str">
        <f>E11</f>
        <v>kg N</v>
      </c>
      <c r="L16" s="94"/>
      <c r="N16" s="125" t="s">
        <v>461</v>
      </c>
      <c r="O16" s="113" cm="1">
        <f t="array" aca="1" ref="O16" ca="1">MMS_PastureBeef_Soil_AtmosphericDeposition_Equations.VEERG_4_2_1_5__2_MassOfNitrogenVolatilisedOnPasture(T13,$J$14)</f>
        <v>12310.932966042516</v>
      </c>
      <c r="P16" s="120">
        <f>O11</f>
        <v>0</v>
      </c>
    </row>
    <row r="17" spans="1:22" ht="20.100000000000001" customHeight="1" x14ac:dyDescent="0.25">
      <c r="A17" s="5" t="str">
        <f>HYPERLINK("#'Input - Fertiliser'!A1", "Fertiliser")</f>
        <v>Fertiliser</v>
      </c>
      <c r="L17" s="94"/>
    </row>
    <row r="18" spans="1:22" ht="20.100000000000001" customHeight="1" x14ac:dyDescent="0.25">
      <c r="A18" s="5" t="str">
        <f>HYPERLINK("#'Input - Fuel'!A1", "Fuel")</f>
        <v>Fuel</v>
      </c>
      <c r="L18" s="94"/>
    </row>
    <row r="19" spans="1:22" ht="20.100000000000001" customHeight="1" x14ac:dyDescent="0.25">
      <c r="A19" s="5" t="str">
        <f>HYPERLINK("#'Input - Electricity'!A1", "Electricity")</f>
        <v>Electricity</v>
      </c>
      <c r="C19" s="113"/>
      <c r="D19" s="113"/>
      <c r="E19" s="113"/>
      <c r="F19" s="113"/>
      <c r="G19" s="113"/>
      <c r="H19" s="113"/>
      <c r="I19" s="113"/>
      <c r="J19" s="113"/>
      <c r="K19" s="113"/>
      <c r="L19" s="94"/>
      <c r="M19" s="113"/>
      <c r="N19" s="113"/>
      <c r="O19" s="113"/>
      <c r="P19" s="113"/>
      <c r="Q19" s="113"/>
      <c r="R19" s="113"/>
      <c r="S19" s="113"/>
      <c r="T19" s="113"/>
      <c r="U19" s="113"/>
      <c r="V19" s="113"/>
    </row>
    <row r="20" spans="1:22" ht="20.100000000000001" customHeight="1" x14ac:dyDescent="0.25">
      <c r="A20" s="5" t="str">
        <f>HYPERLINK("#'Input - Farm Inputs'!A1", "Farm Inputs")</f>
        <v>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Freight'!A1", "Freight")</f>
        <v>Freight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Manure sent off-site'!A1", "Manure sent off-site")</f>
        <v>Manure sent off-site</v>
      </c>
      <c r="D22" s="100" t="s">
        <v>259</v>
      </c>
      <c r="E22" s="100"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row r="25" spans="1:22" ht="20.100000000000001" customHeight="1" x14ac:dyDescent="0.25">
      <c r="D25" s="88" t="s">
        <v>261</v>
      </c>
      <c r="E25" s="1" t="str" cm="1">
        <f t="array" ref="E25">MMS_PastureBeef_Soil_AtmosphericDeposition_Equations.VEERG_4_2_1_5__1_AtmosphericDepositionEmissionsFromUrineAndDungOnPasture_Variable()</f>
        <v>E_N2Oad</v>
      </c>
    </row>
    <row r="26" spans="1:22" ht="20.100000000000001" customHeight="1" x14ac:dyDescent="0.25">
      <c r="A26" s="6" t="s">
        <v>2</v>
      </c>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5" t="str">
        <f>HYPERLINK("#'3.2.1.1-2 Enteric Methane'!A1", "3.2.1.1-2 Enteric methane")</f>
        <v>3.2.1.1-2 Enteric methane</v>
      </c>
    </row>
    <row r="28" spans="1:22" ht="20.100000000000001" customHeight="1" x14ac:dyDescent="0.25">
      <c r="A28" s="5" t="str">
        <f>HYPERLINK("#'4.2.1.1-2 Methane'!A1", "4.2.1.1-2 Manure methane")</f>
        <v>4.2.1.1-2 Manure methane</v>
      </c>
      <c r="D28" s="102" t="str" cm="1">
        <f t="array" ref="D28:E33">_xlfn.CHOOSECOLS(MMS_PastureBeef_Soil_AtmosphericDeposition_Equations.VEERG_4_2_1_5__1_AtmosphericDepositionEmissionsFromUrineAndDungOnPasture_Arguments(),1,2)</f>
        <v>M_vol</v>
      </c>
      <c r="E28" s="103" t="str">
        <v>mass of nitrogen volatilised from urine and faeces deposited on pasture</v>
      </c>
      <c r="F28" s="105"/>
      <c r="G28" s="102" t="str" cm="1">
        <f t="array" ref="G28:H33">_xlfn.CHOOSECOLS(MMS_PastureBeef_Soil_AtmosphericDeposition_Equations.VEERG_4_2_1_5__1_AtmosphericDepositionEmissionsFromUrineAndDungOnPasture_Arguments(),3,4)</f>
        <v>kg N</v>
      </c>
      <c r="H28" s="107" t="str">
        <v>Calculated from 4.2.1.5 (2)</v>
      </c>
      <c r="I28" s="102">
        <f ca="1">E16</f>
        <v>12702.973370297599</v>
      </c>
      <c r="N28" s="102" t="str" cm="1">
        <f t="array" ref="N28:O33">_xlfn.CHOOSECOLS(MMS_PastureBeef_Soil_AtmosphericDeposition_Equations.VEERG_4_2_1_5__1_AtmosphericDepositionEmissionsFromUrineAndDungOnPasture_Arguments(),1,2)</f>
        <v>M_vol</v>
      </c>
      <c r="O28" s="103" t="str">
        <v>mass of nitrogen volatilised from urine and faeces deposited on pasture</v>
      </c>
      <c r="P28" s="105"/>
      <c r="Q28" s="102" t="str" cm="1">
        <f t="array" ref="Q28:R33">_xlfn.CHOOSECOLS(MMS_PastureBeef_Soil_AtmosphericDeposition_Equations.VEERG_4_2_1_5__1_AtmosphericDepositionEmissionsFromUrineAndDungOnPasture_Arguments(),3,4)</f>
        <v>kg N</v>
      </c>
      <c r="R28" s="107" t="str">
        <v>Calculated from 4.2.1.5 (2)</v>
      </c>
      <c r="S28" s="117">
        <f ca="1">O16</f>
        <v>12310.932966042516</v>
      </c>
    </row>
    <row r="29" spans="1:22" ht="20.100000000000001" customHeight="1" x14ac:dyDescent="0.25">
      <c r="A29" s="5" t="str">
        <f>HYPERLINK("#'4.2.1.3-4 Soil direct N20'!A1", "4.2.1.3-4 Soil direct N2O")</f>
        <v>4.2.1.3-4 Soil direct N2O</v>
      </c>
      <c r="D29" s="102" t="str">
        <v>EF_N2O</v>
      </c>
      <c r="E29" s="103" t="str">
        <v>nitrous oxide emission factor for atmospheric deposition</v>
      </c>
      <c r="F29" s="105"/>
      <c r="G29" s="102" t="str">
        <v>kg N2O-N/kg N</v>
      </c>
      <c r="H29" s="107" t="str">
        <v>Constant</v>
      </c>
      <c r="I29" s="102">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2" t="str">
        <v>EF_N2O</v>
      </c>
      <c r="O29" s="103" t="str">
        <v>nitrous oxide emission factor for atmospheric deposition</v>
      </c>
      <c r="P29" s="105"/>
      <c r="Q29" s="102" t="str">
        <v>kg N2O-N/kg N</v>
      </c>
      <c r="R29" s="107" t="str">
        <v>Constant</v>
      </c>
      <c r="S29" s="117"/>
    </row>
    <row r="30" spans="1:22" ht="20.100000000000001" customHeight="1" x14ac:dyDescent="0.25">
      <c r="A30" s="101" t="str">
        <f>HYPERLINK("#'4.2.1.5-6 Soil Atmos Dep'!A1", "4.2.1.5-6 Soil atm. deposition")</f>
        <v>4.2.1.5-6 Soil atm. deposition</v>
      </c>
      <c r="D30" s="102" t="str">
        <v>C_N2O</v>
      </c>
      <c r="E30" s="103" t="str">
        <v>factor to convert elemental mass of N2O to molecular mass</v>
      </c>
      <c r="F30" s="105"/>
      <c r="G30" s="102" t="str">
        <v/>
      </c>
      <c r="H30" s="107" t="str">
        <v>Constant</v>
      </c>
      <c r="I30" s="102">
        <f>Common_InputFunctions.Utility_LookupValueInTableNumber("N2O",Table_GasToMolecularConversionFactor[Gas],Table_GasToMolecularConversionFactor[Conversion factor combined])</f>
        <v>1.5714285714285714</v>
      </c>
      <c r="N30" s="102" t="str">
        <v>C_N2O</v>
      </c>
      <c r="O30" s="103" t="str">
        <v>factor to convert elemental mass of N2O to molecular mass</v>
      </c>
      <c r="P30" s="105"/>
      <c r="Q30" s="102" t="str">
        <v/>
      </c>
      <c r="R30" s="107" t="str">
        <v>Constant</v>
      </c>
      <c r="S30" s="117"/>
    </row>
    <row r="31" spans="1:22" ht="20.100000000000001" customHeight="1" x14ac:dyDescent="0.25">
      <c r="A31" s="5" t="str">
        <f>HYPERLINK("#'4.2.1.7-8 Soil leach runoff'!A1", "4.2.1.7-8 Soil leach &amp; runoff")</f>
        <v>4.2.1.7-8 Soil leach &amp; runoff</v>
      </c>
      <c r="D31" s="102" t="str">
        <v>j</v>
      </c>
      <c r="E31" s="103" t="str">
        <v>production system</v>
      </c>
      <c r="F31" s="105"/>
      <c r="G31" s="102" t="str">
        <v/>
      </c>
      <c r="H31" s="106" t="str">
        <v>Input</v>
      </c>
      <c r="I31" s="102" t="str">
        <f>X_Cell_PastureBeef_GrazingProductionSystem</f>
        <v>Pasture</v>
      </c>
      <c r="N31" s="102" t="str">
        <v>j</v>
      </c>
      <c r="O31" s="103" t="str">
        <v>production system</v>
      </c>
      <c r="P31" s="105"/>
      <c r="Q31" s="102" t="str">
        <v/>
      </c>
      <c r="R31" s="106" t="str">
        <v>Input</v>
      </c>
      <c r="S31" s="117"/>
    </row>
    <row r="32" spans="1:22" ht="20.100000000000001" customHeight="1" x14ac:dyDescent="0.25">
      <c r="A32" s="5" t="str">
        <f>HYPERLINK("#'5.1.1.1-2 Inorganic fert N2O'!A1", "5.1.1.1-2 Inorganic fert N2O")</f>
        <v>5.1.1.1-2 Inorganic fert N2O</v>
      </c>
      <c r="D32" s="102" t="str">
        <v>i</v>
      </c>
      <c r="E32" s="103" t="str">
        <v>irrigation method</v>
      </c>
      <c r="F32" s="105"/>
      <c r="G32" s="102" t="str">
        <v/>
      </c>
      <c r="H32" s="106" t="str">
        <v>Input</v>
      </c>
      <c r="I32" s="102" t="str">
        <f>X_Cell_PastureBeef_GrazingIrrigationMethod</f>
        <v>Sprinkler irrigation</v>
      </c>
      <c r="N32" s="102" t="str">
        <v>i</v>
      </c>
      <c r="O32" s="103" t="str">
        <v>irrigation method</v>
      </c>
      <c r="P32" s="105"/>
      <c r="Q32" s="102" t="str">
        <v/>
      </c>
      <c r="R32" s="106" t="str">
        <v>Input</v>
      </c>
      <c r="S32" s="117"/>
    </row>
    <row r="33" spans="1:19" ht="20.100000000000001" customHeight="1" x14ac:dyDescent="0.25">
      <c r="A33" s="5" t="str">
        <f>HYPERLINK("#'5.1.1.3-4 Inorganic fert CO2'!A1", "5.1.1.3-4 Inorganic fert CO2")</f>
        <v>5.1.1.3-4 Inorganic fert CO2</v>
      </c>
      <c r="D33" s="102" t="str">
        <v>r</v>
      </c>
      <c r="E33" s="103" t="str">
        <v>rainfall zone</v>
      </c>
      <c r="F33" s="105"/>
      <c r="G33" s="102" t="str">
        <v/>
      </c>
      <c r="H33" s="106" t="str">
        <v>Input</v>
      </c>
      <c r="I33" s="102" t="str">
        <f>X_Cell_Site_RainfallZone</f>
        <v>High rainfall</v>
      </c>
      <c r="N33" s="102" t="str">
        <v>r</v>
      </c>
      <c r="O33" s="103" t="str">
        <v>rainfall zone</v>
      </c>
      <c r="P33" s="105"/>
      <c r="Q33" s="102" t="str">
        <v/>
      </c>
      <c r="R33" s="106" t="str">
        <v>Input</v>
      </c>
      <c r="S33" s="117"/>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5" t="s">
        <v>462</v>
      </c>
      <c r="E35" s="113" cm="1">
        <f t="array" aca="1" ref="E35" ca="1">MMS_PastureBeef_Soil_AtmosphericDeposition_Equations.VEERG_4_2_1_5__1_AtmosphericDepositionEmissionsFromUrineAndDungOnPasture(I28,I29,I30)</f>
        <v>0.11777471024747345</v>
      </c>
      <c r="F35" s="120" t="str">
        <f>$E$26</f>
        <v>t N2O</v>
      </c>
      <c r="N35" s="125" t="s">
        <v>462</v>
      </c>
      <c r="O35" s="113" cm="1">
        <f t="array" aca="1" ref="O35" ca="1">MMS_PastureBeef_Soil_AtmosphericDeposition_Equations.VEERG_4_2_1_5__1_AtmosphericDepositionEmissionsFromUrineAndDungOnPasture(S28,I29,I30)</f>
        <v>0.11413993564230847</v>
      </c>
      <c r="P35" s="120" t="str">
        <f>$E$26</f>
        <v>t N2O</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c r="D37" s="117" t="str" cm="1">
        <f t="array" ref="D37:E38">Common_Equations.Common_ConvertN2OToCO2e_Arguments()</f>
        <v>EN2O</v>
      </c>
      <c r="E37" s="118" t="str">
        <v>Nitrous oxide emissions (t N2O)</v>
      </c>
      <c r="F37" s="119"/>
      <c r="G37" s="25">
        <f ca="1">E35</f>
        <v>0.11777471024747345</v>
      </c>
      <c r="N37" s="117" t="str" cm="1">
        <f t="array" ref="N37:O38">Common_Equations.Common_ConvertN2OToCO2e_Arguments()</f>
        <v>EN2O</v>
      </c>
      <c r="O37" s="118" t="str">
        <v>Nitrous oxide emissions (t N2O)</v>
      </c>
      <c r="P37" s="119"/>
      <c r="Q37" s="25">
        <f ca="1">O35</f>
        <v>0.11413993564230847</v>
      </c>
    </row>
    <row r="38" spans="1:19" ht="20.100000000000001" customHeight="1" x14ac:dyDescent="0.25">
      <c r="A38" s="5" t="str">
        <f>HYPERLINK("#'6.2.1.1-2 Pasture residue N2O'!A1", "6.2.1.1-2 Pasture residue N2O")</f>
        <v>6.2.1.1-2 Pasture residue N2O</v>
      </c>
      <c r="D38" s="117" t="str">
        <v>GWPN2O</v>
      </c>
      <c r="E38" s="118" t="str">
        <v>Global warming potential for nitrous oxide (t CO2-e / t N2O)</v>
      </c>
      <c r="F38" s="119"/>
      <c r="G38" s="25">
        <f>Common_InputFunctions.Utility_LookupValueInTableNumber("N2O",Table_GWPData[Gas],Table_GWPData[CO2-e factor])</f>
        <v>265</v>
      </c>
      <c r="N38" s="117" t="str">
        <v>GWPN2O</v>
      </c>
      <c r="O38" s="118" t="str">
        <v>Global warming potential for nitrous oxide (t CO2-e / t N2O)</v>
      </c>
      <c r="P38" s="119"/>
      <c r="Q38" s="25">
        <f>Common_InputFunctions.Utility_LookupValueInTableNumber("N2O",Table_GWPData[Gas],Table_GWPData[CO2-e factor])</f>
        <v>265</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113" t="s">
        <v>299</v>
      </c>
      <c r="E40" s="113" cm="1">
        <f t="array" aca="1" ref="E40" ca="1">Common_Equations.Common_ConvertN2OToCO2e(G37,G38)</f>
        <v>31.210298215580465</v>
      </c>
      <c r="F40" s="120" t="str" cm="1">
        <f t="array" ref="F40">Common_Equations.Common_ConvertN2OToCO2e_Unit()</f>
        <v>t CO2e</v>
      </c>
      <c r="N40" s="113" t="s">
        <v>299</v>
      </c>
      <c r="O40" s="113" cm="1">
        <f t="array" aca="1" ref="O40" ca="1">Common_Equations.Common_ConvertN2OToCO2e(Q37,Q38)</f>
        <v>30.247082945211744</v>
      </c>
      <c r="P40" s="120" t="str" cm="1">
        <f t="array" ref="P40">Common_Equations.Common_ConvertN2OToCO2e_Unit()</f>
        <v>t CO2e</v>
      </c>
    </row>
    <row r="41" spans="1:19" ht="20.100000000000001" customHeight="1" x14ac:dyDescent="0.25">
      <c r="A41" s="5" t="str">
        <f>HYPERLINK("#'8.2.1.1-2 Stationary fuel'!A1", "8.2.1.1-2 Stationary fuel")</f>
        <v>8.2.1.1-2 Stationary fuel</v>
      </c>
    </row>
    <row r="42" spans="1:19" ht="20.100000000000001" customHeight="1" x14ac:dyDescent="0.25">
      <c r="A42" s="5" t="str">
        <f>HYPERLINK("#'14.1.1-2 Purchased electricity'!A1", "14.1.1-2 Purchased electricity")</f>
        <v>14.1.1-2 Purchased electricity</v>
      </c>
    </row>
    <row r="43" spans="1:19" ht="20.100000000000001" customHeight="1" x14ac:dyDescent="0.25">
      <c r="A43" s="5" t="str">
        <f>HYPERLINK("#'15 Scope 3'!A1", "15 Scope 3")</f>
        <v>15 Scope 3</v>
      </c>
    </row>
    <row r="44" spans="1:19" ht="20.100000000000001" customHeight="1" x14ac:dyDescent="0.25">
      <c r="A44" s="5"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row>
    <row r="46" spans="1:19" ht="20.100000000000001" customHeight="1" x14ac:dyDescent="0.25"/>
    <row r="47" spans="1:19" ht="20.100000000000001" customHeight="1" x14ac:dyDescent="0.25"/>
    <row r="48" spans="1:19"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60217D74-89AA-48DF-8DB1-9DB99B347496}"/>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0E0D6-637C-4063-AD13-5E1D6156BE81}">
  <dimension ref="A1:S165"/>
  <sheetViews>
    <sheetView showGridLines="0" topLeftCell="E1"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463</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0" t="s">
        <v>259</v>
      </c>
      <c r="E7" s="100"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261</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2" t="str" cm="1">
        <f t="array" ref="D13:E18">_xlfn.CHOOSECOLS(MMS_PastureBeef_Soil_LeachingAndRunoff.VEERG_4_2_1_7__2_MassOfNitrogenLostToLeachingAndRunoffOnPasture_Arguments(),1,2)</f>
        <v>AE</v>
      </c>
      <c r="E13" s="103" t="str">
        <v>total mass of nitrogen excreted on PRP for beef cattle</v>
      </c>
      <c r="F13" s="105"/>
      <c r="G13" s="102" t="str" cm="1">
        <f t="array" ref="G13:H18">_xlfn.CHOOSECOLS(MMS_PastureBeef_Soil_LeachingAndRunoff.VEERG_4_2_1_7__2_MassOfNitrogenLostToLeachingAndRunoffOnPasture_Arguments(),3,4)</f>
        <v>kg N</v>
      </c>
      <c r="H13" s="107" t="str">
        <v>Calculated from 4.2.1.3 (2)</v>
      </c>
      <c r="I13" s="102">
        <f ca="1">VEERG_4_2_1_3__2_TotalNitrogenExcretedToPastureRangeAndPaddock_Result_Method1</f>
        <v>60490.349382369524</v>
      </c>
      <c r="M13" s="102" t="str" cm="1">
        <f t="array" ref="M13:N18">_xlfn.CHOOSECOLS(MMS_PastureBeef_Soil_LeachingAndRunoff.VEERG_4_2_1_7__2_MassOfNitrogenLostToLeachingAndRunoffOnPasture_Arguments(),1,2)</f>
        <v>AE</v>
      </c>
      <c r="N13" s="103" t="str">
        <v>total mass of nitrogen excreted on PRP for beef cattle</v>
      </c>
      <c r="O13" s="105"/>
      <c r="P13" s="102" t="str" cm="1">
        <f t="array" ref="P13:Q18">_xlfn.CHOOSECOLS(MMS_PastureBeef_Soil_LeachingAndRunoff.VEERG_4_2_1_7__2_MassOfNitrogenLostToLeachingAndRunoffOnPasture_Arguments(),3,4)</f>
        <v>kg N</v>
      </c>
      <c r="Q13" s="107" t="str">
        <v>Calculated from 4.2.1.3 (2)</v>
      </c>
      <c r="R13" s="102">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2" t="str">
        <v>FracWet</v>
      </c>
      <c r="E14" s="103" t="str">
        <v>fraction of N available for leaching and runoff</v>
      </c>
      <c r="F14" s="105"/>
      <c r="G14" s="102" t="str">
        <v>fraction</v>
      </c>
      <c r="H14" s="107" t="str">
        <v>Constant</v>
      </c>
      <c r="I14" s="102">
        <f>Common_InputFunctions.CommonCropping_GetFracWET(I16,I18,#REF!,#REF!,Table_SourceData_FracWETIrrigation[Irrigation type i],Table_SourceData_FracWETIrrigation[FracWET])</f>
        <v>1</v>
      </c>
      <c r="M14" s="102" t="str">
        <v>FracWet</v>
      </c>
      <c r="N14" s="103" t="str">
        <v>fraction of N available for leaching and runoff</v>
      </c>
      <c r="O14" s="105"/>
      <c r="P14" s="102" t="str">
        <v>fraction</v>
      </c>
      <c r="Q14" s="107" t="str">
        <v>Constant</v>
      </c>
      <c r="R14" s="102"/>
    </row>
    <row r="15" spans="1:19" ht="20.100000000000001" customHeight="1" x14ac:dyDescent="0.25">
      <c r="A15" s="5" t="str">
        <f>HYPERLINK("#'Input - Pasture'!A1", "Pasture")</f>
        <v>Pasture</v>
      </c>
      <c r="D15" s="102" t="str">
        <v>FracLEACH</v>
      </c>
      <c r="E15" s="103" t="str">
        <v>fraction of all N that is lost through leaching and runoff</v>
      </c>
      <c r="F15" s="105"/>
      <c r="G15" s="102" t="str">
        <v>fraction</v>
      </c>
      <c r="H15" s="107" t="str">
        <v>Constant</v>
      </c>
      <c r="I15" s="102">
        <f>SourceData_PastureBeef_FracLEACH_Data</f>
        <v>0.24</v>
      </c>
      <c r="M15" s="102" t="str">
        <v>FracLEACH</v>
      </c>
      <c r="N15" s="103" t="str">
        <v>fraction of all N that is lost through leaching and runoff</v>
      </c>
      <c r="O15" s="105"/>
      <c r="P15" s="102" t="str">
        <v>fraction</v>
      </c>
      <c r="Q15" s="107" t="str">
        <v>Constant</v>
      </c>
      <c r="R15" s="102"/>
    </row>
    <row r="16" spans="1:19"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c r="M16" s="102" t="str">
        <v>z</v>
      </c>
      <c r="N16" s="103" t="str">
        <v>location in leaching zone</v>
      </c>
      <c r="O16" s="105"/>
      <c r="P16" s="102" t="str">
        <v/>
      </c>
      <c r="Q16" s="106" t="str">
        <v>Input</v>
      </c>
      <c r="R16" s="102"/>
    </row>
    <row r="17" spans="1:19" ht="20.100000000000001" customHeight="1" x14ac:dyDescent="0.25">
      <c r="A17" s="5" t="str">
        <f>HYPERLINK("#'Input - Fertiliser'!A1", "Fertiliser")</f>
        <v>Fertiliser</v>
      </c>
      <c r="D17" s="102" t="str">
        <v>j</v>
      </c>
      <c r="E17" s="103" t="str">
        <v>production system</v>
      </c>
      <c r="F17" s="105"/>
      <c r="G17" s="102" t="str">
        <v/>
      </c>
      <c r="H17" s="106" t="str">
        <v>Input</v>
      </c>
      <c r="I17" s="102" t="str">
        <f>X_Cell_PastureBeef_GrazingProductionSystem</f>
        <v>Pasture</v>
      </c>
      <c r="M17" s="102" t="str">
        <v>j</v>
      </c>
      <c r="N17" s="103" t="str">
        <v>production system</v>
      </c>
      <c r="O17" s="105"/>
      <c r="P17" s="102" t="str">
        <v/>
      </c>
      <c r="Q17" s="106" t="str">
        <v>Input</v>
      </c>
      <c r="R17" s="102"/>
    </row>
    <row r="18" spans="1:19" ht="20.100000000000001" customHeight="1" x14ac:dyDescent="0.25">
      <c r="A18" s="5" t="str">
        <f>HYPERLINK("#'Input - Fuel'!A1", "Fuel")</f>
        <v>Fuel</v>
      </c>
      <c r="D18" s="102" t="str">
        <v>ir</v>
      </c>
      <c r="E18" s="103" t="str">
        <v>irrigation method</v>
      </c>
      <c r="F18" s="105"/>
      <c r="G18" s="102" t="str">
        <v/>
      </c>
      <c r="H18" s="106" t="str">
        <v>Input</v>
      </c>
      <c r="I18" s="102" t="str">
        <f>X_Cell_PastureBeef_GrazingIrrigationMethod</f>
        <v>Sprinkler irrigation</v>
      </c>
      <c r="M18" s="102" t="str">
        <v>ir</v>
      </c>
      <c r="N18" s="103" t="str">
        <v>irrigation method</v>
      </c>
      <c r="O18" s="105"/>
      <c r="P18" s="102" t="str">
        <v/>
      </c>
      <c r="Q18" s="106" t="str">
        <v>Input</v>
      </c>
      <c r="R18" s="102"/>
    </row>
    <row r="19" spans="1:19" ht="20.100000000000001" customHeight="1" x14ac:dyDescent="0.25">
      <c r="A19" s="5" t="str">
        <f>HYPERLINK("#'Input - Electricity'!A1", "Electricity")</f>
        <v>Electricity</v>
      </c>
    </row>
    <row r="20" spans="1:19" ht="20.100000000000001" customHeight="1" x14ac:dyDescent="0.25">
      <c r="A20" s="5" t="str">
        <f>HYPERLINK("#'Input - Farm Inputs'!A1", "Farm Inputs")</f>
        <v>Farm Inputs</v>
      </c>
      <c r="D20" s="125" t="s">
        <v>464</v>
      </c>
      <c r="E20" s="113" cm="1">
        <f t="array" aca="1" ref="E20" ca="1">MMS_PastureBeef_Soil_LeachingAndRunoff.VEERG_4_2_1_7__2_MassOfNitrogenLostToLeachingAndRunoffOnPasture($I$13,$I$14,$I$15)</f>
        <v>14517.683851768685</v>
      </c>
      <c r="F20" s="120" t="str">
        <f>$E$11</f>
        <v>kg N</v>
      </c>
      <c r="K20" s="94"/>
      <c r="M20" s="125" t="s">
        <v>464</v>
      </c>
      <c r="N20" s="113" cm="1">
        <f t="array" aca="1" ref="N20" ca="1">MMS_PastureBeef_Soil_LeachingAndRunoff.VEERG_4_2_1_7__2_MassOfNitrogenLostToLeachingAndRunoffOnPasture($R$13,$I$14,$I$15)</f>
        <v>14069.637675477161</v>
      </c>
      <c r="O20" s="120" t="str">
        <f>$E$11</f>
        <v>kg N</v>
      </c>
    </row>
    <row r="21" spans="1:19" ht="20.100000000000001" customHeight="1" x14ac:dyDescent="0.25">
      <c r="A21" s="5" t="str">
        <f>HYPERLINK("#'Input - Freight'!A1", "Freight")</f>
        <v>Freight</v>
      </c>
      <c r="K21" s="94"/>
    </row>
    <row r="22" spans="1:19" ht="20.100000000000001" customHeight="1" x14ac:dyDescent="0.25">
      <c r="A22" s="5" t="str">
        <f>HYPERLINK("#'Input - Manure sent off-site'!A1", "Manure sent off-site")</f>
        <v>Manure sent off-site</v>
      </c>
      <c r="K22" s="94"/>
    </row>
    <row r="23" spans="1:19" ht="20.100000000000001" customHeight="1" x14ac:dyDescent="0.25">
      <c r="A23" s="5" t="str">
        <f>HYPERLINK("#'Input - Solid waste'!A1", "Solid waste")</f>
        <v>Solid waste</v>
      </c>
      <c r="C23" s="113"/>
      <c r="D23" s="113"/>
      <c r="E23" s="113"/>
      <c r="F23" s="113"/>
      <c r="G23" s="113"/>
      <c r="H23" s="113"/>
      <c r="I23" s="113"/>
      <c r="J23" s="113"/>
      <c r="K23" s="94"/>
      <c r="L23" s="113"/>
      <c r="M23" s="113"/>
      <c r="N23" s="113"/>
      <c r="O23" s="113"/>
      <c r="P23" s="113"/>
      <c r="Q23" s="113"/>
      <c r="R23" s="113"/>
      <c r="S23" s="113"/>
    </row>
    <row r="24" spans="1:19" ht="20.100000000000001" customHeight="1" x14ac:dyDescent="0.2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27" t="str" cm="1">
        <f t="array" ref="D25">MMS_PastureBeef_Soil_LeachingAndRunoff.VEERG_4_2_1_7__1_LeachingAndRunoffEmissionsFromUrineAndDungOnPasture_Source()</f>
        <v>VEERG 2026: 4.2.1.7, Equation (1)</v>
      </c>
    </row>
    <row r="26" spans="1:19" ht="20.100000000000001" customHeight="1" x14ac:dyDescent="0.25">
      <c r="A26" s="6" t="s">
        <v>2</v>
      </c>
      <c r="D26" s="100" t="s">
        <v>259</v>
      </c>
      <c r="E26" s="100"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HYPERLINK("#'3.2.1.1-2 Enteric Methane'!A1", "3.2.1.1-2 Enteric methane")</f>
        <v>3.2.1.1-2 Enteric methane</v>
      </c>
    </row>
    <row r="28" spans="1:19" ht="20.100000000000001" customHeight="1" x14ac:dyDescent="0.25">
      <c r="A28" s="5" t="str">
        <f>HYPERLINK("#'4.2.1.1-2 Methane'!A1", "4.2.1.1-2 Manure methane")</f>
        <v>4.2.1.1-2 Manure methane</v>
      </c>
    </row>
    <row r="29" spans="1:19" ht="20.100000000000001" customHeight="1" x14ac:dyDescent="0.25">
      <c r="A29" s="5" t="str">
        <f>HYPERLINK("#'4.2.1.3-4 Soil direct N20'!A1", "4.2.1.3-4 Soil direct N2O")</f>
        <v>4.2.1.3-4 Soil direct N2O</v>
      </c>
      <c r="D29" s="88" t="s">
        <v>261</v>
      </c>
      <c r="E29" s="1" t="str" cm="1">
        <f t="array" ref="E29">MMS_PastureBeef_Soil_LeachingAndRunoff.VEERG_4_2_1_7__1_LeachingAndRunoffEmissionsFromUrineAndDungOnPasture_Variable()</f>
        <v>E_N2Oleach</v>
      </c>
    </row>
    <row r="30" spans="1:19" ht="20.100000000000001" customHeight="1" x14ac:dyDescent="0.25">
      <c r="A30" s="5" t="str">
        <f>HYPERLINK("#'4.2.1.5-6 Soil Atmos Dep'!A1", "4.2.1.5-6 Soil atm. deposition")</f>
        <v>4.2.1.5-6 Soil atm. deposition</v>
      </c>
      <c r="D30" s="88" t="s">
        <v>131</v>
      </c>
      <c r="E30" s="15" t="str" cm="1">
        <f t="array" ref="E30">MMS_PastureBeef_Soil_LeachingAndRunoff.VEERG_4_2_1_7__1_LeachingAndRunoffEmissionsFromUrineAndDungOnPasture_Unit()</f>
        <v>t N2O</v>
      </c>
    </row>
    <row r="31" spans="1:19" ht="20.100000000000001" customHeight="1" x14ac:dyDescent="0.25">
      <c r="A31" s="101" t="str">
        <f>HYPERLINK("#'4.2.1.7-8 Soil leach runoff'!A1", "4.2.1.7-8 Soil leach &amp; runoff")</f>
        <v>4.2.1.7-8 Soil leach &amp; runoff</v>
      </c>
    </row>
    <row r="32" spans="1:19" ht="20.100000000000001" customHeight="1" x14ac:dyDescent="0.25">
      <c r="A32" s="5" t="str">
        <f>HYPERLINK("#'5.1.1.1-2 Inorganic fert N2O'!A1", "5.1.1.1-2 Inorganic fert N2O")</f>
        <v>5.1.1.1-2 Inorganic fert N2O</v>
      </c>
      <c r="D32" s="102" t="str" cm="1">
        <f t="array" ref="D32:E34">_xlfn.CHOOSECOLS(MMS_PastureBeef_Soil_LeachingAndRunoff.VEERG_4_2_1_7__1_LeachingAndRunoffEmissionsFromUrineAndDungOnPasture_Arguments(),1,2)</f>
        <v>M_leach</v>
      </c>
      <c r="E32" s="103" t="str">
        <v>mass of nitrogen lost to leaching and runoff</v>
      </c>
      <c r="F32" s="105"/>
      <c r="G32" s="102" t="str" cm="1">
        <f t="array" ref="G32:H34">_xlfn.CHOOSECOLS(MMS_PastureBeef_Soil_LeachingAndRunoff.VEERG_4_2_1_7__1_LeachingAndRunoffEmissionsFromUrineAndDungOnPasture_Arguments(),3,4)</f>
        <v>kg N</v>
      </c>
      <c r="H32" s="107" t="str">
        <v>Calculated from 4.2.1.7 (2)</v>
      </c>
      <c r="I32" s="102">
        <f ca="1">$E$20</f>
        <v>14517.683851768685</v>
      </c>
      <c r="M32" s="102" t="str" cm="1">
        <f t="array" ref="M32:N34">_xlfn.CHOOSECOLS(MMS_PastureBeef_Soil_LeachingAndRunoff.VEERG_4_2_1_7__1_LeachingAndRunoffEmissionsFromUrineAndDungOnPasture_Arguments(),1,2)</f>
        <v>M_leach</v>
      </c>
      <c r="N32" s="103" t="str">
        <v>mass of nitrogen lost to leaching and runoff</v>
      </c>
      <c r="O32" s="105"/>
      <c r="P32" s="102" t="str" cm="1">
        <f t="array" ref="P32:Q34">_xlfn.CHOOSECOLS(MMS_PastureBeef_Soil_LeachingAndRunoff.VEERG_4_2_1_7__1_LeachingAndRunoffEmissionsFromUrineAndDungOnPasture_Arguments(),3,4)</f>
        <v>kg N</v>
      </c>
      <c r="Q32" s="107" t="str">
        <v>Calculated from 4.2.1.7 (2)</v>
      </c>
      <c r="R32" s="102">
        <f ca="1">$N$20</f>
        <v>14069.637675477161</v>
      </c>
    </row>
    <row r="33" spans="1:18" ht="20.100000000000001" customHeight="1" x14ac:dyDescent="0.25">
      <c r="A33" s="5" t="str">
        <f>HYPERLINK("#'5.1.1.3-4 Inorganic fert CO2'!A1", "5.1.1.3-4 Inorganic fert CO2")</f>
        <v>5.1.1.3-4 Inorganic fert CO2</v>
      </c>
      <c r="D33" s="102" t="str">
        <v>EF_leach</v>
      </c>
      <c r="E33" s="103" t="str">
        <v>emission factor for leaching and runoff</v>
      </c>
      <c r="F33" s="105"/>
      <c r="G33" s="102" t="str">
        <v>kg N2O-N/kg N</v>
      </c>
      <c r="H33" s="107" t="str">
        <v>Constant</v>
      </c>
      <c r="I33" s="102">
        <f>'Constants - Common'!$E$170</f>
        <v>1.0999999999999999E-2</v>
      </c>
      <c r="M33" s="102" t="str">
        <v>EF_leach</v>
      </c>
      <c r="N33" s="103" t="str">
        <v>emission factor for leaching and runoff</v>
      </c>
      <c r="O33" s="105"/>
      <c r="P33" s="102" t="str">
        <v>kg N2O-N/kg N</v>
      </c>
      <c r="Q33" s="107" t="str">
        <v>Constant</v>
      </c>
      <c r="R33" s="102"/>
    </row>
    <row r="34" spans="1:18" ht="20.100000000000001" customHeight="1" x14ac:dyDescent="0.25">
      <c r="A34" s="5" t="str">
        <f>HYPERLINK("#'5.2.1.1-2 Organic Fert N2O'!A1", "5.2.1.1-2 Organic fert N2O")</f>
        <v>5.2.1.1-2 Organic fert N2O</v>
      </c>
      <c r="D34" s="102" t="str">
        <v>C_N2O</v>
      </c>
      <c r="E34" s="103" t="str">
        <v>factor to convert elemental mass of N2O to molecular mass</v>
      </c>
      <c r="F34" s="105"/>
      <c r="G34" s="102" t="str">
        <v/>
      </c>
      <c r="H34" s="107" t="str">
        <v>Constant</v>
      </c>
      <c r="I34" s="102">
        <f>Common_InputFunctions.Utility_LookupValueInTableNumber("N2O",Table_GasToMolecularConversionFactor[Gas],Table_GasToMolecularConversionFactor[Conversion factor combined])</f>
        <v>1.5714285714285714</v>
      </c>
      <c r="M34" s="102" t="str">
        <v>C_N2O</v>
      </c>
      <c r="N34" s="103" t="str">
        <v>factor to convert elemental mass of N2O to molecular mass</v>
      </c>
      <c r="O34" s="105"/>
      <c r="P34" s="102" t="str">
        <v/>
      </c>
      <c r="Q34" s="107" t="str">
        <v>Constant</v>
      </c>
      <c r="R34" s="102"/>
    </row>
    <row r="35" spans="1:18" ht="20.100000000000001" customHeight="1" x14ac:dyDescent="0.25">
      <c r="A35" s="5" t="str">
        <f>HYPERLINK("#'5.3.1.1-2 Lime CO2'!A1", "5.3.1.1-2 Lime CO2")</f>
        <v>5.3.1.1-2 Lime CO2</v>
      </c>
    </row>
    <row r="36" spans="1:18" ht="20.100000000000001" customHeight="1" x14ac:dyDescent="0.25">
      <c r="A36" s="5" t="str">
        <f>HYPERLINK("#'5.4.1.1-4 Atmos deposition'!A1", "5.4.1.1-4 Atmos. deposition")</f>
        <v>5.4.1.1-4 Atmos. deposition</v>
      </c>
      <c r="D36" s="125" t="s">
        <v>465</v>
      </c>
      <c r="E36" s="113" cm="1">
        <f t="array" aca="1" ref="E36" ca="1">MMS_PastureBeef_Soil_LeachingAndRunoff.VEERG_4_2_1_7__1_LeachingAndRunoffEmissionsFromUrineAndDungOnPasture(I32,I33,I34)</f>
        <v>0.2509485351520015</v>
      </c>
      <c r="F36" s="120" t="str">
        <f>$E$30</f>
        <v>t N2O</v>
      </c>
      <c r="M36" s="125" t="s">
        <v>465</v>
      </c>
      <c r="N36" s="113" cm="1">
        <f t="array" aca="1" ref="N36" ca="1">MMS_PastureBeef_Soil_LeachingAndRunoff.VEERG_4_2_1_7__1_LeachingAndRunoffEmissionsFromUrineAndDungOnPasture(R32,I33,I34)</f>
        <v>0.24320373696181949</v>
      </c>
      <c r="O36" s="120" t="str">
        <f>$E$30</f>
        <v>t N2O</v>
      </c>
    </row>
    <row r="37" spans="1:18" ht="20.100000000000001" customHeight="1" x14ac:dyDescent="0.25">
      <c r="A37" s="5" t="str">
        <f>HYPERLINK("#'5.5.1.1-2 Leaching and runoff'!A1", "5.5.1.1-2 Leaching &amp; runoff")</f>
        <v>5.5.1.1-2 Leaching &amp; runoff</v>
      </c>
    </row>
    <row r="38" spans="1:18" ht="20.100000000000001" customHeight="1" x14ac:dyDescent="0.25">
      <c r="A38" s="5" t="str">
        <f>HYPERLINK("#'6.2.1.1-2 Pasture residue N2O'!A1", "6.2.1.1-2 Pasture residue N2O")</f>
        <v>6.2.1.1-2 Pasture residue N2O</v>
      </c>
      <c r="D38" s="117" t="str" cm="1">
        <f t="array" ref="D38:E39">Common_Equations.Common_ConvertN2OToCO2e_Arguments()</f>
        <v>EN2O</v>
      </c>
      <c r="E38" s="118" t="str">
        <v>Nitrous oxide emissions (t N2O)</v>
      </c>
      <c r="F38" s="119"/>
      <c r="G38" s="25">
        <f ca="1">E36</f>
        <v>0.2509485351520015</v>
      </c>
      <c r="M38" s="117" t="str" cm="1">
        <f t="array" ref="M38:N39">Common_Equations.Common_ConvertN2OToCO2e_Arguments()</f>
        <v>EN2O</v>
      </c>
      <c r="N38" s="118" t="str">
        <v>Nitrous oxide emissions (t N2O)</v>
      </c>
      <c r="O38" s="119"/>
      <c r="P38" s="25">
        <f ca="1">N36</f>
        <v>0.24320373696181949</v>
      </c>
    </row>
    <row r="39" spans="1:18" ht="20.100000000000001" customHeight="1" x14ac:dyDescent="0.25">
      <c r="A39" s="5" t="str">
        <f>HYPERLINK("#'6.3.1.1-2 Leach runoff pasture'!A1", "6.3.1.1-2 Leach &amp; runoff (pasture)")</f>
        <v>6.3.1.1-2 Leach &amp; runoff (pasture)</v>
      </c>
      <c r="D39" s="117" t="str">
        <v>GWPN2O</v>
      </c>
      <c r="E39" s="118" t="str">
        <v>Global warming potential for nitrous oxide (t CO2-e / t N2O)</v>
      </c>
      <c r="F39" s="119"/>
      <c r="G39" s="25">
        <f>Common_InputFunctions.Utility_LookupValueInTableNumber("N2O",Table_GWPData[Gas],Table_GWPData[CO2-e factor])</f>
        <v>265</v>
      </c>
      <c r="M39" s="117" t="str">
        <v>GWPN2O</v>
      </c>
      <c r="N39" s="118" t="str">
        <v>Global warming potential for nitrous oxide (t CO2-e / t N2O)</v>
      </c>
      <c r="O39" s="119"/>
      <c r="P39" s="25">
        <f>Common_InputFunctions.Utility_LookupValueInTableNumber("N2O",Table_GWPData[Gas],Table_GWPData[CO2-e factor])</f>
        <v>265</v>
      </c>
    </row>
    <row r="40" spans="1:18" ht="20.100000000000001" customHeight="1" x14ac:dyDescent="0.25">
      <c r="A40" s="5" t="str">
        <f>HYPERLINK("#'8.1.1.1-2 Transport fuel'!A1", "8.1.1.1-2 Transport fuel")</f>
        <v>8.1.1.1-2 Transport fuel</v>
      </c>
    </row>
    <row r="41" spans="1:18" ht="20.100000000000001" customHeight="1" x14ac:dyDescent="0.25">
      <c r="A41" s="5" t="str">
        <f>HYPERLINK("#'8.2.1.1-2 Stationary fuel'!A1", "8.2.1.1-2 Stationary fuel")</f>
        <v>8.2.1.1-2 Stationary fuel</v>
      </c>
      <c r="D41" s="113" t="s">
        <v>299</v>
      </c>
      <c r="E41" s="113" cm="1">
        <f t="array" aca="1" ref="E41" ca="1">Common_Equations.Common_ConvertN2OToCO2e(G38,G39)</f>
        <v>66.50136181528039</v>
      </c>
      <c r="F41" s="120" t="str" cm="1">
        <f t="array" ref="F41">Common_Equations.Common_ConvertN2OToCO2e_Unit()</f>
        <v>t CO2e</v>
      </c>
      <c r="M41" s="113" t="s">
        <v>299</v>
      </c>
      <c r="N41" s="113" cm="1">
        <f t="array" aca="1" ref="N41" ca="1">Common_Equations.Common_ConvertN2OToCO2e(P38,P39)</f>
        <v>64.448990294882165</v>
      </c>
      <c r="O41" s="120" t="str" cm="1">
        <f t="array" ref="O41">Common_Equations.Common_ConvertN2OToCO2e_Unit()</f>
        <v>t CO2e</v>
      </c>
    </row>
    <row r="42" spans="1:18" ht="20.100000000000001" customHeight="1" x14ac:dyDescent="0.25">
      <c r="A42" s="5" t="str">
        <f>HYPERLINK("#'14.1.1-2 Purchased electricity'!A1", "14.1.1-2 Purchased electricity")</f>
        <v>14.1.1-2 Purchased electricity</v>
      </c>
    </row>
    <row r="43" spans="1:18" ht="20.100000000000001" customHeight="1" x14ac:dyDescent="0.25">
      <c r="A43" s="5" t="str">
        <f>HYPERLINK("#'15 Scope 3'!A1", "15 Scope 3")</f>
        <v>15 Scope 3</v>
      </c>
    </row>
    <row r="44" spans="1:18" ht="20.100000000000001" customHeight="1" x14ac:dyDescent="0.25">
      <c r="A44" s="5" t="str">
        <f>HYPERLINK("#'Calcs - Manure sent off-site'!A1", "Calcs - Manure sent off-site")</f>
        <v>Calcs - Manure sent off-site</v>
      </c>
    </row>
    <row r="45" spans="1:18" ht="20.100000000000001" customHeight="1" x14ac:dyDescent="0.25">
      <c r="A45" s="5" t="str">
        <f>HYPERLINK("#'10.1.1-2 Solid waste treatment'!A1", "10.1.1-2 Solid waste treatment")</f>
        <v>10.1.1-2 Solid waste treatment</v>
      </c>
    </row>
    <row r="46" spans="1:18" ht="20.100000000000001" customHeight="1" x14ac:dyDescent="0.25"/>
    <row r="47" spans="1:18" ht="20.100000000000001" customHeight="1" x14ac:dyDescent="0.25"/>
    <row r="48" spans="1:18"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49DBD96A-621F-4AB6-B023-F830C8B54035}"/>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9135C-9C59-4A07-BBCE-A8490A6457BD}">
  <dimension ref="A1:X342"/>
  <sheetViews>
    <sheetView showGridLines="0" topLeftCell="B4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532</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0" t="s">
        <v>259</v>
      </c>
      <c r="E7" s="10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261</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261</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17" t="str" cm="1">
        <f t="array" ref="M12:N13">_xlfn.CHOOSECOLS(Fertiliser_Equations_InorganicN2O.VEERG_5_1_1_2__1_EmissionFactorIrrigatedMaize_Arguments(), 1, 2)</f>
        <v>N_fjIrrigatedMaize</v>
      </c>
      <c r="N12" s="118" t="str">
        <v>application rate of inorganic fertiliser type f in the irrigated maize crop</v>
      </c>
      <c r="O12" s="165"/>
      <c r="P12" s="117" t="str" cm="1">
        <f t="array" ref="P12:Q13">_xlfn.CHOOSECOLS(Fertiliser_Equations_InorganicN2O.VEERG_5_1_1_2__1_EmissionFactorIrrigatedMaize_Arguments(), 3,4)</f>
        <v>kg N/ha</v>
      </c>
      <c r="Q12" s="106" t="str">
        <v>Input</v>
      </c>
      <c r="R12" s="166" t="str" cm="1">
        <f t="array" aca="1" ref="R12" ca="1">HYPERLINK(Common_InputFunctions.Utility_SourceHyperlink($M$41), $M$41)</f>
        <v>M2_Table_FertApplications</v>
      </c>
      <c r="S12" s="167"/>
    </row>
    <row r="13" spans="1:24" ht="20.100000000000001" customHeight="1" x14ac:dyDescent="0.25">
      <c r="A13" s="5" t="str">
        <f>HYPERLINK("#'Input - Livestock sales'!A1", "Livestock sales")</f>
        <v>Livestock sales</v>
      </c>
      <c r="D13" s="117" t="str" cm="1">
        <f t="array" ref="D13:E14">_xlfn.CHOOSECOLS(Fertiliser_Equations_InorganicN2O.VEERG_5_1_1_1__2_MassOfNitrogenInInorganicFertiliser_Arguments(), 1,2)</f>
        <v>TM_jf</v>
      </c>
      <c r="E13" s="117" t="str">
        <v>total mass of inorganic fertiliser type f applied to production system j</v>
      </c>
      <c r="F13" s="117"/>
      <c r="G13" s="117" t="str" cm="1">
        <f t="array" ref="G13:H14">_xlfn.CHOOSECOLS(Fertiliser_Equations_InorganicN2O.VEERG_5_1_1_1__2_MassOfNitrogenInInorganicFertiliser_Arguments(), 3,4)</f>
        <v>kg</v>
      </c>
      <c r="H13" s="106" t="str">
        <v>Input</v>
      </c>
      <c r="I13" s="108" t="str" cm="1">
        <f t="array" aca="1" ref="I13" ca="1">HYPERLINK(Common_InputFunctions.Utility_SourceHyperlink($D$16), $D$16)</f>
        <v>Table_MN_j_f</v>
      </c>
      <c r="M13" s="117" t="str">
        <v>f</v>
      </c>
      <c r="N13" s="118" t="str">
        <v>Inorganic fertiliser type</v>
      </c>
      <c r="O13" s="165"/>
      <c r="P13" s="117" t="str">
        <v/>
      </c>
      <c r="Q13" s="107" t="str">
        <v>Constant</v>
      </c>
      <c r="R13" s="118" t="s">
        <v>533</v>
      </c>
      <c r="S13" s="167"/>
    </row>
    <row r="14" spans="1:24" ht="20.100000000000001" customHeight="1" x14ac:dyDescent="0.25">
      <c r="A14" s="5" t="str">
        <f>HYPERLINK("#'Input - Beef cattle purchases'!A1", "Beef cattle purchases")</f>
        <v>Beef cattle purchases</v>
      </c>
      <c r="D14" s="117" t="str">
        <v>FN_inorganicf</v>
      </c>
      <c r="E14" s="118" t="str">
        <v xml:space="preserve">fraction of nitrogen in inorganic fertiliser type f </v>
      </c>
      <c r="F14" s="168"/>
      <c r="G14" s="117" t="str">
        <v>kg N/kg</v>
      </c>
      <c r="H14" s="107" t="str">
        <v>Constant</v>
      </c>
      <c r="I14" s="108"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09" t="s">
        <v>534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0" t="s">
        <v>535</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1" t="s">
        <v>536</v>
      </c>
      <c r="E18" s="112" t="s">
        <v>537</v>
      </c>
      <c r="F18" s="111" t="s">
        <v>538</v>
      </c>
      <c r="G18" s="111" t="s">
        <v>539</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261</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7" t="str" cm="1">
        <f t="array" ref="M23:N24">_xlfn.CHOOSECOLS(Fertiliser_Equations_InorganicN2O.VEERG_5_1_1_2__2_EmissionFactorNonIrrigatedGrainsHighRainfall_Arguments(), 1, 2)</f>
        <v>N_fjNonIrrigatedGrains</v>
      </c>
      <c r="N23" s="118" t="str">
        <v>application rate of inorganic fertiliser type f in the grains crop</v>
      </c>
      <c r="O23" s="165"/>
      <c r="P23" s="117" t="str" cm="1">
        <f t="array" ref="P23:Q24">_xlfn.CHOOSECOLS(Fertiliser_Equations_InorganicN2O.VEERG_5_1_1_2__2_EmissionFactorNonIrrigatedGrainsHighRainfall_Arguments(), 3,4)</f>
        <v>kg N/ha</v>
      </c>
      <c r="Q23" s="106" t="str">
        <v>Input</v>
      </c>
      <c r="R23" s="166" t="str" cm="1">
        <f t="array" aca="1" ref="R23" ca="1">HYPERLINK(Common_InputFunctions.Utility_SourceHyperlink($M$41), $M$41)</f>
        <v>M2_Table_FertApplications</v>
      </c>
      <c r="S23" s="168"/>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7" t="str">
        <v>f</v>
      </c>
      <c r="N24" s="118" t="str">
        <v>Inorganic fertiliser type</v>
      </c>
      <c r="O24" s="165"/>
      <c r="P24" s="117" t="str">
        <v/>
      </c>
      <c r="Q24" s="107" t="str">
        <v>Constant</v>
      </c>
      <c r="R24" s="118" t="s">
        <v>533</v>
      </c>
      <c r="S24" s="168"/>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101"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261</v>
      </c>
      <c r="N32" s="1" t="str" cm="1">
        <f t="array" ref="N32">Fertiliser_Equations_InorganicN2O.VEERG_5_1_1_2__3_EmissionFactorCotton_Variable()</f>
        <v>EF_fjCottonN2O</v>
      </c>
    </row>
    <row r="33" spans="1:23" ht="20.100000000000001" customHeight="1" x14ac:dyDescent="0.25">
      <c r="A33" s="5"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7" t="str" cm="1">
        <f t="array" ref="M35:N36">_xlfn.CHOOSECOLS(Fertiliser_Equations_InorganicN2O.VEERG_5_1_1_2__3_EmissionFactorCotton_Arguments(), 1, 2)</f>
        <v>N_fjCotton</v>
      </c>
      <c r="N35" s="118" t="str">
        <v>application rate of inorganic fertiliser type f in the cotton crop</v>
      </c>
      <c r="O35" s="165"/>
      <c r="P35" s="118" t="str" cm="1">
        <f t="array" ref="P35:Q36">_xlfn.CHOOSECOLS(Fertiliser_Equations_InorganicN2O.VEERG_5_1_1_2__3_EmissionFactorCotton_Arguments(), 3,4)</f>
        <v>kg N/ha</v>
      </c>
      <c r="Q35" s="106" t="str">
        <v>Input</v>
      </c>
      <c r="R35" s="166" t="str" cm="1">
        <f t="array" aca="1" ref="R35" ca="1">HYPERLINK(Common_InputFunctions.Utility_SourceHyperlink($M$41), $M$41)</f>
        <v>M2_Table_FertApplications</v>
      </c>
      <c r="S35" s="168"/>
    </row>
    <row r="36" spans="1:23"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7" t="str">
        <v>f</v>
      </c>
      <c r="N36" s="118" t="str">
        <v>Inorganic fertiliser type</v>
      </c>
      <c r="O36" s="165"/>
      <c r="P36" s="118" t="str">
        <v/>
      </c>
      <c r="Q36" s="107" t="str">
        <v>Constant</v>
      </c>
      <c r="R36" s="118" t="s">
        <v>533</v>
      </c>
      <c r="S36" s="168"/>
    </row>
    <row r="37" spans="1:23"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HYPERLINK("#'6.2.1.1-2 Pasture residue N2O'!A1", "6.2.1.1-2 Pasture residue N2O")</f>
        <v>6.2.1.1-2 Pasture residue N2O</v>
      </c>
      <c r="N38" s="92"/>
      <c r="O38" s="92"/>
      <c r="P38" s="92"/>
    </row>
    <row r="39" spans="1:23" ht="20.100000000000001" customHeight="1" x14ac:dyDescent="0.25">
      <c r="A39" s="5" t="str">
        <f>HYPERLINK("#'6.3.1.1-2 Leach runoff pasture'!A1", "6.3.1.1-2 Leach &amp; runoff (pasture)")</f>
        <v>6.3.1.1-2 Leach &amp; runoff (pasture)</v>
      </c>
      <c r="C39" s="113"/>
      <c r="D39" s="113"/>
      <c r="E39" s="113"/>
      <c r="F39" s="113"/>
      <c r="G39" s="113"/>
      <c r="H39" s="113"/>
      <c r="I39" s="113"/>
      <c r="J39" s="113"/>
      <c r="M39" s="92" t="s">
        <v>540</v>
      </c>
    </row>
    <row r="40" spans="1:23" ht="20.100000000000001" customHeight="1" x14ac:dyDescent="0.25">
      <c r="A40" s="5" t="str">
        <f>HYPERLINK("#'8.1.1.1-2 Transport fuel'!A1", "8.1.1.1-2 Transport fuel")</f>
        <v>8.1.1.1-2 Transport fuel</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HYPERLINK("#'8.2.1.1-2 Stationary fuel'!A1", "8.2.1.1-2 Stationary fuel")</f>
        <v>8.2.1.1-2 Stationary fuel</v>
      </c>
      <c r="D41" s="27" t="str" cm="1">
        <f t="array" ref="D41">Fertiliser_Equations_InorganicN2O.VEERG_5_1_1_1__1_InorganicFertiliserApplicationN2OEmissions_Source()</f>
        <v>VEERG 2026: 5.1.1.1, Equation (1)</v>
      </c>
      <c r="M41" s="109" t="s">
        <v>541</v>
      </c>
      <c r="T41" s="123" t="s">
        <v>542</v>
      </c>
    </row>
    <row r="42" spans="1:23"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Common_InputFunctions.Utility_DisplayFunctionName($E$60)</f>
        <v>=Fertiliser_Equations_InorganicN2O.VEERG_5_1_1_1__1_InorganicFertiliserApplicationN2OEmissions</v>
      </c>
      <c r="F42" s="26"/>
      <c r="M42" s="110" t="s">
        <v>543</v>
      </c>
    </row>
    <row r="43" spans="1:23" ht="20.100000000000001" customHeight="1" x14ac:dyDescent="0.25">
      <c r="A43" s="5" t="str">
        <f>HYPERLINK("#'15 Scope 3'!A1", "15 Scope 3")</f>
        <v>15 Scope 3</v>
      </c>
      <c r="F43" s="26"/>
      <c r="O43" s="169" t="s">
        <v>544</v>
      </c>
      <c r="P43" s="169" t="s">
        <v>545</v>
      </c>
      <c r="Q43" s="169" t="s">
        <v>546</v>
      </c>
      <c r="R43" s="169" t="str">
        <f>$N$10</f>
        <v>kg N2O-N/kg N applied</v>
      </c>
      <c r="S43" s="169" t="str">
        <f>$N$21</f>
        <v>kg N2O-N/kg N applied</v>
      </c>
      <c r="T43" s="169" t="s">
        <v>544</v>
      </c>
      <c r="U43" s="169" t="s">
        <v>546</v>
      </c>
      <c r="V43" s="169" t="str">
        <f>$N$33</f>
        <v>kg N2O-N/kg N applied</v>
      </c>
      <c r="W43" s="169" t="s">
        <v>547</v>
      </c>
    </row>
    <row r="44" spans="1:23" ht="20.100000000000001" customHeight="1" x14ac:dyDescent="0.25">
      <c r="A44" s="5" t="str">
        <f>HYPERLINK("#'Calcs - Manure sent off-site'!A1", "Calcs - Manure sent off-site")</f>
        <v>Calcs - Manure sent off-site</v>
      </c>
      <c r="F44" s="26"/>
      <c r="M44" s="111" t="s">
        <v>548</v>
      </c>
      <c r="N44" s="112" t="s">
        <v>548</v>
      </c>
      <c r="O44" s="112" t="s">
        <v>549</v>
      </c>
      <c r="P44" s="112" t="s">
        <v>550</v>
      </c>
      <c r="Q44" s="111" t="s">
        <v>551</v>
      </c>
      <c r="R44" s="111" t="str">
        <f>N9</f>
        <v>EF_fjIrrigatedMaizeN2O</v>
      </c>
      <c r="S44" s="111" t="str">
        <f>N20</f>
        <v>EF_fjNonIrrigatedGrainsN2O</v>
      </c>
      <c r="T44" s="111" t="s">
        <v>552</v>
      </c>
      <c r="U44" s="111" t="s">
        <v>553</v>
      </c>
      <c r="V44" s="111" t="str">
        <f>N32</f>
        <v>EF_fjCottonN2O</v>
      </c>
      <c r="W44" s="111" t="s">
        <v>554</v>
      </c>
    </row>
    <row r="45" spans="1:23" ht="20.100000000000001" customHeight="1" x14ac:dyDescent="0.25">
      <c r="A45" s="5" t="str">
        <f>HYPERLINK("#'10.1.1-2 Solid waste treatment'!A1", "10.1.1-2 Solid waste treatment")</f>
        <v>10.1.1-2 Solid waste treatment</v>
      </c>
      <c r="F45" s="26"/>
      <c r="M45" s="25" t="s">
        <v>555</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D46" s="88" t="s">
        <v>261</v>
      </c>
      <c r="E46" s="1" t="str" cm="1">
        <f t="array" ref="E46">Fertiliser_Equations_InorganicN2O.VEERG_5_1_1_1__1_InorganicFertiliserApplicationN2OEmissions_Variable()</f>
        <v>E_N2O</v>
      </c>
      <c r="F46" s="26"/>
      <c r="M46" s="25" t="s">
        <v>555</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131</v>
      </c>
      <c r="E47" s="15" t="str" cm="1">
        <f t="array" ref="E47">Fertiliser_Equations_InorganicN2O.VEERG_5_1_1_1__1_InorganicFertiliserApplicationN2OEmissions_Unit()</f>
        <v>t N2O</v>
      </c>
      <c r="F47" s="26"/>
      <c r="M47" s="25" t="s">
        <v>555</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96" t="s">
        <v>1</v>
      </c>
      <c r="F48" s="26"/>
      <c r="M48" s="25" t="s">
        <v>555</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HYPERLINK("#'Constants - Pasture Beef'!A1", "Constants - Pasture Beef")</f>
        <v>Constants - Pasture Beef</v>
      </c>
      <c r="D49" s="117" t="str" cm="1">
        <f t="array" ref="D49:E55">_xlfn.CHOOSECOLS(Fertiliser_Equations_InorganicN2O.VEERG_5_1_1_1__1_InorganicFertiliserApplicationN2OEmissions_Arguments(), 1, 2)</f>
        <v>MN_jf</v>
      </c>
      <c r="E49" s="118" t="str">
        <v>mass of nitrogen in inorganic fertiliser type f applied to production system j</v>
      </c>
      <c r="F49" s="165"/>
      <c r="G49" s="117" t="str" cm="1">
        <f t="array" ref="G49:H55">_xlfn.CHOOSECOLS(Fertiliser_Equations_InorganicN2O.VEERG_5_1_1_1__1_InorganicFertiliserApplicationN2OEmissions_Arguments(), 3,4)</f>
        <v>kg N</v>
      </c>
      <c r="H49" s="107" t="str">
        <v>Calculated from 5.1.1.1 (2)</v>
      </c>
      <c r="I49" s="108" t="str" cm="1">
        <f t="array" aca="1" ref="I49" ca="1">HYPERLINK(Common_InputFunctions.Utility_SourceHyperlink(D16), D16)</f>
        <v>Table_MN_j_f</v>
      </c>
      <c r="M49" s="25" t="s">
        <v>555</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Ag Residue'!A1", "Constants - Ag residue")</f>
        <v>Constants - Ag residue</v>
      </c>
      <c r="D50" s="117" t="str">
        <v>EF_jN2O</v>
      </c>
      <c r="E50" s="118" t="str">
        <v>emission factor for nitrous oxide for inorganic fertilisers</v>
      </c>
      <c r="F50" s="165"/>
      <c r="G50" s="117" t="str">
        <v>kg N2O-N/kg N applied</v>
      </c>
      <c r="H50" s="107" t="str">
        <v>Constant</v>
      </c>
      <c r="I50" s="117">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556</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Common Livestock'!A1", "Constants - Common Livestock")</f>
        <v>Constants - Common Livestock</v>
      </c>
      <c r="D51" s="117" t="str">
        <v>C_N2O</v>
      </c>
      <c r="E51" s="118" t="str">
        <v>factor to convert elemental mass of nitrous oxide to molecular mass</v>
      </c>
      <c r="F51" s="165"/>
      <c r="G51" s="117" t="str">
        <v/>
      </c>
      <c r="H51" s="107" t="str">
        <v>Constant</v>
      </c>
      <c r="I51" s="117">
        <f>Common_InputFunctions.Utility_LookupValueInTableNumber("N2O",Table_GasToMolecularConversionFactor[Gas],Table_GasToMolecularConversionFactor[Conversion factor combined])</f>
        <v>1.5714285714285714</v>
      </c>
      <c r="M51" s="25" t="s">
        <v>556</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Electricity'!A1", "Constants - Electricity")</f>
        <v>Constants - Electricity</v>
      </c>
      <c r="D52" s="117" t="str">
        <v>j</v>
      </c>
      <c r="E52" s="118" t="str">
        <v>Production system</v>
      </c>
      <c r="F52" s="165"/>
      <c r="G52" s="117" t="str">
        <v/>
      </c>
      <c r="H52" s="106" t="str">
        <v>Input</v>
      </c>
      <c r="I52" s="117" t="str">
        <f>X_Cell_Fertiliser_ProductionSystem</f>
        <v>Pasture</v>
      </c>
      <c r="M52" s="25" t="s">
        <v>556</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Fertiliser'!A1", "Constants - Fertiliser")</f>
        <v>Constants - Fertiliser</v>
      </c>
      <c r="D53" s="117" t="str">
        <v>f</v>
      </c>
      <c r="E53" s="118" t="str">
        <v>Inorganic fertiliser type</v>
      </c>
      <c r="F53" s="165"/>
      <c r="G53" s="117" t="str">
        <v/>
      </c>
      <c r="H53" s="107" t="str">
        <v>Constant</v>
      </c>
      <c r="I53" s="117" t="str">
        <f>"See " &amp; D57</f>
        <v>See M1_Table_E_N2O</v>
      </c>
      <c r="M53" s="25" t="s">
        <v>556</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Fuel'!A1", "Constants - Fuel")</f>
        <v>Constants - Fuel</v>
      </c>
      <c r="D54" s="117" t="str">
        <v>ir</v>
      </c>
      <c r="E54" s="118" t="str">
        <v>irrigation method</v>
      </c>
      <c r="F54" s="165"/>
      <c r="G54" s="117" t="str">
        <v/>
      </c>
      <c r="H54" s="106" t="str">
        <v>Input</v>
      </c>
      <c r="I54" s="117" t="str">
        <f>X_Cell_Fertiliser_IrrigationMethod</f>
        <v>Surface irrigation</v>
      </c>
      <c r="M54" s="25" t="s">
        <v>556</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Scope 3'!A1", "Constants - Scope 3")</f>
        <v>Constants - Scope 3</v>
      </c>
      <c r="D55" s="117" t="str">
        <v>z</v>
      </c>
      <c r="E55" s="118" t="str">
        <v>rainfall zone</v>
      </c>
      <c r="F55" s="165"/>
      <c r="G55" s="117" t="str">
        <v/>
      </c>
      <c r="H55" s="106" t="str">
        <v>Input</v>
      </c>
      <c r="I55" s="117" t="str">
        <f>X_Cell_Site_RainfallZone</f>
        <v>High rainfall</v>
      </c>
    </row>
    <row r="56" spans="1:24" ht="20.100000000000001" customHeight="1" x14ac:dyDescent="0.25">
      <c r="A56" s="5" t="str">
        <f>HYPERLINK("#'Constants - Common'!A1", "Constants - Common")</f>
        <v>Constants - Common</v>
      </c>
      <c r="F56" s="26"/>
    </row>
    <row r="57" spans="1:24" ht="20.100000000000001" customHeight="1" x14ac:dyDescent="0.25">
      <c r="A57" s="5" t="str">
        <f>HYPERLINK("#'Acknowledgements'!A1", "Acknowledgements")</f>
        <v>Acknowledgements</v>
      </c>
      <c r="D57" s="109" t="s">
        <v>557</v>
      </c>
      <c r="F57" s="26"/>
      <c r="L57" s="113"/>
      <c r="M57" s="113"/>
      <c r="N57" s="113"/>
      <c r="O57" s="113"/>
      <c r="P57" s="113"/>
      <c r="Q57" s="113"/>
      <c r="R57" s="113"/>
      <c r="S57" s="113"/>
      <c r="T57" s="113"/>
      <c r="U57" s="113"/>
      <c r="V57" s="113"/>
      <c r="W57" s="113"/>
      <c r="X57" s="113"/>
    </row>
    <row r="58" spans="1:24" ht="20.100000000000001" customHeight="1" x14ac:dyDescent="0.25">
      <c r="A58" s="5" t="str">
        <f>HYPERLINK("#'Constants - Solid Waste'!A1", "Constants - Solid Waste")</f>
        <v>Constants - Solid Waste</v>
      </c>
      <c r="D58" s="110" t="s">
        <v>558</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D59" s="111" t="s">
        <v>536</v>
      </c>
      <c r="E59" s="111" t="s">
        <v>559</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0" t="s">
        <v>259</v>
      </c>
      <c r="N60" s="100"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261</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7" t="str" cm="1">
        <f t="array" ref="M67:N74">_xlfn.CHOOSECOLS(Fertiliser_Equations_InorganicN2O.VEERG_5_1_1_1__1_InorganicFertiliserApplicationN2OEmissions_Arguments_Method2(), 1, 2)</f>
        <v>MN_jf</v>
      </c>
      <c r="N67" s="118" t="str">
        <v>mass of nitrogen in inorganic fertiliser type f applied to production system j</v>
      </c>
      <c r="O67" s="165"/>
      <c r="P67" s="168"/>
      <c r="Q67" s="117" t="str" cm="1">
        <f t="array" ref="Q67:R74">_xlfn.CHOOSECOLS(Fertiliser_Equations_InorganicN2O.VEERG_5_1_1_1__1_InorganicFertiliserApplicationN2OEmissions_Arguments_Method2(), 3,4)</f>
        <v>kg N</v>
      </c>
      <c r="R67" s="107" t="str">
        <v>Calculated from 5.1.1.1 (2)</v>
      </c>
      <c r="S67" s="10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7" t="str">
        <v>EF_jN2O</v>
      </c>
      <c r="N68" s="118" t="str">
        <v>emission factor for nitrous oxide for inorganic fertilisers</v>
      </c>
      <c r="O68" s="165"/>
      <c r="P68" s="168"/>
      <c r="Q68" s="117" t="str">
        <v>kg N2O-N/kg N applied</v>
      </c>
      <c r="R68" s="107" t="str">
        <v>Calculated from 5.1.1.2 (1)(2)(3)</v>
      </c>
      <c r="S68" s="117"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7" t="str">
        <v>C_N2O</v>
      </c>
      <c r="N69" s="118" t="str">
        <v>factor to convert elemental mass of nitrous oxide to molecular mass</v>
      </c>
      <c r="O69" s="165"/>
      <c r="P69" s="168"/>
      <c r="Q69" s="117" t="str">
        <v/>
      </c>
      <c r="R69" s="107" t="str">
        <v>Constant</v>
      </c>
      <c r="S69" s="117">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7" t="str">
        <v>j</v>
      </c>
      <c r="N70" s="118" t="str">
        <v>Production system</v>
      </c>
      <c r="O70" s="165"/>
      <c r="P70" s="168"/>
      <c r="Q70" s="117" t="str">
        <v/>
      </c>
      <c r="R70" s="106" t="str">
        <v>Input</v>
      </c>
      <c r="S70" s="117"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7" t="str">
        <v>c</v>
      </c>
      <c r="N71" s="118" t="str">
        <v>Crop type</v>
      </c>
      <c r="O71" s="165"/>
      <c r="P71" s="168"/>
      <c r="Q71" s="117" t="str">
        <v/>
      </c>
      <c r="R71" s="106" t="str">
        <v>Input</v>
      </c>
      <c r="S71" s="117"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7" t="str">
        <v>f</v>
      </c>
      <c r="N72" s="118" t="str">
        <v>Inorganic fertiliser type</v>
      </c>
      <c r="O72" s="165"/>
      <c r="P72" s="168"/>
      <c r="Q72" s="117" t="str">
        <v/>
      </c>
      <c r="R72" s="107" t="str">
        <v>Constant</v>
      </c>
      <c r="S72" s="117" t="s">
        <v>560</v>
      </c>
    </row>
    <row r="73" spans="4:19" ht="20.100000000000001" customHeight="1" x14ac:dyDescent="0.25">
      <c r="D73" s="25" t="str">
        <v>Zinc - Generic</v>
      </c>
      <c r="E73" s="25" cm="1">
        <f t="array" ref="E73">Fertiliser_Equations_InorganicN2O.VEERG_5_1_1_1__1_InorganicFertiliserApplicationN2OEmissions(G32,$I$50,$I$51)</f>
        <v>0</v>
      </c>
      <c r="M73" s="117" t="str">
        <v>ir</v>
      </c>
      <c r="N73" s="118" t="str">
        <v>irrigation method</v>
      </c>
      <c r="O73" s="165"/>
      <c r="P73" s="168"/>
      <c r="Q73" s="117" t="str">
        <v/>
      </c>
      <c r="R73" s="106" t="str">
        <v>Input</v>
      </c>
      <c r="S73" s="117"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18" t="str">
        <v>z</v>
      </c>
      <c r="N74" s="118" t="str">
        <v>rainfall zone</v>
      </c>
      <c r="O74" s="165"/>
      <c r="P74" s="165"/>
      <c r="Q74" s="117" t="str">
        <v/>
      </c>
      <c r="R74" s="106" t="str">
        <v>Input</v>
      </c>
      <c r="S74" s="117"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1" t="s">
        <v>548</v>
      </c>
      <c r="N76" s="111" t="s">
        <v>548</v>
      </c>
      <c r="O76" s="111" t="s">
        <v>561</v>
      </c>
      <c r="P76" s="111" t="s">
        <v>559</v>
      </c>
    </row>
    <row r="77" spans="4:19" ht="20.100000000000001" customHeight="1" x14ac:dyDescent="0.25">
      <c r="D77" s="25" t="str">
        <v>Ammonia</v>
      </c>
      <c r="E77" s="25" cm="1">
        <f t="array" ref="E77">Fertiliser_Equations_InorganicN2O.VEERG_5_1_1_1__1_InorganicFertiliserApplicationN2OEmissions(G36,$I$50,$I$51)</f>
        <v>0.38175107142857145</v>
      </c>
      <c r="M77" s="25" t="s">
        <v>555</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555</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555</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4" t="s">
        <v>562</v>
      </c>
      <c r="E80" s="115">
        <f>SUM(E60:E78)</f>
        <v>1.206185042857143</v>
      </c>
      <c r="F80" s="116" t="str">
        <f>$E$47</f>
        <v>t N2O</v>
      </c>
      <c r="M80" s="25" t="s">
        <v>555</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555</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7" t="str" cm="1">
        <f t="array" ref="D82:E83">Common_Equations.Common_ConvertN2OToCO2e_Arguments()</f>
        <v>EN2O</v>
      </c>
      <c r="E82" s="118" t="str">
        <v>Nitrous oxide emissions (t N2O)</v>
      </c>
      <c r="F82" s="119"/>
      <c r="G82" s="25">
        <f>E80</f>
        <v>1.206185042857143</v>
      </c>
      <c r="M82" s="25" t="s">
        <v>556</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7" t="str">
        <v>GWPN2O</v>
      </c>
      <c r="E83" s="118" t="str">
        <v>Global warming potential for nitrous oxide (t CO2-e / t N2O)</v>
      </c>
      <c r="F83" s="119"/>
      <c r="G83" s="25">
        <f>Common_InputFunctions.Utility_LookupValueInTableNumber("N2O",Table_GWPData[Gas],Table_GWPData[CO2-e factor])</f>
        <v>265</v>
      </c>
      <c r="M83" s="25" t="s">
        <v>556</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556</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13" t="s">
        <v>299</v>
      </c>
      <c r="E85" s="113" cm="1">
        <f t="array" ref="E85">Common_Equations.Common_ConvertN2OToCO2e(G82,G83)</f>
        <v>319.63903635714291</v>
      </c>
      <c r="F85" s="120" t="str" cm="1">
        <f t="array" ref="F85">Common_Equations.Common_ConvertN2OToCO2e_Unit()</f>
        <v>t CO2e</v>
      </c>
      <c r="M85" s="25" t="s">
        <v>556</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556</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4" t="s">
        <v>562</v>
      </c>
      <c r="N88" s="115">
        <f>SUM(P77:P86)</f>
        <v>1.2061850428571428</v>
      </c>
      <c r="O88" s="116" t="str">
        <f>$E$47</f>
        <v>t N2O</v>
      </c>
    </row>
    <row r="89" spans="4:16" ht="20.100000000000001" customHeight="1" x14ac:dyDescent="0.25"/>
    <row r="90" spans="4:16" ht="20.100000000000001" customHeight="1" x14ac:dyDescent="0.25">
      <c r="M90" s="117" t="str" cm="1">
        <f t="array" ref="M90:N91">Common_Equations.Common_ConvertN2OToCO2e_Arguments()</f>
        <v>EN2O</v>
      </c>
      <c r="N90" s="118" t="str">
        <v>Nitrous oxide emissions (t N2O)</v>
      </c>
      <c r="O90" s="119"/>
      <c r="P90" s="25">
        <f>N88</f>
        <v>1.2061850428571428</v>
      </c>
    </row>
    <row r="91" spans="4:16" ht="20.100000000000001" customHeight="1" x14ac:dyDescent="0.25">
      <c r="M91" s="117" t="str">
        <v>GWPN2O</v>
      </c>
      <c r="N91" s="118" t="str">
        <v>Global warming potential for nitrous oxide (t CO2-e / t N2O)</v>
      </c>
      <c r="O91" s="119"/>
      <c r="P91" s="25">
        <f>Common_InputFunctions.Utility_LookupValueInTableNumber("N2O",Table_GWPData[Gas],Table_GWPData[CO2-e factor])</f>
        <v>265</v>
      </c>
    </row>
    <row r="92" spans="4:16" ht="20.100000000000001" customHeight="1" x14ac:dyDescent="0.25"/>
    <row r="93" spans="4:16" ht="20.100000000000001" customHeight="1" x14ac:dyDescent="0.25">
      <c r="M93" s="113" t="s">
        <v>299</v>
      </c>
      <c r="N93" s="113" cm="1">
        <f t="array" ref="N93">Common_Equations.Common_ConvertN2OToCO2e(P90,P91)</f>
        <v>319.63903635714286</v>
      </c>
      <c r="O93" s="120"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A8BD87E5-5AAF-466E-A792-6E491FC6DCEE}"/>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E30EA-D390-454F-9AF8-C17B1F390049}">
  <dimension ref="A1:U165"/>
  <sheetViews>
    <sheetView showGridLines="0" topLeftCell="A51"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563</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0" t="s">
        <v>259</v>
      </c>
      <c r="E7" s="10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7" t="str" cm="1">
        <f t="array" ref="D13:E14">_xlfn.CHOOSECOLS(Fertiliser_Equations_InorganicCO2.VEERG_5_1_1_3__2_MassOfUreaInInorganicFertiliser_Arguments(), 1, 2)</f>
        <v>TM_jf</v>
      </c>
      <c r="E13" s="118" t="str">
        <v>total mass of inorganic fertiliser type f applied to production system j</v>
      </c>
      <c r="F13" s="168"/>
      <c r="G13" s="117" t="str" cm="1">
        <f t="array" ref="G13:H14">_xlfn.CHOOSECOLS(Fertiliser_Equations_InorganicCO2.VEERG_5_1_1_3__2_MassOfUreaInInorganicFertiliser_Arguments(), 3, 4)</f>
        <v>kg</v>
      </c>
      <c r="H13" s="106" t="str">
        <v>Input</v>
      </c>
      <c r="I13" s="108"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17" t="str">
        <v>FU_f</v>
      </c>
      <c r="E14" s="118" t="str">
        <v>fraction of urea in fertiliser type f</v>
      </c>
      <c r="F14" s="168"/>
      <c r="G14" s="117" t="str">
        <v>kg urea/kg</v>
      </c>
      <c r="H14" s="107" t="str">
        <v>Lookup</v>
      </c>
      <c r="I14" s="108"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564</v>
      </c>
    </row>
    <row r="17" spans="1:7" ht="20.100000000000001" customHeight="1" x14ac:dyDescent="0.25">
      <c r="A17" s="5" t="str">
        <f>HYPERLINK("#'Input - Fertiliser'!A1", "Fertiliser")</f>
        <v>Fertiliser</v>
      </c>
      <c r="D17" s="110" t="s">
        <v>565</v>
      </c>
    </row>
    <row r="18" spans="1:7" ht="20.100000000000001" customHeight="1" x14ac:dyDescent="0.25">
      <c r="A18" s="5" t="str">
        <f>HYPERLINK("#'Input - Fuel'!A1", "Fuel")</f>
        <v>Fuel</v>
      </c>
      <c r="D18" s="111" t="s">
        <v>536</v>
      </c>
      <c r="E18" s="112" t="s">
        <v>537</v>
      </c>
      <c r="F18" s="111" t="s">
        <v>566</v>
      </c>
      <c r="G18" s="111" t="s">
        <v>567</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101"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13"/>
      <c r="D40" s="113"/>
      <c r="E40" s="113"/>
      <c r="F40" s="113"/>
      <c r="G40" s="113"/>
      <c r="H40" s="113"/>
      <c r="I40" s="113"/>
      <c r="J40" s="113"/>
      <c r="K40" s="113"/>
      <c r="L40" s="113"/>
    </row>
    <row r="41" spans="1:12" ht="20.100000000000001" customHeight="1" x14ac:dyDescent="0.25">
      <c r="A41" s="5" t="str">
        <f>HYPERLINK("#'8.2.1.1-2 Stationary fuel'!A1", "8.2.1.1-2 Stationary fuel")</f>
        <v>8.2.1.1-2 Stationary fuel</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HYPERLINK("#'14.1.1-2 Purchased electricity'!A1", "14.1.1-2 Purchased electricity")</f>
        <v>14.1.1-2 Purchased electricity</v>
      </c>
      <c r="D42" s="27" t="str" cm="1">
        <f t="array" ref="D42">Fertiliser_Equations_InorganicCO2.VEERG_5_1_1_3__1_InorganicFertiliserApplicationCO2Emissions_Source()</f>
        <v>VEERG 2026: 5.1.1.3, Equation (1)</v>
      </c>
    </row>
    <row r="43" spans="1:12" ht="20.100000000000001" customHeight="1" x14ac:dyDescent="0.25">
      <c r="A43" s="5" t="str">
        <f>HYPERLINK("#'15 Scope 3'!A1", "15 Scope 3")</f>
        <v>15 Scope 3</v>
      </c>
      <c r="D43" s="100" t="s">
        <v>259</v>
      </c>
      <c r="E43" s="10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Fertiliser_Equations_InorganicCO2.VEERG_5_1_1_3__1_InorganicFertiliserApplicationCO2Emissions_Variable()</f>
        <v>E_CO2</v>
      </c>
    </row>
    <row r="47" spans="1:12" ht="20.100000000000001" customHeight="1" x14ac:dyDescent="0.25">
      <c r="D47" s="88" t="s">
        <v>131</v>
      </c>
      <c r="E47" s="15" t="str" cm="1">
        <f t="array" ref="E47">Fertiliser_Equations_InorganicCO2.VEERG_5_1_1_3__1_InorganicFertiliserApplicationCO2Emissions_Unit()</f>
        <v>t CO2</v>
      </c>
    </row>
    <row r="48" spans="1:12" ht="20.100000000000001" customHeight="1" x14ac:dyDescent="0.25">
      <c r="A48" s="96" t="s">
        <v>1</v>
      </c>
    </row>
    <row r="49" spans="1:9" ht="20.100000000000001" customHeight="1" x14ac:dyDescent="0.25">
      <c r="A49" s="5" t="str">
        <f>HYPERLINK("#'Constants - Pasture Beef'!A1", "Constants - Pasture Beef")</f>
        <v>Constants - Pasture Beef</v>
      </c>
      <c r="D49" s="117" t="str" cm="1">
        <f t="array" ref="D49:E53">_xlfn.CHOOSECOLS(Fertiliser_Equations_InorganicCO2.VEERG_5_1_1_3__1_InorganicFertiliserApplicationCO2Emissions_Arguments(), 1, 2)</f>
        <v>MU_jf</v>
      </c>
      <c r="E49" s="118" t="str">
        <v>mass of urea of inorganic fertiliser type f applied to production system j</v>
      </c>
      <c r="F49" s="168"/>
      <c r="G49" s="117" t="str" cm="1">
        <f t="array" ref="G49:H53">_xlfn.CHOOSECOLS(Fertiliser_Equations_InorganicCO2.VEERG_5_1_1_3__1_InorganicFertiliserApplicationCO2Emissions_Arguments(), 3,4)</f>
        <v>kg urea</v>
      </c>
      <c r="H49" s="107" t="str">
        <v>Calculated</v>
      </c>
      <c r="I49" s="108" t="str" cm="1">
        <f t="array" aca="1" ref="I49" ca="1">HYPERLINK(Common_InputFunctions.Utility_SourceHyperlink($D$16), $D$16)</f>
        <v>Table_MU_j_f</v>
      </c>
    </row>
    <row r="50" spans="1:9" ht="20.100000000000001" customHeight="1" x14ac:dyDescent="0.25">
      <c r="A50" s="5" t="str">
        <f>HYPERLINK("#'Constants - Ag Residue'!A1", "Constants - Ag residue")</f>
        <v>Constants - Ag residue</v>
      </c>
      <c r="D50" s="117" t="str">
        <v>EF_ureaCO2</v>
      </c>
      <c r="E50" s="118" t="str">
        <v>emission factor for carbon emissions from urea-based fertilisers</v>
      </c>
      <c r="F50" s="168"/>
      <c r="G50" s="117" t="str">
        <v>kg C/kg urea</v>
      </c>
      <c r="H50" s="107" t="str">
        <v>Constant</v>
      </c>
      <c r="I50" s="117">
        <f>'Constants - Fertiliser'!$E$60</f>
        <v>0.2</v>
      </c>
    </row>
    <row r="51" spans="1:9" ht="20.100000000000001" customHeight="1" x14ac:dyDescent="0.25">
      <c r="A51" s="5" t="str">
        <f>HYPERLINK("#'Constants - Common Livestock'!A1", "Constants - Common Livestock")</f>
        <v>Constants - Common Livestock</v>
      </c>
      <c r="D51" s="117" t="str">
        <v>C_CO2</v>
      </c>
      <c r="E51" s="118" t="str">
        <v>factor to convert elemental mass of carbon to molecular mass of carbon dioxide</v>
      </c>
      <c r="F51" s="168"/>
      <c r="G51" s="117" t="str">
        <v/>
      </c>
      <c r="H51" s="107" t="str">
        <v>Constant</v>
      </c>
      <c r="I51" s="117">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Electricity'!A1", "Constants - Electricity")</f>
        <v>Constants - Electricity</v>
      </c>
      <c r="D52" s="117" t="str">
        <v>j</v>
      </c>
      <c r="E52" s="118" t="str">
        <v>Production system</v>
      </c>
      <c r="F52" s="168"/>
      <c r="G52" s="117" t="str">
        <v/>
      </c>
      <c r="H52" s="106" t="str">
        <v>Input</v>
      </c>
      <c r="I52" s="117" t="str">
        <f>X_Cell_Fertiliser_ProductionSystem</f>
        <v>Pasture</v>
      </c>
    </row>
    <row r="53" spans="1:9" ht="20.100000000000001" customHeight="1" x14ac:dyDescent="0.25">
      <c r="A53" s="5" t="str">
        <f>HYPERLINK("#'Constants - Fertiliser'!A1", "Constants - Fertiliser")</f>
        <v>Constants - Fertiliser</v>
      </c>
      <c r="D53" s="117" t="str">
        <v>f</v>
      </c>
      <c r="E53" s="118" t="str">
        <v>Inorganic fertiliser type</v>
      </c>
      <c r="F53" s="168"/>
      <c r="G53" s="117" t="str">
        <v/>
      </c>
      <c r="H53" s="107" t="str">
        <v>Lookup</v>
      </c>
      <c r="I53" s="108" t="str" cm="1">
        <f t="array" aca="1" ref="I53" ca="1">HYPERLINK(Common_InputFunctions.Utility_SourceHyperlink($D$16), $D$16)</f>
        <v>Table_MU_j_f</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9" t="s">
        <v>568</v>
      </c>
    </row>
    <row r="56" spans="1:9" ht="20.100000000000001" customHeight="1" x14ac:dyDescent="0.25">
      <c r="A56" s="5" t="str">
        <f>HYPERLINK("#'Constants - Common'!A1", "Constants - Common")</f>
        <v>Constants - Common</v>
      </c>
      <c r="D56" s="110" t="s">
        <v>569</v>
      </c>
    </row>
    <row r="57" spans="1:9" ht="20.100000000000001" customHeight="1" x14ac:dyDescent="0.25">
      <c r="A57" s="5" t="str">
        <f>HYPERLINK("#'Acknowledgements'!A1", "Acknowledgements")</f>
        <v>Acknowledgements</v>
      </c>
      <c r="D57" s="111" t="s">
        <v>536</v>
      </c>
      <c r="E57" s="111" t="s">
        <v>559</v>
      </c>
    </row>
    <row r="58" spans="1:9" ht="20.100000000000001" customHeight="1" x14ac:dyDescent="0.25">
      <c r="A58" s="5" t="str">
        <f>HYPERLINK("#'Constants - Solid Waste'!A1", "Constants - Solid Waste")</f>
        <v>Constants - Solid Waste</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4" t="s">
        <v>570</v>
      </c>
      <c r="E78" s="115">
        <f>SUM(E58:E76)</f>
        <v>73.333333333333329</v>
      </c>
      <c r="F78" s="116"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901F8-884E-47FC-B449-31A2B2F07371}">
  <dimension ref="A1:U165"/>
  <sheetViews>
    <sheetView showGridLines="0" topLeftCell="A3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0" t="s">
        <v>259</v>
      </c>
      <c r="E7" s="10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7" t="str" cm="1">
        <f t="array" ref="D13:E15">_xlfn.CHOOSECOLS(Fertiliser_Equations_OrganicN2O.VEERG_5_2_1_1__2_MassOfNitrogenInOrganicFertiliser_Arguments(), 1, 2)</f>
        <v>M_organicjf</v>
      </c>
      <c r="E13" s="118" t="str">
        <v>mass of organic fertiliser type f applied to production system j</v>
      </c>
      <c r="F13" s="168"/>
      <c r="G13" s="102" t="str" cm="1">
        <f t="array" ref="G13:H15">_xlfn.CHOOSECOLS(Fertiliser_Equations_OrganicN2O.VEERG_5_2_1_1__2_MassOfNitrogenInOrganicFertiliser_Arguments(), 3,4)</f>
        <v>kg</v>
      </c>
      <c r="H13" s="106" t="str">
        <v>Input</v>
      </c>
      <c r="I13" s="108"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17" t="str">
        <v>FN_organicf</v>
      </c>
      <c r="E14" s="118" t="str">
        <v>nitrogen fraction of organic fertiliser type f</v>
      </c>
      <c r="F14" s="168"/>
      <c r="G14" s="102" t="str">
        <v>kg N/kg</v>
      </c>
      <c r="H14" s="106" t="str">
        <v>Input</v>
      </c>
      <c r="I14" s="108" t="str" cm="1">
        <f t="array" aca="1" ref="I14" ca="1">HYPERLINK(Common_InputFunctions.Utility_SourceHyperlink($D$17), $D$17)</f>
        <v>Table_MNSoil_j_f</v>
      </c>
    </row>
    <row r="15" spans="1:21" ht="20.100000000000001" customHeight="1" x14ac:dyDescent="0.25">
      <c r="A15" s="5" t="str">
        <f>HYPERLINK("#'Input - Pasture'!A1", "Pasture")</f>
        <v>Pasture</v>
      </c>
      <c r="D15" s="117" t="str">
        <v>f</v>
      </c>
      <c r="E15" s="118" t="str">
        <v>Organic fertiliser type</v>
      </c>
      <c r="F15" s="168"/>
      <c r="G15" s="102" t="str">
        <v/>
      </c>
      <c r="H15" s="106" t="str">
        <v>Input</v>
      </c>
      <c r="I15" s="108"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09" t="s">
        <v>572</v>
      </c>
    </row>
    <row r="18" spans="1:10" ht="20.100000000000001" customHeight="1" x14ac:dyDescent="0.25">
      <c r="A18" s="5" t="str">
        <f>HYPERLINK("#'Input - Fuel'!A1", "Fuel")</f>
        <v>Fuel</v>
      </c>
      <c r="D18" s="110" t="s">
        <v>573</v>
      </c>
    </row>
    <row r="19" spans="1:10" ht="20.100000000000001" customHeight="1" x14ac:dyDescent="0.25">
      <c r="A19" s="5" t="str">
        <f>HYPERLINK("#'Input - Electricity'!A1", "Electricity")</f>
        <v>Electricity</v>
      </c>
      <c r="D19" s="112" t="s">
        <v>574</v>
      </c>
      <c r="E19" s="112" t="s">
        <v>575</v>
      </c>
      <c r="F19" s="112" t="s">
        <v>475</v>
      </c>
      <c r="G19" s="170" t="s">
        <v>576</v>
      </c>
      <c r="H19" s="170" t="s">
        <v>577</v>
      </c>
      <c r="I19" s="170" t="s">
        <v>578</v>
      </c>
    </row>
    <row r="20" spans="1:10" ht="20.100000000000001" customHeight="1" x14ac:dyDescent="0.25">
      <c r="A20" s="5" t="str">
        <f>HYPERLINK("#'Input - Farm Inputs'!A1", "Farm Inputs")</f>
        <v>Farm Inputs</v>
      </c>
      <c r="D20" s="25" t="str" cm="1">
        <f t="array" ref="D20:D22">Table_Input_OrganicFertiliser[Organic fertiliser type (select)]</f>
        <v>Manure - Other</v>
      </c>
      <c r="E20" s="171" cm="1">
        <f t="array" ref="E20:E22">Table_Input_OrganicFertiliser[Amount applied (kg/hectare)]</f>
        <v>10</v>
      </c>
      <c r="F20" s="171" cm="1">
        <f t="array" ref="F20:F22">Table_Input_OrganicFertiliser[Application area (ha)]</f>
        <v>1000</v>
      </c>
      <c r="G20" s="25" cm="1">
        <f t="array" ref="G20:G22">Table_Input_OrganicFertiliser[Amount applied (kg/hectare)]*Table_Input_OrganicFertiliser[Application area (ha)]</f>
        <v>10000</v>
      </c>
      <c r="H20" s="172"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HYPERLINK("#'3.2.1.1-2 Enteric Methane'!A1", "3.2.1.1-2 Enteric methane")</f>
        <v>3.2.1.1-2 Enteric methane</v>
      </c>
      <c r="D27" s="25"/>
      <c r="E27" s="25"/>
      <c r="F27" s="25"/>
      <c r="G27" s="25"/>
      <c r="H27" s="25"/>
      <c r="I27" s="25" cm="1">
        <f t="array" ref="I27">Fertiliser_Equations_Organic.VEERG_5_2_1_1__2_MassOfNitrogenInOrganicFertiliser(G27,H27)</f>
        <v>0</v>
      </c>
    </row>
    <row r="28" spans="1:10" ht="20.100000000000001" customHeight="1" x14ac:dyDescent="0.25">
      <c r="A28" s="5" t="str">
        <f>HYPERLINK("#'4.2.1.1-2 Methane'!A1", "4.2.1.1-2 Manure methane")</f>
        <v>4.2.1.1-2 Manure methane</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HYPERLINK("#'4.2.1.3-4 Soil direct N20'!A1", "4.2.1.3-4 Soil direct N2O")</f>
        <v>4.2.1.3-4 Soil direct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HYPERLINK("#'4.2.1.5-6 Soil Atmos Dep'!A1", "4.2.1.5-6 Soil atm. deposition")</f>
        <v>4.2.1.5-6 Soil atm. deposition</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HYPERLINK("#'4.2.1.7-8 Soil leach runoff'!A1", "4.2.1.7-8 Soil leach &amp; runoff")</f>
        <v>4.2.1.7-8 Soil leach &amp; runoff</v>
      </c>
      <c r="D31" s="173"/>
      <c r="E31" s="173"/>
      <c r="F31" s="173"/>
      <c r="G31" s="173"/>
      <c r="H31" s="173"/>
      <c r="I31" s="173"/>
      <c r="J31" s="173"/>
    </row>
    <row r="32" spans="1:10" ht="20.100000000000001" customHeight="1" x14ac:dyDescent="0.25">
      <c r="A32" s="5" t="str">
        <f>HYPERLINK("#'5.1.1.1-2 Inorganic fert N2O'!A1", "5.1.1.1-2 Inorganic fert N2O")</f>
        <v>5.1.1.1-2 Inorganic fert N2O</v>
      </c>
      <c r="D32" s="125" t="s">
        <v>579</v>
      </c>
      <c r="E32" s="125">
        <f>SUM(I20:I30)</f>
        <v>7100</v>
      </c>
      <c r="F32" s="174" t="str">
        <f>$E$11</f>
        <v>kg N</v>
      </c>
      <c r="G32" s="173"/>
      <c r="H32" s="173"/>
      <c r="I32" s="173"/>
      <c r="J32" s="173"/>
    </row>
    <row r="33" spans="1:12" ht="20.100000000000001" customHeight="1" x14ac:dyDescent="0.25">
      <c r="A33" s="5" t="str">
        <f>HYPERLINK("#'5.1.1.3-4 Inorganic fert CO2'!A1", "5.1.1.3-4 Inorganic fert CO2")</f>
        <v>5.1.1.3-4 Inorganic fert CO2</v>
      </c>
    </row>
    <row r="34" spans="1:12" ht="20.100000000000001" customHeight="1" x14ac:dyDescent="0.25">
      <c r="A34" s="101" t="str">
        <f>HYPERLINK("#'5.2.1.1-2 Organic Fert N2O'!A1", "5.2.1.1-2 Organic fert N2O")</f>
        <v>5.2.1.1-2 Organic fert N2O</v>
      </c>
    </row>
    <row r="35" spans="1:12" ht="20.100000000000001" customHeight="1" x14ac:dyDescent="0.25">
      <c r="A35" s="5" t="str">
        <f>HYPERLINK("#'5.3.1.1-2 Lime CO2'!A1", "5.3.1.1-2 Lime CO2")</f>
        <v>5.3.1.1-2 Lime CO2</v>
      </c>
      <c r="C35" s="175"/>
      <c r="D35" s="175"/>
      <c r="E35" s="175"/>
      <c r="F35" s="175"/>
      <c r="G35" s="175"/>
      <c r="H35" s="175"/>
      <c r="I35" s="175"/>
      <c r="J35" s="175"/>
      <c r="K35" s="175"/>
      <c r="L35" s="175"/>
    </row>
    <row r="36" spans="1:12" ht="20.100000000000001" customHeight="1" x14ac:dyDescent="0.25">
      <c r="A36" s="5" t="str">
        <f>HYPERLINK("#'5.4.1.1-4 Atmos deposition'!A1", "5.4.1.1-4 Atmos. deposition")</f>
        <v>5.4.1.1-4 Atmos. deposition</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HYPERLINK("#'5.5.1.1-2 Leaching and runoff'!A1", "5.5.1.1-2 Leaching &amp; runoff")</f>
        <v>5.5.1.1-2 Leaching &amp; runoff</v>
      </c>
      <c r="D37" s="27" t="str" cm="1">
        <f t="array" ref="D37">Fertiliser_Equations_OrganicN2O.VEERG_5_2_1_1__1_OrganicFertiliserApplicationN2OEmissions_Source()</f>
        <v>VEERG 2026: 5.2.1.1, Equation (1)</v>
      </c>
    </row>
    <row r="38" spans="1:12" ht="20.100000000000001" customHeight="1" x14ac:dyDescent="0.25">
      <c r="A38" s="5" t="str">
        <f>HYPERLINK("#'6.2.1.1-2 Pasture residue N2O'!A1", "6.2.1.1-2 Pasture residue N2O")</f>
        <v>6.2.1.1-2 Pasture residue N2O</v>
      </c>
      <c r="D38" s="100" t="s">
        <v>259</v>
      </c>
      <c r="E38" s="100" t="str" cm="1">
        <f t="array" aca="1" ref="E38" ca="1">Common_InputFunctions.Utility_DisplayFunctionName($I$20)</f>
        <v>=Fertiliser_Equations_OrganicN2O.VEERG_5_2_1_1__2_MassOfNitrogenInOrganicFertiliser</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row>
    <row r="41" spans="1:12" ht="20.100000000000001" customHeight="1" x14ac:dyDescent="0.25">
      <c r="A41" s="5" t="str">
        <f>HYPERLINK("#'8.2.1.1-2 Stationary fuel'!A1", "8.2.1.1-2 Stationary fuel")</f>
        <v>8.2.1.1-2 Stationary fuel</v>
      </c>
      <c r="D41" s="88" t="s">
        <v>261</v>
      </c>
      <c r="E41" s="1" t="str" cm="1">
        <f t="array" ref="E41">Fertiliser_Equations_OrganicN2O.VEERG_5_2_1_1__1_OrganicFertiliserApplicationN2OEmissions_Variable()</f>
        <v>E_N2O</v>
      </c>
    </row>
    <row r="42" spans="1:12" ht="20.100000000000001" customHeight="1" x14ac:dyDescent="0.25">
      <c r="A42" s="5" t="str">
        <f>HYPERLINK("#'14.1.1-2 Purchased electricity'!A1", "14.1.1-2 Purchased electricity")</f>
        <v>14.1.1-2 Purchased electricity</v>
      </c>
      <c r="D42" s="88" t="s">
        <v>131</v>
      </c>
      <c r="E42" s="15" t="str" cm="1">
        <f t="array" ref="E42">Fertiliser_Equations_OrganicN2O.VEERG_5_2_1_1__1_OrganicFertiliserApplicationN2OEmissions_Unit()</f>
        <v>t N2O</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c r="D44" s="102" t="str" cm="1">
        <f t="array" ref="D44:E48">_xlfn.CHOOSECOLS(Fertiliser_Equations_OrganicN2O.VEERG_5_2_1_1__1_OrganicFertiliserApplicationN2OEmissions_Arguments(), 1, 2)</f>
        <v>MNSoil_jf</v>
      </c>
      <c r="E44" s="103" t="str">
        <v>mass of nitrogen in organic fertiliser type f applied to production system j</v>
      </c>
      <c r="F44" s="104"/>
      <c r="G44" s="104"/>
      <c r="H44" s="105"/>
      <c r="I44" s="102" t="str" cm="1">
        <f t="array" ref="I44:J48">_xlfn.CHOOSECOLS(Fertiliser_Equations_OrganicN2O.VEERG_5_2_1_1__1_OrganicFertiliserApplicationN2OEmissions_Arguments(), 3,4)</f>
        <v>kg N</v>
      </c>
      <c r="J44" s="107" t="str">
        <v>Calculated from 5.2.1.1 (2)</v>
      </c>
      <c r="K44" s="102">
        <f>$E$32</f>
        <v>7100</v>
      </c>
    </row>
    <row r="45" spans="1:12" ht="20.100000000000001" customHeight="1" x14ac:dyDescent="0.25">
      <c r="A45" s="5" t="str">
        <f>HYPERLINK("#'10.1.1-2 Solid waste treatment'!A1", "10.1.1-2 Solid waste treatment")</f>
        <v>10.1.1-2 Solid waste treatment</v>
      </c>
      <c r="D45" s="102" t="str">
        <v>EF_N2Oi</v>
      </c>
      <c r="E45" s="103" t="str">
        <v>emission factor for direct nitrous oxide emissions from organic fertiliser applied to soils and aquatic systems in climate zone i</v>
      </c>
      <c r="F45" s="104"/>
      <c r="G45" s="104"/>
      <c r="H45" s="105"/>
      <c r="I45" s="102" t="str">
        <v>kg N2O-N/kg N</v>
      </c>
      <c r="J45" s="107" t="str">
        <v>Lookup</v>
      </c>
      <c r="K45" s="102">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02" t="str">
        <v>C_N2O</v>
      </c>
      <c r="E46" s="103" t="str">
        <v>factor to convert elemental mass of nitrous oxide to molecular mass</v>
      </c>
      <c r="F46" s="104"/>
      <c r="G46" s="104"/>
      <c r="H46" s="105"/>
      <c r="I46" s="102" t="str">
        <v/>
      </c>
      <c r="J46" s="107" t="str">
        <v>Constant</v>
      </c>
      <c r="K46" s="117">
        <f>Common_InputFunctions.Utility_LookupValueInTableNumber("N2O",Table_GasToMolecularConversionFactor[Gas],Table_GasToMolecularConversionFactor[Conversion factor combined])</f>
        <v>1.5714285714285714</v>
      </c>
    </row>
    <row r="47" spans="1:12" ht="20.100000000000001" customHeight="1" x14ac:dyDescent="0.25">
      <c r="D47" s="102" t="str">
        <v>j</v>
      </c>
      <c r="E47" s="103" t="str">
        <v>Production system</v>
      </c>
      <c r="F47" s="104"/>
      <c r="G47" s="104"/>
      <c r="H47" s="105"/>
      <c r="I47" s="102" t="str">
        <v/>
      </c>
      <c r="J47" s="106" t="str">
        <v>Input</v>
      </c>
      <c r="K47" s="102" t="str">
        <f>X_Cell_Fertiliser_ProductionSystem</f>
        <v>Pasture</v>
      </c>
    </row>
    <row r="48" spans="1:12" ht="20.100000000000001" customHeight="1" x14ac:dyDescent="0.25">
      <c r="A48" s="96" t="s">
        <v>1</v>
      </c>
      <c r="D48" s="102" t="str">
        <v>i</v>
      </c>
      <c r="E48" s="103" t="str">
        <v>Wet or dry climate zone</v>
      </c>
      <c r="F48" s="104"/>
      <c r="G48" s="104"/>
      <c r="H48" s="105"/>
      <c r="I48" s="102" t="str">
        <v/>
      </c>
      <c r="J48" s="106" t="str">
        <v>Input</v>
      </c>
      <c r="K48" s="102" t="str">
        <f>X_Cell_Site_WetOrDryClimateZone</f>
        <v>Dry climate zone</v>
      </c>
    </row>
    <row r="49" spans="1:7" ht="20.100000000000001" customHeight="1" x14ac:dyDescent="0.25">
      <c r="A49" s="5" t="str">
        <f>HYPERLINK("#'Constants - Pasture Beef'!A1", "Constants - Pasture Beef")</f>
        <v>Constants - Pasture Beef</v>
      </c>
    </row>
    <row r="50" spans="1:7" ht="20.100000000000001" customHeight="1" x14ac:dyDescent="0.25">
      <c r="A50" s="5" t="str">
        <f>HYPERLINK("#'Constants - Ag Residue'!A1", "Constants - Ag residue")</f>
        <v>Constants - Ag residue</v>
      </c>
      <c r="D50" s="114" t="s">
        <v>562</v>
      </c>
      <c r="E50" s="115" cm="1">
        <f t="array" ref="E50">Fertiliser_Equations_OrganicN2O.VEERG_5_2_1_1__1_OrganicFertiliserApplicationN2OEmissions(K44,K45,K46)</f>
        <v>5.5785714285714286E-2</v>
      </c>
      <c r="F50" s="116" t="str">
        <f>$E$42</f>
        <v>t N2O</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117" t="str" cm="1">
        <f t="array" ref="D52:E53">Common_Equations.Common_ConvertN2OToCO2e_Arguments()</f>
        <v>EN2O</v>
      </c>
      <c r="E52" s="118" t="str">
        <v>Nitrous oxide emissions (t N2O)</v>
      </c>
      <c r="F52" s="119"/>
      <c r="G52" s="25">
        <f>E50</f>
        <v>5.5785714285714286E-2</v>
      </c>
    </row>
    <row r="53" spans="1:7" ht="20.100000000000001" customHeight="1" x14ac:dyDescent="0.25">
      <c r="A53" s="5" t="str">
        <f>HYPERLINK("#'Constants - Fertiliser'!A1", "Constants - Fertiliser")</f>
        <v>Constants - Fertiliser</v>
      </c>
      <c r="D53" s="117" t="str">
        <v>GWPN2O</v>
      </c>
      <c r="E53" s="118" t="str">
        <v>Global warming potential for nitrous oxide (t CO2-e / t N2O)</v>
      </c>
      <c r="F53" s="119"/>
      <c r="G53" s="25">
        <f>Common_InputFunctions.Utility_LookupValueInTableNumber("N2O",Table_GWPData[Gas],Table_GWPData[CO2-e factor])</f>
        <v>265</v>
      </c>
    </row>
    <row r="54" spans="1:7" ht="20.100000000000001" customHeight="1" x14ac:dyDescent="0.25">
      <c r="A54" s="5" t="str">
        <f>HYPERLINK("#'Constants - Fuel'!A1", "Constants - Fuel")</f>
        <v>Constants - Fuel</v>
      </c>
    </row>
    <row r="55" spans="1:7" ht="20.100000000000001" customHeight="1" x14ac:dyDescent="0.25">
      <c r="A55" s="5" t="str">
        <f>HYPERLINK("#'Constants - Scope 3'!A1", "Constants - Scope 3")</f>
        <v>Constants - Scope 3</v>
      </c>
      <c r="D55" s="113" t="s">
        <v>299</v>
      </c>
      <c r="E55" s="113" cm="1">
        <f t="array" ref="E55">Common_Equations.Common_ConvertN2OToCO2e(G52,G53)</f>
        <v>14.783214285714285</v>
      </c>
      <c r="F55" s="120" t="str" cm="1">
        <f t="array" ref="F55">Common_Equations.Common_ConvertN2OToCO2e_Unit()</f>
        <v>t CO2e</v>
      </c>
    </row>
    <row r="56" spans="1:7" ht="20.100000000000001" customHeight="1" x14ac:dyDescent="0.25">
      <c r="A56" s="5" t="str">
        <f>HYPERLINK("#'Constants - Common'!A1", "Constants - Common")</f>
        <v>Constants - Common</v>
      </c>
    </row>
    <row r="57" spans="1:7" ht="20.100000000000001" customHeight="1" x14ac:dyDescent="0.25">
      <c r="A57" s="5" t="str">
        <f>HYPERLINK("#'Acknowledgements'!A1", "Acknowledgements")</f>
        <v>Acknowledgements</v>
      </c>
    </row>
    <row r="58" spans="1:7" ht="20.100000000000001" customHeight="1" x14ac:dyDescent="0.25">
      <c r="A58" s="5" t="str">
        <f>HYPERLINK("#'Constants - Solid Waste'!A1", "Constants - Solid Waste")</f>
        <v>Constants - Solid Waste</v>
      </c>
    </row>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71A6B-80B5-47E2-AB0D-6B393DB451E8}">
  <dimension ref="A1:U165"/>
  <sheetViews>
    <sheetView showGridLines="0" topLeftCell="A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580</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0" t="s">
        <v>259</v>
      </c>
      <c r="E7" s="10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20">_xlfn.CHOOSECOLS(Fertiliser_Equations_Lime.VEERG_5_3_1_1__1_LimeApplicationCO2Emissions_Arguments(), 1, 2)</f>
        <v>M_lime</v>
      </c>
      <c r="E13" s="103" t="str">
        <v>total mass of lime applied to production system</v>
      </c>
      <c r="F13" s="105"/>
      <c r="G13" s="102" t="str" cm="1">
        <f t="array" ref="G13:H20">_xlfn.CHOOSECOLS(Fertiliser_Equations_Lime.VEERG_5_3_1_1__1_LimeApplicationCO2Emissions_Arguments(), 3,4)</f>
        <v>kg</v>
      </c>
      <c r="H13" s="106" t="str">
        <v>Input</v>
      </c>
      <c r="I13" s="108"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2" t="str">
        <v>FracLime</v>
      </c>
      <c r="E14" s="103" t="str">
        <v>fraction of lime as limestone (CaCO3)</v>
      </c>
      <c r="F14" s="105"/>
      <c r="G14" s="102" t="str">
        <v>fraction</v>
      </c>
      <c r="H14" s="106" t="str">
        <v>Input</v>
      </c>
      <c r="I14" s="108" t="str" cm="1">
        <f t="array" aca="1" ref="I14" ca="1">HYPERLINK(Common_InputFunctions.Utility_SourceHyperlink($D$22), $D$22)</f>
        <v>Table_E_lime</v>
      </c>
    </row>
    <row r="15" spans="1:21" ht="20.100000000000001" customHeight="1" x14ac:dyDescent="0.25">
      <c r="A15" s="5" t="str">
        <f>HYPERLINK("#'Input - Pasture'!A1", "Pasture")</f>
        <v>Pasture</v>
      </c>
      <c r="D15" s="102" t="str">
        <v>P_lime</v>
      </c>
      <c r="E15" s="103" t="str">
        <v>fractional purity of limestone</v>
      </c>
      <c r="F15" s="105"/>
      <c r="G15" s="102" t="str">
        <v>fraction</v>
      </c>
      <c r="H15" s="107" t="str">
        <v>Constant</v>
      </c>
      <c r="I15" s="102">
        <f>'Constants - Fertiliser'!$E$66</f>
        <v>0.9</v>
      </c>
    </row>
    <row r="16" spans="1:21" ht="20.100000000000001" customHeight="1" x14ac:dyDescent="0.25">
      <c r="A16" s="5" t="str">
        <f>HYPERLINK("#'Input - Fert Prod System'!A1", "Fert Prod System")</f>
        <v>Fert Prod System</v>
      </c>
      <c r="D16" s="102" t="str">
        <v>EF_lime</v>
      </c>
      <c r="E16" s="103" t="str">
        <v>emission factor for limestone fraction of lime</v>
      </c>
      <c r="F16" s="105"/>
      <c r="G16" s="102" t="str">
        <v>kg C/kg</v>
      </c>
      <c r="H16" s="107" t="str">
        <v>Constant</v>
      </c>
      <c r="I16" s="102">
        <f>'Constants - Fertiliser'!$F$66</f>
        <v>0.12</v>
      </c>
    </row>
    <row r="17" spans="1:9" ht="20.100000000000001" customHeight="1" x14ac:dyDescent="0.25">
      <c r="A17" s="5" t="str">
        <f>HYPERLINK("#'Input - Fertiliser'!A1", "Fertiliser")</f>
        <v>Fertiliser</v>
      </c>
      <c r="D17" s="102" t="str">
        <v>FracDol</v>
      </c>
      <c r="E17" s="103" t="str">
        <v>fraction of lime as dolomite</v>
      </c>
      <c r="F17" s="105"/>
      <c r="G17" s="102" t="str">
        <v>fraction</v>
      </c>
      <c r="H17" s="106" t="str">
        <v>Input</v>
      </c>
      <c r="I17" s="108" t="str" cm="1">
        <f t="array" aca="1" ref="I17" ca="1">HYPERLINK(Common_InputFunctions.Utility_SourceHyperlink($D$22), $D$22)</f>
        <v>Table_E_lime</v>
      </c>
    </row>
    <row r="18" spans="1:9" ht="20.100000000000001" customHeight="1" x14ac:dyDescent="0.25">
      <c r="A18" s="5" t="str">
        <f>HYPERLINK("#'Input - Fuel'!A1", "Fuel")</f>
        <v>Fuel</v>
      </c>
      <c r="D18" s="102" t="str">
        <v>P_dol</v>
      </c>
      <c r="E18" s="103" t="str">
        <v>fractional purity of dolomite</v>
      </c>
      <c r="F18" s="105"/>
      <c r="G18" s="102" t="str">
        <v>fraction</v>
      </c>
      <c r="H18" s="107" t="str">
        <v>Constant</v>
      </c>
      <c r="I18" s="102">
        <f>'Constants - Fertiliser'!$E$67</f>
        <v>0.95</v>
      </c>
    </row>
    <row r="19" spans="1:9" ht="20.100000000000001" customHeight="1" x14ac:dyDescent="0.25">
      <c r="A19" s="5" t="str">
        <f>HYPERLINK("#'Input - Electricity'!A1", "Electricity")</f>
        <v>Electricity</v>
      </c>
      <c r="D19" s="102" t="str">
        <v>EF_dol</v>
      </c>
      <c r="E19" s="103" t="str">
        <v>emission factor for dolomite fraction of lime</v>
      </c>
      <c r="F19" s="105"/>
      <c r="G19" s="102" t="str">
        <v>kg C/kg</v>
      </c>
      <c r="H19" s="107" t="str">
        <v>Constant</v>
      </c>
      <c r="I19" s="102">
        <f>'Constants - Fertiliser'!$F$67</f>
        <v>0.13</v>
      </c>
    </row>
    <row r="20" spans="1:9" ht="20.100000000000001" customHeight="1" x14ac:dyDescent="0.25">
      <c r="A20" s="5" t="str">
        <f>HYPERLINK("#'Input - Farm Inputs'!A1", "Farm Inputs")</f>
        <v>Farm Inputs</v>
      </c>
      <c r="D20" s="102" t="str">
        <v>C_CO2</v>
      </c>
      <c r="E20" s="103" t="str">
        <v>factor to convert elemental mass of carbon dioxide to molecular mass</v>
      </c>
      <c r="F20" s="105"/>
      <c r="G20" s="102" t="str">
        <v/>
      </c>
      <c r="H20" s="107" t="str">
        <v>Constant</v>
      </c>
      <c r="I20" s="117">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09" t="s">
        <v>581</v>
      </c>
    </row>
    <row r="23" spans="1:9" ht="20.100000000000001" customHeight="1" x14ac:dyDescent="0.25">
      <c r="A23" s="5" t="str">
        <f>HYPERLINK("#'Input - Solid waste'!A1", "Solid waste")</f>
        <v>Solid waste</v>
      </c>
      <c r="D23" s="110" t="s">
        <v>582</v>
      </c>
    </row>
    <row r="24" spans="1:9" ht="20.100000000000001" customHeight="1" x14ac:dyDescent="0.25">
      <c r="D24" s="112" t="s">
        <v>583</v>
      </c>
      <c r="E24" s="112" t="s">
        <v>584</v>
      </c>
      <c r="F24" s="112" t="s">
        <v>585</v>
      </c>
      <c r="G24" s="112" t="s">
        <v>586</v>
      </c>
      <c r="H24" s="111" t="s">
        <v>587</v>
      </c>
    </row>
    <row r="25" spans="1:9" ht="20.100000000000001" customHeight="1" x14ac:dyDescent="0.25">
      <c r="D25" s="25" t="str" cm="1">
        <f t="array" ref="D25:D27">Table_Input_Lime[Product]</f>
        <v>Lime product 1</v>
      </c>
      <c r="E25" s="176" cm="1">
        <f t="array" ref="E25:E27">Table_Input_Lime[Total amount applied (t)]*10^3</f>
        <v>1000000</v>
      </c>
      <c r="F25" s="177" cm="1">
        <f t="array" ref="F25:F27">Table_Input_Lime[Percent Lime CaCO3]</f>
        <v>0.8</v>
      </c>
      <c r="G25" s="177"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HYPERLINK("#'3.2.1.1-2 Enteric Methane'!A1", "3.2.1.1-2 Enteric methane")</f>
        <v>3.2.1.1-2 Enteric methane</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HYPERLINK("#'4.2.1.1-2 Methane'!A1", "4.2.1.1-2 Manure methane")</f>
        <v>4.2.1.1-2 Manure methane</v>
      </c>
      <c r="D28" s="25"/>
      <c r="E28" s="25"/>
      <c r="F28" s="25"/>
      <c r="G28" s="25"/>
      <c r="H28" s="25" cm="1">
        <f t="array" ref="H28">Fertiliser_Equations_Lime.VEERG_5_3_1_1__1_LimeApplicationCO2Emissions(E28,F28,$I$15,$I$16,G28,$I$18,$I$19,$I$20)</f>
        <v>0</v>
      </c>
    </row>
    <row r="29" spans="1:9" ht="20.100000000000001" customHeight="1" x14ac:dyDescent="0.25">
      <c r="A29" s="5" t="str">
        <f>HYPERLINK("#'4.2.1.3-4 Soil direct N20'!A1", "4.2.1.3-4 Soil direct N2O")</f>
        <v>4.2.1.3-4 Soil direct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HYPERLINK("#'4.2.1.5-6 Soil Atmos Dep'!A1", "4.2.1.5-6 Soil atm. deposition")</f>
        <v>4.2.1.5-6 Soil atm. deposition</v>
      </c>
    </row>
    <row r="31" spans="1:9" ht="20.100000000000001" customHeight="1" x14ac:dyDescent="0.25">
      <c r="A31" s="5" t="str">
        <f>HYPERLINK("#'4.2.1.7-8 Soil leach runoff'!A1", "4.2.1.7-8 Soil leach &amp; runoff")</f>
        <v>4.2.1.7-8 Soil leach &amp; runoff</v>
      </c>
      <c r="D31" s="114" t="s">
        <v>588</v>
      </c>
      <c r="E31" s="115">
        <f>SUM(H25:H29)</f>
        <v>758.08333333333326</v>
      </c>
      <c r="F31" s="178" t="s">
        <v>144</v>
      </c>
    </row>
    <row r="32" spans="1:9"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101"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0002-1E44-4C2E-B052-24D90F6646F3}">
  <dimension ref="A1:U165"/>
  <sheetViews>
    <sheetView showGridLines="0" topLeftCell="A10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0" t="s">
        <v>259</v>
      </c>
      <c r="E7" s="10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4">_xlfn.CHOOSECOLS(Fertiliser_Equations_AtmosphericDeposition.VEERG_5_4_1_1__2_MassOfNitrogenVolatilisedFromInorganicFertiliser_Arguments(), 1, 2)</f>
        <v>MN_jf</v>
      </c>
      <c r="E13" s="103" t="str">
        <v>mass of nitrogen in inorganic fertiliser applied</v>
      </c>
      <c r="F13" s="105"/>
      <c r="G13" s="102" t="str" cm="1">
        <f t="array" ref="G13:H14">_xlfn.CHOOSECOLS(Fertiliser_Equations_AtmosphericDeposition.VEERG_5_4_1_1__2_MassOfNitrogenVolatilisedFromInorganicFertiliser_Arguments(), 3,4)</f>
        <v>kg N</v>
      </c>
      <c r="H13" s="107" t="str">
        <v>Calculated from 5.1.1.1 (2)</v>
      </c>
      <c r="I13" s="108"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2" t="str">
        <v>FracGASF_f</v>
      </c>
      <c r="E14" s="103" t="str">
        <v>fraction of inorganic fertiliser that volatilises</v>
      </c>
      <c r="F14" s="105"/>
      <c r="G14" s="102" t="str">
        <v>(kg NH3-N + NOx-N)/kg N</v>
      </c>
      <c r="H14" s="107" t="str">
        <v>Constant</v>
      </c>
      <c r="I14" s="108"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590</v>
      </c>
    </row>
    <row r="17" spans="1:8" ht="20.100000000000001" customHeight="1" x14ac:dyDescent="0.25">
      <c r="A17" s="5" t="str">
        <f>HYPERLINK("#'Input - Fertiliser'!A1", "Fertiliser")</f>
        <v>Fertiliser</v>
      </c>
      <c r="D17" s="110" t="s">
        <v>591</v>
      </c>
    </row>
    <row r="18" spans="1:8" ht="20.100000000000001" customHeight="1" x14ac:dyDescent="0.25">
      <c r="A18" s="5" t="str">
        <f>HYPERLINK("#'Input - Fuel'!A1", "Fuel")</f>
        <v>Fuel</v>
      </c>
      <c r="D18" s="111" t="s">
        <v>592</v>
      </c>
      <c r="E18" s="111" t="s">
        <v>593</v>
      </c>
      <c r="F18" s="111" t="s">
        <v>594</v>
      </c>
      <c r="G18" s="179" t="s">
        <v>595</v>
      </c>
      <c r="H18" s="179" t="s">
        <v>596</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HYPERLINK("#'3.2.1.1-2 Enteric Methane'!A1", "3.2.1.1-2 Enteric methane")</f>
        <v>3.2.1.1-2 Enteric methane</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HYPERLINK("#'4.2.1.1-2 Methane'!A1", "4.2.1.1-2 Manure methane")</f>
        <v>4.2.1.1-2 Manure methane</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HYPERLINK("#'4.2.1.3-4 Soil direct N20'!A1", "4.2.1.3-4 Soil direct N2O")</f>
        <v>4.2.1.3-4 Soil direct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HYPERLINK("#'4.2.1.5-6 Soil Atmos Dep'!A1", "4.2.1.5-6 Soil atm. deposition")</f>
        <v>4.2.1.5-6 Soil atm. deposition</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HYPERLINK("#'4.2.1.7-8 Soil leach runoff'!A1", "4.2.1.7-8 Soil leach &amp; runoff")</f>
        <v>4.2.1.7-8 Soil leach &amp; runoff</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HYPERLINK("#'5.1.1.1-2 Inorganic fert N2O'!A1", "5.1.1.1-2 Inorganic fert N2O")</f>
        <v>5.1.1.1-2 Inorganic fert N2O</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HYPERLINK("#'5.1.1.3-4 Inorganic fert CO2'!A1", "5.1.1.3-4 Inorganic fert CO2")</f>
        <v>5.1.1.3-4 Inorganic fert CO2</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HYPERLINK("#'5.2.1.1-2 Organic Fert N2O'!A1", "5.2.1.1-2 Organic fert N2O")</f>
        <v>5.2.1.1-2 Organic fert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HYPERLINK("#'5.3.1.1-2 Lime CO2'!A1", "5.3.1.1-2 Lime CO2")</f>
        <v>5.3.1.1-2 Lime CO2</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101" t="str">
        <f>HYPERLINK("#'5.4.1.1-4 Atmos deposition'!A1", "5.4.1.1-4 Atmos. deposition")</f>
        <v>5.4.1.1-4 Atmos. deposition</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HYPERLINK("#'5.5.1.1-2 Leaching and runoff'!A1", "5.5.1.1-2 Leaching &amp; runoff")</f>
        <v>5.5.1.1-2 Leaching &amp; runoff</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75"/>
      <c r="D40" s="175"/>
      <c r="E40" s="175"/>
      <c r="F40" s="175"/>
      <c r="G40" s="175"/>
      <c r="H40" s="175"/>
      <c r="I40" s="175"/>
      <c r="J40" s="175"/>
      <c r="K40" s="175"/>
      <c r="L40" s="175"/>
    </row>
    <row r="41" spans="1:12" ht="20.100000000000001" customHeight="1" x14ac:dyDescent="0.25">
      <c r="A41" s="5" t="str">
        <f>HYPERLINK("#'8.2.1.1-2 Stationary fuel'!A1", "8.2.1.1-2 Stationary fuel")</f>
        <v>8.2.1.1-2 Stationary fuel</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HYPERLINK("#'14.1.1-2 Purchased electricity'!A1", "14.1.1-2 Purchased electricity")</f>
        <v>14.1.1-2 Purchased electricity</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HYPERLINK("#'15 Scope 3'!A1", "15 Scope 3")</f>
        <v>15 Scope 3</v>
      </c>
      <c r="D43" s="100" t="s">
        <v>259</v>
      </c>
      <c r="E43" s="10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Fertiliser_Equations_AtmosphericDeposition.VEERG_5_4_1_1__1_InorganicFertiliserAtmosphericDepositionN2OEmissions_Variable()</f>
        <v>E_adinorganic</v>
      </c>
    </row>
    <row r="47" spans="1:12" ht="20.100000000000001" customHeight="1" x14ac:dyDescent="0.25">
      <c r="D47" s="88" t="s">
        <v>131</v>
      </c>
      <c r="E47" s="15" t="str" cm="1">
        <f t="array" ref="E47">Fertiliser_Equations_AtmosphericDeposition.VEERG_5_4_1_1__1_InorganicFertiliserAtmosphericDepositionN2OEmissions_Unit()</f>
        <v>t N2O</v>
      </c>
    </row>
    <row r="48" spans="1:12" ht="20.100000000000001" customHeight="1" x14ac:dyDescent="0.25">
      <c r="A48" s="96" t="s">
        <v>1</v>
      </c>
    </row>
    <row r="49" spans="1:10" ht="20.100000000000001" customHeight="1" x14ac:dyDescent="0.25">
      <c r="A49" s="5" t="str">
        <f>HYPERLINK("#'Constants - Pasture Beef'!A1", "Constants - Pasture Beef")</f>
        <v>Constants - Pasture Beef</v>
      </c>
      <c r="D49" s="102" t="str" cm="1">
        <f t="array" ref="D49:E54">_xlfn.CHOOSECOLS(Fertiliser_Equations_AtmosphericDeposition.VEERG_5_4_1_1__1_InorganicFertiliserAtmosphericDepositionN2OEmissions_Arguments(), 1, 2)</f>
        <v>M_volinorganicjf</v>
      </c>
      <c r="E49" s="103" t="str">
        <v>mass of nitrogen volatilised from inorganic fertiliser applied to production system</v>
      </c>
      <c r="F49" s="104"/>
      <c r="G49" s="105"/>
      <c r="H49" s="102" t="str" cm="1">
        <f t="array" ref="H49:I54">_xlfn.CHOOSECOLS(Fertiliser_Equations_AtmosphericDeposition.VEERG_5_4_1_1__1_InorganicFertiliserAtmosphericDepositionN2OEmissions_Arguments(), 3,4)</f>
        <v>kg N</v>
      </c>
      <c r="I49" s="107" t="str">
        <v>Calculated from 5.4.1.1 (2)</v>
      </c>
      <c r="J49" s="108" t="str" cm="1">
        <f t="array" aca="1" ref="J49" ca="1">HYPERLINK(Common_InputFunctions.Utility_SourceHyperlink($D$16),$D$16)</f>
        <v>Table_M_vol_inorganic_j_f</v>
      </c>
    </row>
    <row r="50" spans="1:10" ht="20.100000000000001" customHeight="1" x14ac:dyDescent="0.25">
      <c r="A50" s="5" t="str">
        <f>HYPERLINK("#'Constants - Ag Residue'!A1", "Constants - Ag residue")</f>
        <v>Constants - Ag residue</v>
      </c>
      <c r="D50" s="102" t="str">
        <v>EF_N2Oj</v>
      </c>
      <c r="E50" s="103" t="str">
        <v>emission factor for atmospheric deposition</v>
      </c>
      <c r="F50" s="104"/>
      <c r="G50" s="105"/>
      <c r="H50" s="102" t="str">
        <v>kg N2O-N/kg N</v>
      </c>
      <c r="I50" s="107" t="str">
        <v>Constant</v>
      </c>
      <c r="J50" s="102">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Common Livestock'!A1", "Constants - Common Livestock")</f>
        <v>Constants - Common Livestock</v>
      </c>
      <c r="D51" s="102" t="str">
        <v>C_N2O</v>
      </c>
      <c r="E51" s="103" t="str">
        <v>factor to convert elemental mass of nitrous oxide to molecular mass</v>
      </c>
      <c r="F51" s="104"/>
      <c r="G51" s="105"/>
      <c r="H51" s="102" t="str">
        <v/>
      </c>
      <c r="I51" s="107" t="str">
        <v>Constant</v>
      </c>
      <c r="J51" s="117">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Electricity'!A1", "Constants - Electricity")</f>
        <v>Constants - Electricity</v>
      </c>
      <c r="D52" s="102" t="str">
        <v>j</v>
      </c>
      <c r="E52" s="103" t="str">
        <v>Production system</v>
      </c>
      <c r="F52" s="104"/>
      <c r="G52" s="105"/>
      <c r="H52" s="102" t="str">
        <v/>
      </c>
      <c r="I52" s="106" t="str">
        <v>Input</v>
      </c>
      <c r="J52" s="102" t="str">
        <f>X_Cell_Fertiliser_ProductionSystem</f>
        <v>Pasture</v>
      </c>
    </row>
    <row r="53" spans="1:10" ht="20.100000000000001" customHeight="1" x14ac:dyDescent="0.25">
      <c r="A53" s="5" t="str">
        <f>HYPERLINK("#'Constants - Fertiliser'!A1", "Constants - Fertiliser")</f>
        <v>Constants - Fertiliser</v>
      </c>
      <c r="D53" s="102" t="str">
        <v>ir</v>
      </c>
      <c r="E53" s="103" t="str">
        <v>irrigation method</v>
      </c>
      <c r="F53" s="104"/>
      <c r="G53" s="105"/>
      <c r="H53" s="102" t="str">
        <v/>
      </c>
      <c r="I53" s="106" t="str">
        <v>Input</v>
      </c>
      <c r="J53" s="102" t="str">
        <f>X_Cell_Fertiliser_IrrigationMethod</f>
        <v>Surface irrigation</v>
      </c>
    </row>
    <row r="54" spans="1:10" ht="20.100000000000001" customHeight="1" x14ac:dyDescent="0.25">
      <c r="A54" s="5" t="str">
        <f>HYPERLINK("#'Constants - Fuel'!A1", "Constants - Fuel")</f>
        <v>Constants - Fuel</v>
      </c>
      <c r="D54" s="102" t="str">
        <v>r</v>
      </c>
      <c r="E54" s="103" t="str">
        <v>rainfall region</v>
      </c>
      <c r="F54" s="104"/>
      <c r="G54" s="105"/>
      <c r="H54" s="102" t="str">
        <v/>
      </c>
      <c r="I54" s="106" t="str">
        <v>Input</v>
      </c>
      <c r="J54" s="102" t="str">
        <f>X_Cell_Site_RainfallZone</f>
        <v>High rainfall</v>
      </c>
    </row>
    <row r="55" spans="1:10" ht="20.100000000000001" customHeight="1" x14ac:dyDescent="0.25">
      <c r="A55" s="5" t="str">
        <f>HYPERLINK("#'Constants - Scope 3'!A1", "Constants - Scope 3")</f>
        <v>Constants - Scope 3</v>
      </c>
    </row>
    <row r="56" spans="1:10" ht="20.100000000000001" customHeight="1" x14ac:dyDescent="0.25">
      <c r="A56" s="5" t="str">
        <f>HYPERLINK("#'Constants - Common'!A1", "Constants - Common")</f>
        <v>Constants - Common</v>
      </c>
      <c r="D56" s="109" t="s">
        <v>597</v>
      </c>
    </row>
    <row r="57" spans="1:10" ht="20.100000000000001" customHeight="1" x14ac:dyDescent="0.25">
      <c r="A57" s="5" t="str">
        <f>HYPERLINK("#'Acknowledgements'!A1", "Acknowledgements")</f>
        <v>Acknowledgements</v>
      </c>
      <c r="D57" s="110" t="s">
        <v>598</v>
      </c>
    </row>
    <row r="58" spans="1:10" ht="20.100000000000001" customHeight="1" x14ac:dyDescent="0.25">
      <c r="A58" s="5" t="str">
        <f>HYPERLINK("#'Constants - Solid Waste'!A1", "Constants - Solid Waste")</f>
        <v>Constants - Solid Waste</v>
      </c>
      <c r="D58" s="111" t="s">
        <v>592</v>
      </c>
      <c r="E58" s="179" t="s">
        <v>596</v>
      </c>
      <c r="F58" s="179" t="s">
        <v>599</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4" t="s">
        <v>600</v>
      </c>
      <c r="E79" s="115">
        <f>SUM(F59:F77)</f>
        <v>0.11844528142857143</v>
      </c>
      <c r="F79" s="116" t="str">
        <f>$E$47</f>
        <v>t N2O</v>
      </c>
    </row>
    <row r="80" spans="4:6" ht="20.100000000000001" customHeight="1" x14ac:dyDescent="0.25"/>
    <row r="81" spans="3:12" ht="20.100000000000001" customHeight="1" x14ac:dyDescent="0.25">
      <c r="D81" s="117" t="str" cm="1">
        <f t="array" ref="D81:E82">Common_Equations.Common_ConvertN2OToCO2e_Arguments()</f>
        <v>EN2O</v>
      </c>
      <c r="E81" s="118" t="str">
        <v>Nitrous oxide emissions (t N2O)</v>
      </c>
      <c r="F81" s="119"/>
      <c r="G81" s="25">
        <f>E79</f>
        <v>0.11844528142857143</v>
      </c>
    </row>
    <row r="82" spans="3:12" ht="20.100000000000001" customHeight="1" x14ac:dyDescent="0.25">
      <c r="D82" s="117" t="str">
        <v>GWPN2O</v>
      </c>
      <c r="E82" s="118" t="str">
        <v>Global warming potential for nitrous oxide (t CO2-e / t N2O)</v>
      </c>
      <c r="F82" s="119"/>
      <c r="G82" s="25">
        <f>Common_InputFunctions.Utility_LookupValueInTableNumber("N2O",Table_GWPData[Gas],Table_GWPData[CO2-e factor])</f>
        <v>265</v>
      </c>
    </row>
    <row r="83" spans="3:12" ht="20.100000000000001" customHeight="1" x14ac:dyDescent="0.25"/>
    <row r="84" spans="3:12" ht="20.100000000000001" customHeight="1" x14ac:dyDescent="0.25">
      <c r="D84" s="113" t="s">
        <v>299</v>
      </c>
      <c r="E84" s="113" cm="1">
        <f t="array" ref="E84">Common_Equations.Common_ConvertN2OToCO2e(G81,G82)</f>
        <v>31.387999578571428</v>
      </c>
      <c r="F84" s="120"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5"/>
      <c r="D87" s="175"/>
      <c r="E87" s="175"/>
      <c r="F87" s="175"/>
      <c r="G87" s="175"/>
      <c r="H87" s="175"/>
      <c r="I87" s="175"/>
      <c r="J87" s="175"/>
      <c r="K87" s="175"/>
      <c r="L87" s="175"/>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0" t="s">
        <v>259</v>
      </c>
      <c r="E90" s="10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261</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2" t="str" cm="1">
        <f t="array" ref="D96:E97">_xlfn.CHOOSECOLS(Fertiliser_Equations_AtmosphericDeposition.VEERG_5_4_1_3__2_MassOfNitrogenVolatilisedFromOrganicFertiliser_Arguments(), 1, 2)</f>
        <v>MNSoil_jf</v>
      </c>
      <c r="E96" s="102" t="str">
        <v>mass of nitrogen in organic fertiliser type f applied to production system j</v>
      </c>
      <c r="F96" s="102"/>
      <c r="G96" s="102" t="str" cm="1">
        <f t="array" ref="G96:H97">_xlfn.CHOOSECOLS(Fertiliser_Equations_AtmosphericDeposition.VEERG_5_4_1_3__2_MassOfNitrogenVolatilisedFromOrganicFertiliser_Arguments(), 3,4)</f>
        <v>kg N</v>
      </c>
      <c r="H96" s="107" t="str">
        <v>Calculated from 5.2.1.1 (2)</v>
      </c>
      <c r="I96" s="108" t="str" cm="1">
        <f t="array" aca="1" ref="I96" ca="1">HYPERLINK(Common_InputFunctions.Utility_SourceHyperlink($D$99), $D$99)</f>
        <v>Table_M_vol_organic_j_f</v>
      </c>
    </row>
    <row r="97" spans="4:9" ht="20.100000000000001" customHeight="1" x14ac:dyDescent="0.25">
      <c r="D97" s="102" t="str">
        <v>FracGASM_soil</v>
      </c>
      <c r="E97" s="102" t="str">
        <v>fraction of organic fertiliser N that volatilises</v>
      </c>
      <c r="F97" s="102"/>
      <c r="G97" s="102" t="str">
        <v>(kg NH3-N + NOx-N)/kg N</v>
      </c>
      <c r="H97" s="107" t="str">
        <v>Constant</v>
      </c>
      <c r="I97" s="102">
        <f>'Constants - Fertiliser'!$E$73</f>
        <v>0.21</v>
      </c>
    </row>
    <row r="98" spans="4:9" ht="20.100000000000001" customHeight="1" x14ac:dyDescent="0.25"/>
    <row r="99" spans="4:9" ht="20.100000000000001" customHeight="1" x14ac:dyDescent="0.25">
      <c r="D99" s="109" t="s">
        <v>601</v>
      </c>
    </row>
    <row r="100" spans="4:9" ht="20.100000000000001" customHeight="1" x14ac:dyDescent="0.25">
      <c r="D100" s="110" t="s">
        <v>602</v>
      </c>
    </row>
    <row r="101" spans="4:9" ht="20.100000000000001" customHeight="1" x14ac:dyDescent="0.25">
      <c r="D101" s="112" t="s">
        <v>574</v>
      </c>
      <c r="E101" s="170" t="s">
        <v>578</v>
      </c>
      <c r="F101" s="170" t="s">
        <v>603</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5"/>
      <c r="D115" s="175"/>
      <c r="E115" s="175"/>
      <c r="F115" s="175"/>
      <c r="G115" s="175"/>
      <c r="H115" s="175"/>
      <c r="I115" s="175"/>
      <c r="J115" s="175"/>
      <c r="K115" s="175"/>
      <c r="L115" s="175"/>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0" t="s">
        <v>259</v>
      </c>
      <c r="E118" s="10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261</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2" t="str" cm="1">
        <f t="array" ref="D124:E129">_xlfn.CHOOSECOLS(Fertiliser_Equations_AtmosphericDeposition.VEERG_5_4_1_3__1_OrganicFertiliserAtmosphericDepositionN2OEmissions_Arguments(), 1, 2)</f>
        <v>M_volorganicjf</v>
      </c>
      <c r="E124" s="103" t="str">
        <v>mass of nitrogen volatilised from organic fertiliser applied to production system</v>
      </c>
      <c r="F124" s="105"/>
      <c r="G124" s="102" t="str" cm="1">
        <f t="array" ref="G124:H129">_xlfn.CHOOSECOLS(Fertiliser_Equations_AtmosphericDeposition.VEERG_5_4_1_3__1_OrganicFertiliserAtmosphericDepositionN2OEmissions_Arguments(), 3,4)</f>
        <v>kg N</v>
      </c>
      <c r="H124" s="107" t="str">
        <v>Calculated from 5.4.1.3 (2)</v>
      </c>
      <c r="I124" s="108" t="str" cm="1">
        <f t="array" aca="1" ref="I124" ca="1">HYPERLINK(Common_InputFunctions.Utility_SourceHyperlink($D$99), $D$99)</f>
        <v>Table_M_vol_organic_j_f</v>
      </c>
    </row>
    <row r="125" spans="3:12" ht="20.100000000000001" customHeight="1" x14ac:dyDescent="0.25">
      <c r="D125" s="102" t="str">
        <v>EF_N2Oj</v>
      </c>
      <c r="E125" s="103" t="str">
        <v>emission factor for atmospheric deposition in production system j</v>
      </c>
      <c r="F125" s="105"/>
      <c r="G125" s="102" t="str">
        <v>kg N2O-N/kg N</v>
      </c>
      <c r="H125" s="107" t="str">
        <v>Constant</v>
      </c>
      <c r="I125" s="102">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2" t="str">
        <v>C_N2O</v>
      </c>
      <c r="E126" s="103" t="str">
        <v>factor to convert elemental mass of nitrous oxide to molecular mass</v>
      </c>
      <c r="F126" s="105"/>
      <c r="G126" s="102" t="str">
        <v/>
      </c>
      <c r="H126" s="107" t="str">
        <v>Constant</v>
      </c>
      <c r="I126" s="117">
        <f>Common_InputFunctions.Utility_LookupValueInTableNumber("N2O",Table_GasToMolecularConversionFactor[Gas],Table_GasToMolecularConversionFactor[Conversion factor combined])</f>
        <v>1.5714285714285714</v>
      </c>
    </row>
    <row r="127" spans="3:12" ht="20.100000000000001" customHeight="1" x14ac:dyDescent="0.25">
      <c r="D127" s="102" t="str">
        <v>j</v>
      </c>
      <c r="E127" s="103" t="str">
        <v>Production system</v>
      </c>
      <c r="F127" s="105"/>
      <c r="G127" s="102" t="str">
        <v/>
      </c>
      <c r="H127" s="106" t="str">
        <v>Input</v>
      </c>
      <c r="I127" s="102" t="str">
        <f>X_Cell_Fertiliser_ProductionSystem</f>
        <v>Pasture</v>
      </c>
    </row>
    <row r="128" spans="3:12" ht="20.100000000000001" customHeight="1" x14ac:dyDescent="0.25">
      <c r="D128" s="102" t="str">
        <v>ir</v>
      </c>
      <c r="E128" s="103" t="str">
        <v>irrigation method</v>
      </c>
      <c r="F128" s="105"/>
      <c r="G128" s="102" t="str">
        <v/>
      </c>
      <c r="H128" s="106" t="str">
        <v>Input</v>
      </c>
      <c r="I128" s="102" t="str">
        <f>X_Cell_Fertiliser_IrrigationMethod</f>
        <v>Surface irrigation</v>
      </c>
    </row>
    <row r="129" spans="4:9" ht="20.100000000000001" customHeight="1" x14ac:dyDescent="0.25">
      <c r="D129" s="102" t="str">
        <v>r</v>
      </c>
      <c r="E129" s="103" t="str">
        <v>rainfall region</v>
      </c>
      <c r="F129" s="105"/>
      <c r="G129" s="102" t="str">
        <v/>
      </c>
      <c r="H129" s="106" t="str">
        <v>Input</v>
      </c>
      <c r="I129" s="102" t="str">
        <f>X_Cell_Site_RainfallZone</f>
        <v>High rainfall</v>
      </c>
    </row>
    <row r="130" spans="4:9" ht="20.100000000000001" customHeight="1" x14ac:dyDescent="0.25"/>
    <row r="131" spans="4:9" ht="20.100000000000001" customHeight="1" x14ac:dyDescent="0.25">
      <c r="D131" s="109" t="s">
        <v>604</v>
      </c>
    </row>
    <row r="132" spans="4:9" ht="20.100000000000001" customHeight="1" x14ac:dyDescent="0.25">
      <c r="D132" s="110" t="s">
        <v>605</v>
      </c>
    </row>
    <row r="133" spans="4:9" ht="20.100000000000001" customHeight="1" x14ac:dyDescent="0.25">
      <c r="D133" s="112" t="s">
        <v>574</v>
      </c>
      <c r="E133" s="170" t="s">
        <v>603</v>
      </c>
      <c r="F133" s="170" t="s">
        <v>606</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4" t="s">
        <v>607</v>
      </c>
      <c r="E146" s="115">
        <f>SUM(F134:F144)</f>
        <v>1.38237E-2</v>
      </c>
      <c r="F146" s="116" t="str">
        <f>$E$122</f>
        <v>t N2O</v>
      </c>
    </row>
    <row r="147" spans="4:7" ht="20.100000000000001" customHeight="1" x14ac:dyDescent="0.25"/>
    <row r="148" spans="4:7" ht="20.100000000000001" customHeight="1" x14ac:dyDescent="0.25">
      <c r="D148" s="117" t="str" cm="1">
        <f t="array" ref="D148:E149">Common_Equations.Common_ConvertN2OToCO2e_Arguments()</f>
        <v>EN2O</v>
      </c>
      <c r="E148" s="118" t="str">
        <v>Nitrous oxide emissions (t N2O)</v>
      </c>
      <c r="F148" s="119"/>
      <c r="G148" s="25">
        <f>E146</f>
        <v>1.38237E-2</v>
      </c>
    </row>
    <row r="149" spans="4:7" ht="20.100000000000001" customHeight="1" x14ac:dyDescent="0.25">
      <c r="D149" s="117" t="str">
        <v>GWPN2O</v>
      </c>
      <c r="E149" s="118" t="str">
        <v>Global warming potential for nitrous oxide (t CO2-e / t N2O)</v>
      </c>
      <c r="F149" s="119"/>
      <c r="G149" s="25">
        <f>Common_InputFunctions.Utility_LookupValueInTableNumber("N2O",Table_GWPData[Gas],Table_GWPData[CO2-e factor])</f>
        <v>265</v>
      </c>
    </row>
    <row r="150" spans="4:7" ht="20.100000000000001" customHeight="1" x14ac:dyDescent="0.25"/>
    <row r="151" spans="4:7" ht="20.100000000000001" customHeight="1" x14ac:dyDescent="0.25">
      <c r="D151" s="113" t="s">
        <v>299</v>
      </c>
      <c r="E151" s="113" cm="1">
        <f t="array" ref="E151">Common_Equations.Common_ConvertN2OToCO2e(G148,G149)</f>
        <v>3.6632804999999999</v>
      </c>
      <c r="F151" s="120"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C6DA5-6B6F-4E8D-A7E4-B5DF8D4BDDE2}">
  <dimension ref="A1:T165"/>
  <sheetViews>
    <sheetView showGridLines="0" topLeftCell="A75"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608</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0" t="s">
        <v>259</v>
      </c>
      <c r="E7" s="10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261</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2" t="str" cm="1">
        <f t="array" ref="D13:E18">_xlfn.CHOOSECOLS(Fertiliser_Equations_LeachingAndRunoff.VEERG_5_5_1_1__2_MassOfNitrogenLeachedFromInorganicFertiliser_Arguments(), 1, 2)</f>
        <v>MN_jf</v>
      </c>
      <c r="E13" s="103" t="str">
        <v>mass of nitrogen in inorganic fertiliser</v>
      </c>
      <c r="F13" s="105"/>
      <c r="G13" s="102" t="str" cm="1">
        <f t="array" ref="G13:H18">_xlfn.CHOOSECOLS(Fertiliser_Equations_LeachingAndRunoff.VEERG_5_5_1_1__2_MassOfNitrogenLeachedFromInorganicFertiliser_Arguments(), 3,4)</f>
        <v>kg N</v>
      </c>
      <c r="H13" s="107" t="str">
        <v>Calculated from 5.1.1.1 (2)</v>
      </c>
      <c r="I13" s="108"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2" t="str">
        <v>FracWETj</v>
      </c>
      <c r="E14" s="103" t="str">
        <v>fraction of N available for leaching and runoff</v>
      </c>
      <c r="F14" s="105"/>
      <c r="G14" s="102" t="str">
        <v>fraction</v>
      </c>
      <c r="H14" s="107" t="str">
        <v>Constant</v>
      </c>
      <c r="I14" s="102">
        <f>Common_InputFunctions.CommonCropping_GetFracWET(I16,I18,#REF!,#REF!,Table_SourceData_FracWETIrrigation[Irrigation type i],Table_SourceData_FracWETIrrigation[FracWET])</f>
        <v>1</v>
      </c>
    </row>
    <row r="15" spans="1:20" ht="20.100000000000001" customHeight="1" x14ac:dyDescent="0.25">
      <c r="A15" s="5" t="str">
        <f>HYPERLINK("#'Input - Pasture'!A1", "Pasture")</f>
        <v>Pasture</v>
      </c>
      <c r="D15" s="102" t="str">
        <v>FracLEACH</v>
      </c>
      <c r="E15" s="103" t="str">
        <v>fraction of N that is lost through leaching and runoff</v>
      </c>
      <c r="F15" s="105"/>
      <c r="G15" s="102" t="str">
        <v>fraction</v>
      </c>
      <c r="H15" s="107" t="str">
        <v>Constant</v>
      </c>
      <c r="I15" s="102">
        <f>'Constants - Fertiliser'!$E$78</f>
        <v>0.24</v>
      </c>
    </row>
    <row r="16" spans="1:20"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row>
    <row r="17" spans="1:9" ht="20.100000000000001" customHeight="1" x14ac:dyDescent="0.25">
      <c r="A17" s="5" t="str">
        <f>HYPERLINK("#'Input - Fertiliser'!A1", "Fertiliser")</f>
        <v>Fertiliser</v>
      </c>
      <c r="D17" s="102" t="str">
        <v>j</v>
      </c>
      <c r="E17" s="103" t="str">
        <v>production system</v>
      </c>
      <c r="F17" s="105"/>
      <c r="G17" s="102" t="str">
        <v/>
      </c>
      <c r="H17" s="106" t="str">
        <v>Input</v>
      </c>
      <c r="I17" s="102" t="str">
        <f>X_Cell_Fertiliser_ProductionSystem</f>
        <v>Pasture</v>
      </c>
    </row>
    <row r="18" spans="1:9" ht="20.100000000000001" customHeight="1" x14ac:dyDescent="0.25">
      <c r="A18" s="5" t="str">
        <f>HYPERLINK("#'Input - Fuel'!A1", "Fuel")</f>
        <v>Fuel</v>
      </c>
      <c r="D18" s="102" t="str">
        <v>ir</v>
      </c>
      <c r="E18" s="103" t="str">
        <v>irrigation method</v>
      </c>
      <c r="F18" s="105"/>
      <c r="G18" s="102" t="str">
        <v/>
      </c>
      <c r="H18" s="106" t="str">
        <v>Input</v>
      </c>
      <c r="I18" s="102"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09" t="s">
        <v>609</v>
      </c>
    </row>
    <row r="21" spans="1:9" ht="20.100000000000001" customHeight="1" x14ac:dyDescent="0.25">
      <c r="A21" s="5" t="str">
        <f>HYPERLINK("#'Input - Freight'!A1", "Freight")</f>
        <v>Freight</v>
      </c>
      <c r="D21" s="110" t="s">
        <v>610</v>
      </c>
    </row>
    <row r="22" spans="1:9" ht="20.100000000000001" customHeight="1" x14ac:dyDescent="0.25">
      <c r="A22" s="5" t="str">
        <f>HYPERLINK("#'Input - Manure sent off-site'!A1", "Manure sent off-site")</f>
        <v>Manure sent off-site</v>
      </c>
      <c r="D22" s="111" t="s">
        <v>536</v>
      </c>
      <c r="E22" s="111" t="s">
        <v>593</v>
      </c>
      <c r="F22" s="111" t="s">
        <v>611</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HYPERLINK("#'3.2.1.1-2 Enteric Methane'!A1", "3.2.1.1-2 Enteric methane")</f>
        <v>3.2.1.1-2 Enteric methane</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HYPERLINK("#'4.2.1.1-2 Methane'!A1", "4.2.1.1-2 Manure methane")</f>
        <v>4.2.1.1-2 Manure methane</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HYPERLINK("#'4.2.1.3-4 Soil direct N20'!A1", "4.2.1.3-4 Soil direct N2O")</f>
        <v>4.2.1.3-4 Soil direct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HYPERLINK("#'4.2.1.5-6 Soil Atmos Dep'!A1", "4.2.1.5-6 Soil atm. deposition")</f>
        <v>4.2.1.5-6 Soil atm. deposition</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HYPERLINK("#'4.2.1.7-8 Soil leach runoff'!A1", "4.2.1.7-8 Soil leach &amp; runoff")</f>
        <v>4.2.1.7-8 Soil leach &amp; runoff</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HYPERLINK("#'5.1.1.1-2 Inorganic fert N2O'!A1", "5.1.1.1-2 Inorganic fert N2O")</f>
        <v>5.1.1.1-2 Inorganic fert N2O</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HYPERLINK("#'5.1.1.3-4 Inorganic fert CO2'!A1", "5.1.1.3-4 Inorganic fert CO2")</f>
        <v>5.1.1.3-4 Inorganic fert CO2</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HYPERLINK("#'5.2.1.1-2 Organic Fert N2O'!A1", "5.2.1.1-2 Organic fert N2O")</f>
        <v>5.2.1.1-2 Organic fert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HYPERLINK("#'5.3.1.1-2 Lime CO2'!A1", "5.3.1.1-2 Lime CO2")</f>
        <v>5.3.1.1-2 Lime CO2</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HYPERLINK("#'5.4.1.1-4 Atmos deposition'!A1", "5.4.1.1-4 Atmos. deposition")</f>
        <v>5.4.1.1-4 Atmos. deposition</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101" t="str">
        <f>HYPERLINK("#'5.5.1.1-2 Leaching and runoff'!A1", "5.5.1.1-2 Leaching &amp; runoff")</f>
        <v>5.5.1.1-2 Leaching &amp; runoff</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HYPERLINK("#'6.2.1.1-2 Pasture residue N2O'!A1", "6.2.1.1-2 Pasture residue N2O")</f>
        <v>6.2.1.1-2 Pasture residue N2O</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HYPERLINK("#'6.3.1.1-2 Leach runoff pasture'!A1", "6.3.1.1-2 Leach &amp; runoff (pasture)")</f>
        <v>6.3.1.1-2 Leach &amp; runoff (pasture)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HYPERLINK("#'8.1.1.1-2 Transport fuel'!A1", "8.1.1.1-2 Transport fuel")</f>
        <v>8.1.1.1-2 Transport fuel</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HYPERLINK("#'8.2.1.1-2 Stationary fuel'!A1", "8.2.1.1-2 Stationary fuel")</f>
        <v>8.2.1.1-2 Stationary fuel</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c r="D43" s="125" t="s">
        <v>612</v>
      </c>
      <c r="E43" s="113">
        <f>SUM(F23:F41)</f>
        <v>31223.279999999999</v>
      </c>
      <c r="F43" s="120" t="str">
        <f>$E$11</f>
        <v>kg N</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c r="C45" s="180"/>
      <c r="D45" s="180"/>
      <c r="E45" s="180"/>
      <c r="F45" s="180"/>
      <c r="G45" s="180"/>
      <c r="H45" s="180"/>
      <c r="I45" s="180"/>
      <c r="J45" s="180"/>
      <c r="K45" s="180"/>
    </row>
    <row r="46" spans="1:11" ht="20.100000000000001" customHeight="1" x14ac:dyDescent="0.25"/>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96" t="s">
        <v>1</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Pasture Beef'!A1", "Constants - Pasture Beef")</f>
        <v>Constants - Pasture Beef</v>
      </c>
      <c r="D49" s="100" t="s">
        <v>259</v>
      </c>
      <c r="E49" s="100"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Ag Residue'!A1", "Constants - Ag residue")</f>
        <v>Constants - Ag residue</v>
      </c>
    </row>
    <row r="51" spans="1:9" ht="20.100000000000001" customHeight="1" x14ac:dyDescent="0.25">
      <c r="A51" s="5" t="str">
        <f>HYPERLINK("#'Constants - Common Livestock'!A1", "Constants - Common Livestock")</f>
        <v>Constants - Common Livestock</v>
      </c>
    </row>
    <row r="52" spans="1:9" ht="20.100000000000001" customHeight="1" x14ac:dyDescent="0.25">
      <c r="A52" s="5" t="str">
        <f>HYPERLINK("#'Constants - Electricity'!A1", "Constants - Electricity")</f>
        <v>Constants - Electricity</v>
      </c>
      <c r="D52" s="88" t="s">
        <v>261</v>
      </c>
      <c r="E52" s="1" t="str" cm="1">
        <f t="array" ref="E52">Fertiliser_Equations_LeachingAndRunoff.VEERG_5_5_1_1__3_MassOfNitrogenLeachedFromOrganicFertiliser_Variable()</f>
        <v>M_leachorganicj</v>
      </c>
    </row>
    <row r="53" spans="1:9" ht="20.100000000000001" customHeight="1" x14ac:dyDescent="0.25">
      <c r="A53" s="5" t="str">
        <f>HYPERLINK("#'Constants - Fertiliser'!A1", "Constants - Fertiliser")</f>
        <v>Constants - Fertiliser</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2" t="str" cm="1">
        <f t="array" ref="D55:E60">_xlfn.CHOOSECOLS(Fertiliser_Equations_LeachingAndRunoff.VEERG_5_5_1_1__3_MassOfNitrogenLeachedFromOrganicFertiliser_Arguments(), 1, 2)</f>
        <v>MNSoil_jf</v>
      </c>
      <c r="E55" s="103" t="str">
        <v>mass of nitrogen in organic fertiliser</v>
      </c>
      <c r="F55" s="105"/>
      <c r="G55" s="102" t="str" cm="1">
        <f t="array" ref="G55:H60">_xlfn.CHOOSECOLS(Fertiliser_Equations_LeachingAndRunoff.VEERG_5_5_1_1__3_MassOfNitrogenLeachedFromOrganicFertiliser_Arguments(), 3,4)</f>
        <v>kg N</v>
      </c>
      <c r="H55" s="107" t="str">
        <v>Calculated from 5.2.1.1 (2)</v>
      </c>
      <c r="I55" s="108" t="str" cm="1">
        <f t="array" aca="1" ref="I55" ca="1">HYPERLINK(Common_InputFunctions.Utility_SourceHyperlink(D62), D62)</f>
        <v>Table_M_leach_organic_j</v>
      </c>
    </row>
    <row r="56" spans="1:9" ht="20.100000000000001" customHeight="1" x14ac:dyDescent="0.25">
      <c r="A56" s="5" t="str">
        <f>HYPERLINK("#'Constants - Common'!A1", "Constants - Common")</f>
        <v>Constants - Common</v>
      </c>
      <c r="D56" s="102" t="str">
        <v>FracWETj</v>
      </c>
      <c r="E56" s="103" t="str">
        <v>fraction of N available for leaching and runoff</v>
      </c>
      <c r="F56" s="105"/>
      <c r="G56" s="102" t="str">
        <v>fraction</v>
      </c>
      <c r="H56" s="107" t="str">
        <v>Constant</v>
      </c>
      <c r="I56" s="102">
        <f>Common_InputFunctions.CommonCropping_GetFracWET(I58,I60,#REF!,#REF!,Table_SourceData_FracWETIrrigation[Irrigation type i],Table_SourceData_FracWETIrrigation[FracWET])</f>
        <v>1</v>
      </c>
    </row>
    <row r="57" spans="1:9" ht="20.100000000000001" customHeight="1" x14ac:dyDescent="0.25">
      <c r="A57" s="5" t="str">
        <f>HYPERLINK("#'Acknowledgements'!A1", "Acknowledgements")</f>
        <v>Acknowledgements</v>
      </c>
      <c r="D57" s="102" t="str">
        <v>FracLEACH</v>
      </c>
      <c r="E57" s="103" t="str">
        <v>fraction of N that is lost through leaching and runoff</v>
      </c>
      <c r="F57" s="105"/>
      <c r="G57" s="102" t="str">
        <v>fraction</v>
      </c>
      <c r="H57" s="107" t="str">
        <v>Constant</v>
      </c>
      <c r="I57" s="102">
        <f>'Constants - Fertiliser'!$E$78</f>
        <v>0.24</v>
      </c>
    </row>
    <row r="58" spans="1:9" ht="20.100000000000001" customHeight="1" x14ac:dyDescent="0.25">
      <c r="A58" s="5" t="str">
        <f>HYPERLINK("#'Constants - Solid Waste'!A1", "Constants - Solid Waste")</f>
        <v>Constants - Solid Waste</v>
      </c>
      <c r="D58" s="102" t="str">
        <v>z</v>
      </c>
      <c r="E58" s="103" t="str">
        <v>location in leaching zone</v>
      </c>
      <c r="F58" s="105"/>
      <c r="G58" s="102" t="str">
        <v/>
      </c>
      <c r="H58" s="106" t="str">
        <v>Input</v>
      </c>
      <c r="I58" s="102" t="str">
        <f>X_Cell_Site_LeachingZone</f>
        <v>NO - Not in leaching zone</v>
      </c>
    </row>
    <row r="59" spans="1:9" ht="20.100000000000001" customHeight="1" x14ac:dyDescent="0.25">
      <c r="D59" s="102" t="str">
        <v>j</v>
      </c>
      <c r="E59" s="103" t="str">
        <v>production system</v>
      </c>
      <c r="F59" s="105"/>
      <c r="G59" s="102" t="str">
        <v/>
      </c>
      <c r="H59" s="106" t="str">
        <v>Input</v>
      </c>
      <c r="I59" s="102" t="str">
        <f>X_Cell_Fertiliser_ProductionSystem</f>
        <v>Pasture</v>
      </c>
    </row>
    <row r="60" spans="1:9" ht="20.100000000000001" customHeight="1" x14ac:dyDescent="0.25">
      <c r="D60" s="102" t="str">
        <v>ir</v>
      </c>
      <c r="E60" s="103" t="str">
        <v>irrigation method</v>
      </c>
      <c r="F60" s="105"/>
      <c r="G60" s="102" t="str">
        <v/>
      </c>
      <c r="H60" s="106" t="str">
        <v>Input</v>
      </c>
      <c r="I60" s="102" t="str">
        <f>X_Cell_Fertiliser_IrrigationMethod</f>
        <v>Surface irrigation</v>
      </c>
    </row>
    <row r="61" spans="1:9" ht="20.100000000000001" customHeight="1" x14ac:dyDescent="0.25"/>
    <row r="62" spans="1:9" ht="20.100000000000001" customHeight="1" x14ac:dyDescent="0.25">
      <c r="D62" s="109" t="s">
        <v>613</v>
      </c>
    </row>
    <row r="63" spans="1:9" ht="20.100000000000001" customHeight="1" x14ac:dyDescent="0.25">
      <c r="D63" s="110" t="s">
        <v>614</v>
      </c>
    </row>
    <row r="64" spans="1:9" ht="20.100000000000001" customHeight="1" x14ac:dyDescent="0.25">
      <c r="D64" s="112" t="s">
        <v>574</v>
      </c>
      <c r="E64" s="181" t="s">
        <v>578</v>
      </c>
      <c r="F64" s="111" t="s">
        <v>615</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5" t="s">
        <v>616</v>
      </c>
      <c r="E77" s="113">
        <f>SUM(F65:F75)</f>
        <v>1704</v>
      </c>
      <c r="F77" s="120" t="str">
        <f>$E$53</f>
        <v>kg N</v>
      </c>
    </row>
    <row r="78" spans="3:11" ht="20.100000000000001" customHeight="1" x14ac:dyDescent="0.25"/>
    <row r="79" spans="3:11" ht="20.100000000000001" customHeight="1" x14ac:dyDescent="0.25">
      <c r="C79" s="180"/>
      <c r="D79" s="180"/>
      <c r="E79" s="180"/>
      <c r="F79" s="180"/>
      <c r="G79" s="180"/>
      <c r="H79" s="180"/>
      <c r="I79" s="180"/>
      <c r="J79" s="180"/>
      <c r="K79" s="18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0" t="s">
        <v>259</v>
      </c>
      <c r="E83" s="10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261</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2" t="str" cm="1">
        <f t="array" ref="D89:E92">_xlfn.CHOOSECOLS(Fertiliser_Equations_LeachingAndRunoff.VEERG_5_5_1_1__1_FertiliserLeachingAndRunoffN2OEmissions_Arguments(), 1, 2)</f>
        <v>M_leachinorganicj</v>
      </c>
      <c r="E89" s="103" t="str">
        <v>mass of nitrogen lost through leaching and runoff from inorganic fertiliser application in production system j</v>
      </c>
      <c r="F89" s="104"/>
      <c r="G89" s="105"/>
      <c r="H89" s="102" t="str" cm="1">
        <f t="array" ref="H89:I92">_xlfn.CHOOSECOLS(Fertiliser_Equations_LeachingAndRunoff.VEERG_5_5_1_1__1_FertiliserLeachingAndRunoffN2OEmissions_Arguments(), 3,4)</f>
        <v>kg N</v>
      </c>
      <c r="I89" s="107" t="str">
        <v>Calculated from 5.5.1.1 (2)</v>
      </c>
      <c r="J89" s="102">
        <f>$E$43</f>
        <v>31223.279999999999</v>
      </c>
    </row>
    <row r="90" spans="4:10" ht="20.100000000000001" customHeight="1" x14ac:dyDescent="0.25">
      <c r="D90" s="102" t="str">
        <v>M_leachorganicj</v>
      </c>
      <c r="E90" s="103" t="str">
        <v>mass of nitrogen lost through leaching and runoff from organic fertiliser application</v>
      </c>
      <c r="F90" s="104"/>
      <c r="G90" s="105"/>
      <c r="H90" s="102" t="str">
        <v>kg N</v>
      </c>
      <c r="I90" s="107" t="str">
        <v>Calculated from 5.5.1.1 (3)</v>
      </c>
      <c r="J90" s="102">
        <f>$E$77</f>
        <v>1704</v>
      </c>
    </row>
    <row r="91" spans="4:10" ht="20.100000000000001" customHeight="1" x14ac:dyDescent="0.25">
      <c r="D91" s="102" t="str">
        <v>EF_leach</v>
      </c>
      <c r="E91" s="103" t="str">
        <v>emission factor for nitrogen leaching and runoff</v>
      </c>
      <c r="F91" s="104"/>
      <c r="G91" s="105"/>
      <c r="H91" s="102" t="str">
        <v>kg N2O-N/kg N</v>
      </c>
      <c r="I91" s="107" t="str">
        <v>Constant</v>
      </c>
      <c r="J91" s="102">
        <f>'Constants - Fertiliser'!$E$83</f>
        <v>1.0999999999999999E-2</v>
      </c>
    </row>
    <row r="92" spans="4:10" ht="20.100000000000001" customHeight="1" x14ac:dyDescent="0.25">
      <c r="D92" s="102" t="str">
        <v>C_N2O</v>
      </c>
      <c r="E92" s="103" t="str">
        <v>factor to convert elemental mass of nitrous oxide to molecular mass</v>
      </c>
      <c r="F92" s="104"/>
      <c r="G92" s="105"/>
      <c r="H92" s="102" t="str">
        <v/>
      </c>
      <c r="I92" s="107" t="str">
        <v>Constant</v>
      </c>
      <c r="J92" s="117">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4" t="s">
        <v>617</v>
      </c>
      <c r="E94" s="115" cm="1">
        <f t="array" ref="E94">Fertiliser_Equations_LeachingAndRunoff.VEERG_5_5_1_1__1_FertiliserLeachingAndRunoffN2OEmissions(J89,J90,J91,J92)</f>
        <v>0.56917155428571431</v>
      </c>
      <c r="F94" s="116" t="str">
        <f>$E$87</f>
        <v>t N2O</v>
      </c>
    </row>
    <row r="95" spans="4:10" ht="20.100000000000001" customHeight="1" x14ac:dyDescent="0.25"/>
    <row r="96" spans="4:10" ht="20.100000000000001" customHeight="1" x14ac:dyDescent="0.25">
      <c r="D96" s="117" t="str" cm="1">
        <f t="array" ref="D96:E97">Common_Equations.Common_ConvertN2OToCO2e_Arguments()</f>
        <v>EN2O</v>
      </c>
      <c r="E96" s="118" t="str">
        <v>Nitrous oxide emissions (t N2O)</v>
      </c>
      <c r="F96" s="119"/>
      <c r="G96" s="25">
        <f>E94</f>
        <v>0.56917155428571431</v>
      </c>
    </row>
    <row r="97" spans="4:7" ht="20.100000000000001" customHeight="1" x14ac:dyDescent="0.25">
      <c r="D97" s="117" t="str">
        <v>GWPN2O</v>
      </c>
      <c r="E97" s="118" t="str">
        <v>Global warming potential for nitrous oxide (t CO2-e / t N2O)</v>
      </c>
      <c r="F97" s="119"/>
      <c r="G97" s="25">
        <f>Common_InputFunctions.Utility_LookupValueInTableNumber("N2O",Table_GWPData[Gas],Table_GWPData[CO2-e factor])</f>
        <v>265</v>
      </c>
    </row>
    <row r="98" spans="4:7" ht="20.100000000000001" customHeight="1" x14ac:dyDescent="0.25"/>
    <row r="99" spans="4:7" ht="20.100000000000001" customHeight="1" x14ac:dyDescent="0.25">
      <c r="D99" s="113" t="s">
        <v>299</v>
      </c>
      <c r="E99" s="113" cm="1">
        <f t="array" ref="E99">Common_Equations.Common_ConvertN2OToCO2e(G96,G97)</f>
        <v>150.8304618857143</v>
      </c>
      <c r="F99" s="120"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5D37B-B0D4-4B80-83F0-DD51E9F6411F}">
  <dimension ref="A1:U165"/>
  <sheetViews>
    <sheetView showGridLines="0" topLeftCell="A5"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0" t="s">
        <v>259</v>
      </c>
      <c r="E7" s="100"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261</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9">_xlfn.CHOOSECOLS(AgResidue_Equations_PastureResidue.VEERG_6_2_1_1__2__MassOfNitrogenInPastureResidues_Arguments(), 1, 2)</f>
        <v>A_p</v>
      </c>
      <c r="E13" s="103" t="str">
        <v>area of pasture renewed or removed</v>
      </c>
      <c r="F13" s="104"/>
      <c r="G13" s="105"/>
      <c r="H13" s="102" t="str" cm="1">
        <f t="array" ref="H13:I19">_xlfn.CHOOSECOLS(AgResidue_Equations_PastureResidue.VEERG_6_2_1_1__2__MassOfNitrogenInPastureResidues_Arguments(), 3,4)</f>
        <v>ha</v>
      </c>
      <c r="I13" s="106" t="str">
        <v>Input</v>
      </c>
      <c r="J13" s="102">
        <f>X_Cell_Pasture_AreaRemovedOrRenewed</f>
        <v>500</v>
      </c>
      <c r="N13" s="102" t="str" cm="1">
        <f t="array" ref="N13:O19">_xlfn.CHOOSECOLS(AgResidue_Equations_PastureResidue.VEERG_6_2_1_1__2__MassOfNitrogenInPastureResidues_Arguments_Method2(), 1, 2)</f>
        <v>A_p</v>
      </c>
      <c r="O13" s="103" t="str">
        <v>area of pasture renewed or removed</v>
      </c>
      <c r="P13" s="104"/>
      <c r="Q13" s="105"/>
      <c r="R13" s="102" t="str" cm="1">
        <f t="array" ref="R13:S19">_xlfn.CHOOSECOLS(AgResidue_Equations_PastureResidue.VEERG_6_2_1_1__2__MassOfNitrogenInPastureResidues_Arguments_Method2(), 3,4)</f>
        <v>ha</v>
      </c>
      <c r="S13" s="106" t="str">
        <v>Input</v>
      </c>
      <c r="T13" s="102"/>
    </row>
    <row r="14" spans="1:21" ht="20.100000000000001" customHeight="1" x14ac:dyDescent="0.25">
      <c r="A14" s="5" t="str">
        <f>HYPERLINK("#'Input - Beef cattle purchases'!A1", "Beef cattle purchases")</f>
        <v>Beef cattle purchases</v>
      </c>
      <c r="D14" s="102" t="str">
        <v>Y_p</v>
      </c>
      <c r="E14" s="103" t="str">
        <v>average yield of pasture crop</v>
      </c>
      <c r="F14" s="104"/>
      <c r="G14" s="105"/>
      <c r="H14" s="102" t="str">
        <v>t DM/ha</v>
      </c>
      <c r="I14" s="107" t="str">
        <v>Constant</v>
      </c>
      <c r="J14" s="102" cm="1">
        <f t="array" ref="J14">Common_InputFunctions.Utility_LookupValueInTableNumber($J$19,Table_SourceData_PastureAttributes[Pasture type],Table_SourceData_PastureAttributes[Average Yield (t DM ha) Yp])</f>
        <v>8.34</v>
      </c>
      <c r="N14" s="102" t="str">
        <v>Y_p</v>
      </c>
      <c r="O14" s="103" t="str">
        <v>average yield of pasture crop</v>
      </c>
      <c r="P14" s="104"/>
      <c r="Q14" s="105"/>
      <c r="R14" s="102" t="str">
        <v>t DM/ha</v>
      </c>
      <c r="S14" s="106" t="str">
        <v>Input</v>
      </c>
      <c r="T14" s="102">
        <f>X_Cell_Pasture_YieldPerHectare</f>
        <v>8.34</v>
      </c>
    </row>
    <row r="15" spans="1:21" ht="20.100000000000001" customHeight="1" x14ac:dyDescent="0.25">
      <c r="A15" s="5" t="str">
        <f>HYPERLINK("#'Input - Pasture'!A1", "Pasture")</f>
        <v>Pasture</v>
      </c>
      <c r="D15" s="102" t="str">
        <v>NC_AGp</v>
      </c>
      <c r="E15" s="103" t="str">
        <v>N content of above-ground pasture residue</v>
      </c>
      <c r="F15" s="104"/>
      <c r="G15" s="105"/>
      <c r="H15" s="102" t="str">
        <v>kg N/kg DM</v>
      </c>
      <c r="I15" s="107" t="str">
        <v>Constant</v>
      </c>
      <c r="J15" s="102" cm="1">
        <f t="array" ref="J15">Common_InputFunctions.Utility_LookupValueInTableNumber($J$19,Table_SourceData_PastureAttributes[Pasture type],Table_SourceData_PastureAttributes[N content Above-ground NCAGp])</f>
        <v>2.5000000000000001E-2</v>
      </c>
      <c r="N15" s="102" t="str">
        <v>NC_AGp</v>
      </c>
      <c r="O15" s="103" t="str">
        <v>N content of above-ground pasture residue</v>
      </c>
      <c r="P15" s="104"/>
      <c r="Q15" s="105"/>
      <c r="R15" s="102" t="str">
        <v>kg N/kg DM</v>
      </c>
      <c r="S15" s="107" t="str">
        <v>Constant</v>
      </c>
      <c r="T15" s="102"/>
    </row>
    <row r="16" spans="1:21" ht="20.100000000000001" customHeight="1" x14ac:dyDescent="0.25">
      <c r="A16" s="5" t="str">
        <f>HYPERLINK("#'Input - Fert Prod System'!A1", "Fert Prod System")</f>
        <v>Fert Prod System</v>
      </c>
      <c r="D16" s="102" t="str">
        <v>R_BGp</v>
      </c>
      <c r="E16" s="103" t="str">
        <v>below-ground residue to above-ground residue ratio for pasture crop</v>
      </c>
      <c r="F16" s="104"/>
      <c r="G16" s="105"/>
      <c r="H16" s="102" t="str">
        <v/>
      </c>
      <c r="I16" s="107" t="str">
        <v>Constant</v>
      </c>
      <c r="J16" s="102" cm="1">
        <f t="array" ref="J16">Common_InputFunctions.Utility_LookupValueInTableNumber($J$19,Table_SourceData_PastureAttributes[Pasture type],Table_SourceData_PastureAttributes[Below-ground: above-ground residue ratio RBGp])</f>
        <v>0.8</v>
      </c>
      <c r="N16" s="102" t="str">
        <v>R_BGp</v>
      </c>
      <c r="O16" s="103" t="str">
        <v>below-ground residue to above-ground residue ratio for pasture crop</v>
      </c>
      <c r="P16" s="104"/>
      <c r="Q16" s="105"/>
      <c r="R16" s="102" t="str">
        <v/>
      </c>
      <c r="S16" s="107" t="str">
        <v>Constant</v>
      </c>
      <c r="T16" s="102"/>
    </row>
    <row r="17" spans="1:21" ht="20.100000000000001" customHeight="1" x14ac:dyDescent="0.25">
      <c r="A17" s="5" t="str">
        <f>HYPERLINK("#'Input - Fertiliser'!A1", "Fertiliser")</f>
        <v>Fertiliser</v>
      </c>
      <c r="D17" s="102" t="str">
        <v>NC_BGp</v>
      </c>
      <c r="E17" s="103" t="str">
        <v>N content of below-ground pasture crop residue</v>
      </c>
      <c r="F17" s="104"/>
      <c r="G17" s="105"/>
      <c r="H17" s="102" t="str">
        <v>kg N/kg DM</v>
      </c>
      <c r="I17" s="107" t="str">
        <v>Constant</v>
      </c>
      <c r="J17" s="102" cm="1">
        <f t="array" ref="J17">Common_InputFunctions.Utility_LookupValueInTableNumber($J$19,Table_SourceData_PastureAttributes[Pasture type],Table_SourceData_PastureAttributes[N content Below-ground NCBGp])</f>
        <v>1.6E-2</v>
      </c>
      <c r="N17" s="102" t="str">
        <v>NC_BGp</v>
      </c>
      <c r="O17" s="103" t="str">
        <v>N content of below-ground pasture crop residue</v>
      </c>
      <c r="P17" s="104"/>
      <c r="Q17" s="105"/>
      <c r="R17" s="102" t="str">
        <v>kg N/kg DM</v>
      </c>
      <c r="S17" s="107" t="str">
        <v>Constant</v>
      </c>
      <c r="T17" s="102"/>
    </row>
    <row r="18" spans="1:21" ht="20.100000000000001" customHeight="1" x14ac:dyDescent="0.25">
      <c r="A18" s="5" t="str">
        <f>HYPERLINK("#'Input - Fuel'!A1", "Fuel")</f>
        <v>Fuel</v>
      </c>
      <c r="D18" s="102" t="str">
        <v>FFOD_p</v>
      </c>
      <c r="E18" s="103" t="str">
        <v>fraction of pasture yield that is removed</v>
      </c>
      <c r="F18" s="104"/>
      <c r="G18" s="105"/>
      <c r="H18" s="102" t="str">
        <v>fraction</v>
      </c>
      <c r="I18" s="107" t="str">
        <v>Constant</v>
      </c>
      <c r="J18" s="102" cm="1">
        <f t="array" ref="J18">Common_InputFunctions.Utility_LookupValueInTableNumber($J$19,Table_SourceData_PastureAttributes[Pasture type],Table_SourceData_PastureAttributes[Fraction of pasture yield that is removed FFODp])</f>
        <v>0.8</v>
      </c>
      <c r="N18" s="102" t="str">
        <v>FFOD_p</v>
      </c>
      <c r="O18" s="103" t="str">
        <v>fraction of pasture yield that is removed</v>
      </c>
      <c r="P18" s="104"/>
      <c r="Q18" s="105"/>
      <c r="R18" s="102" t="str">
        <v>fraction</v>
      </c>
      <c r="S18" s="107" t="str">
        <v>Constant</v>
      </c>
      <c r="T18" s="102"/>
    </row>
    <row r="19" spans="1:21" ht="20.100000000000001" customHeight="1" x14ac:dyDescent="0.25">
      <c r="A19" s="5" t="str">
        <f>HYPERLINK("#'Input - Electricity'!A1", "Electricity")</f>
        <v>Electricity</v>
      </c>
      <c r="D19" s="102" t="str">
        <v>p</v>
      </c>
      <c r="E19" s="103" t="str">
        <v>Pasture type</v>
      </c>
      <c r="F19" s="104"/>
      <c r="G19" s="105"/>
      <c r="H19" s="102" t="str">
        <v/>
      </c>
      <c r="I19" s="106" t="str">
        <v>Input</v>
      </c>
      <c r="J19" s="102" t="str">
        <f>X_Cell_Pasture_PastureType</f>
        <v>Grass clover mixture</v>
      </c>
      <c r="N19" s="102" t="str">
        <v>p</v>
      </c>
      <c r="O19" s="103" t="str">
        <v>Pasture type</v>
      </c>
      <c r="P19" s="104"/>
      <c r="Q19" s="105"/>
      <c r="R19" s="102" t="str">
        <v/>
      </c>
      <c r="S19" s="106" t="str">
        <v>Input</v>
      </c>
      <c r="T19" s="102"/>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5" t="s">
        <v>882</v>
      </c>
      <c r="E21" s="113" cm="1">
        <f t="array" ref="E21">AgResidue_Equations_PastureResidue.VEERG_6_2_1_1__2__MassOfNitrogenInPastureResidues(J13,J14,J18,J15,J16,J17)</f>
        <v>7.4226E-2</v>
      </c>
      <c r="F21" s="120" t="str" cm="1">
        <f t="array" ref="F21">AgResidue_Equations_PastureResidue.VEERG_6_2_1_1__2__MassOfNitrogenInPastureResidues_Unit()</f>
        <v>kg N</v>
      </c>
      <c r="N21" s="125" t="s">
        <v>882</v>
      </c>
      <c r="O21" s="113" cm="1">
        <f t="array" ref="O21">AgResidue_Equations_PastureResidue.VEERG_6_2_1_1__2__MassOfNitrogenInPastureResidues(J13,T14,J18,J15,J16,J17)</f>
        <v>7.4226E-2</v>
      </c>
      <c r="P21" s="120"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13"/>
      <c r="D24" s="113"/>
      <c r="E24" s="113"/>
      <c r="F24" s="113"/>
      <c r="G24" s="113"/>
      <c r="H24" s="113"/>
      <c r="I24" s="113"/>
      <c r="J24" s="113"/>
      <c r="K24" s="113"/>
      <c r="M24" s="113"/>
      <c r="N24" s="113"/>
      <c r="O24" s="113"/>
      <c r="P24" s="113"/>
      <c r="Q24" s="113"/>
      <c r="R24" s="113"/>
      <c r="S24" s="113"/>
      <c r="T24" s="113"/>
      <c r="U24" s="113"/>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HYPERLINK("#'3.2.1.1-2 Enteric Methane'!A1", "3.2.1.1-2 Enteric methane")</f>
        <v>3.2.1.1-2 Enteric methane</v>
      </c>
      <c r="D27" s="100" t="s">
        <v>259</v>
      </c>
      <c r="E27" s="100" t="str" cm="1">
        <f t="array" aca="1" ref="E27" ca="1">Common_InputFunctions.Utility_DisplayFunctionName(E40)</f>
        <v>=AgResidue_Equations_PastureResidue.VEERG_6_2_1_1__1__NitrousOxideEmissionsFromPastureResidues</v>
      </c>
      <c r="N27" s="100" t="s">
        <v>259</v>
      </c>
      <c r="O27" s="100"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HYPERLINK("#'4.2.1.1-2 Methane'!A1", "4.2.1.1-2 Manure methane")</f>
        <v>4.2.1.1-2 Manure methane</v>
      </c>
    </row>
    <row r="29" spans="1:21" ht="20.100000000000001" customHeight="1" x14ac:dyDescent="0.25">
      <c r="A29" s="5" t="str">
        <f>HYPERLINK("#'4.2.1.3-4 Soil direct N20'!A1", "4.2.1.3-4 Soil direct N2O")</f>
        <v>4.2.1.3-4 Soil direct N2O</v>
      </c>
    </row>
    <row r="30" spans="1:21" ht="20.100000000000001" customHeight="1" x14ac:dyDescent="0.25">
      <c r="A30" s="5" t="str">
        <f>HYPERLINK("#'4.2.1.5-6 Soil Atmos Dep'!A1", "4.2.1.5-6 Soil atm. deposition")</f>
        <v>4.2.1.5-6 Soil atm. deposition</v>
      </c>
      <c r="D30" s="35" t="s">
        <v>261</v>
      </c>
      <c r="E30" s="1" t="str" cm="1">
        <f t="array" ref="E30">AgResidue_Equations_PastureResidue.VEERG_6_2_1_1__1__NitrousOxideEmissionsFromPastureResidues_Variable()</f>
        <v>EN2O</v>
      </c>
      <c r="N30" s="35" t="s">
        <v>261</v>
      </c>
      <c r="O30" s="1" t="str" cm="1">
        <f t="array" ref="O30">AgResidue_Equations_PastureResidue.VEERG_6_2_1_1__1__NitrousOxideEmissionsFromPastureResidues_Variable()</f>
        <v>EN2O</v>
      </c>
    </row>
    <row r="31" spans="1:21" ht="20.100000000000001" customHeight="1" x14ac:dyDescent="0.25">
      <c r="A31" s="5" t="str">
        <f>HYPERLINK("#'4.2.1.7-8 Soil leach runoff'!A1", "4.2.1.7-8 Soil leach &amp; runoff")</f>
        <v>4.2.1.7-8 Soil leach &amp; runoff</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HYPERLINK("#'5.1.1.1-2 Inorganic fert N2O'!A1", "5.1.1.1-2 Inorganic fert N2O")</f>
        <v>5.1.1.1-2 Inorganic fert N2O</v>
      </c>
    </row>
    <row r="33" spans="1:20" ht="20.100000000000001" customHeight="1" x14ac:dyDescent="0.25">
      <c r="A33" s="5" t="str">
        <f>HYPERLINK("#'5.1.1.3-4 Inorganic fert CO2'!A1", "5.1.1.3-4 Inorganic fert CO2")</f>
        <v>5.1.1.3-4 Inorganic fert CO2</v>
      </c>
      <c r="D33" s="102" t="str" cm="1">
        <f t="array" ref="D33:E37">_xlfn.CHOOSECOLS(AgResidue_Equations_PastureResidue.VEERG_6_2_1_1__1__NitrousOxideEmissionsFromPastureResidues_Arguments(), 1, 2)</f>
        <v>M_p</v>
      </c>
      <c r="E33" s="103" t="str">
        <v>mass of nitrogen in pasture p residues returned to the soil</v>
      </c>
      <c r="F33" s="104"/>
      <c r="G33" s="105"/>
      <c r="H33" s="102" t="str" cm="1">
        <f t="array" ref="H33:I37">_xlfn.CHOOSECOLS(AgResidue_Equations_PastureResidue.VEERG_6_2_1_1__1__NitrousOxideEmissionsFromPastureResidues_Arguments(), 3,4)</f>
        <v>kg N</v>
      </c>
      <c r="I33" s="107" t="str">
        <v>Calculated from 6.2.1.1 (2)</v>
      </c>
      <c r="J33" s="102">
        <f>$E$21</f>
        <v>7.4226E-2</v>
      </c>
      <c r="N33" s="102" t="str" cm="1">
        <f t="array" ref="N33:O37">_xlfn.CHOOSECOLS(AgResidue_Equations_PastureResidue.VEERG_6_2_1_1__1__NitrousOxideEmissionsFromPastureResidues_Arguments(), 1, 2)</f>
        <v>M_p</v>
      </c>
      <c r="O33" s="103" t="str">
        <v>mass of nitrogen in pasture p residues returned to the soil</v>
      </c>
      <c r="P33" s="104"/>
      <c r="Q33" s="105"/>
      <c r="R33" s="102" t="str" cm="1">
        <f t="array" ref="R33:S37">_xlfn.CHOOSECOLS(AgResidue_Equations_PastureResidue.VEERG_6_2_1_1__1__NitrousOxideEmissionsFromPastureResidues_Arguments(), 3,4)</f>
        <v>kg N</v>
      </c>
      <c r="S33" s="107" t="str">
        <v>Calculated from 6.2.1.1 (2)</v>
      </c>
      <c r="T33" s="102">
        <f>$O$21</f>
        <v>7.4226E-2</v>
      </c>
    </row>
    <row r="34" spans="1:20" ht="20.100000000000001" customHeight="1" x14ac:dyDescent="0.25">
      <c r="A34" s="5" t="str">
        <f>HYPERLINK("#'5.2.1.1-2 Organic Fert N2O'!A1", "5.2.1.1-2 Organic fert N2O")</f>
        <v>5.2.1.1-2 Organic fert N2O</v>
      </c>
      <c r="D34" s="102" t="str">
        <v>EF_Ni</v>
      </c>
      <c r="E34" s="103" t="str">
        <v>emission factor for crop residues returned to the soil in climate zone i</v>
      </c>
      <c r="F34" s="104"/>
      <c r="G34" s="105"/>
      <c r="H34" s="102" t="str">
        <v>kg N2O-N/kg N</v>
      </c>
      <c r="I34" s="107" t="str">
        <v>Constant</v>
      </c>
      <c r="J34" s="102" cm="1">
        <f t="array" ref="J34">Common_InputFunctions.Utility_LookupValueInTableNumber(J37,Table_SourceData_N2OEFOrganicFert[Climate zone type i],Table_SourceData_N2OEFOrganicFert[EF i N2O])</f>
        <v>5.0000000000000001E-3</v>
      </c>
      <c r="N34" s="102" t="str">
        <v>EF_Ni</v>
      </c>
      <c r="O34" s="103" t="str">
        <v>emission factor for crop residues returned to the soil in climate zone i</v>
      </c>
      <c r="P34" s="104"/>
      <c r="Q34" s="105"/>
      <c r="R34" s="102" t="str">
        <v>kg N2O-N/kg N</v>
      </c>
      <c r="S34" s="107" t="str">
        <v>Constant</v>
      </c>
      <c r="T34" s="102"/>
    </row>
    <row r="35" spans="1:20" ht="20.100000000000001" customHeight="1" x14ac:dyDescent="0.25">
      <c r="A35" s="5" t="str">
        <f>HYPERLINK("#'5.3.1.1-2 Lime CO2'!A1", "5.3.1.1-2 Lime CO2")</f>
        <v>5.3.1.1-2 Lime CO2</v>
      </c>
      <c r="D35" s="102" t="str">
        <v>C_N2O</v>
      </c>
      <c r="E35" s="103" t="str">
        <v>factor to convert elemental mass of nitrous oxide to molecular mass</v>
      </c>
      <c r="F35" s="104"/>
      <c r="G35" s="105"/>
      <c r="H35" s="102" t="str">
        <v>dimensionless</v>
      </c>
      <c r="I35" s="107" t="str">
        <v>Constant</v>
      </c>
      <c r="J35" s="102">
        <f>Common_InputFunctions.Utility_LookupValueInTableNumber("N2O",Table_GasToMolecularConversionFactor[Gas],Table_GasToMolecularConversionFactor[Conversion factor combined])</f>
        <v>1.5714285714285714</v>
      </c>
      <c r="N35" s="102" t="str">
        <v>C_N2O</v>
      </c>
      <c r="O35" s="103" t="str">
        <v>factor to convert elemental mass of nitrous oxide to molecular mass</v>
      </c>
      <c r="P35" s="104"/>
      <c r="Q35" s="105"/>
      <c r="R35" s="102" t="str">
        <v>dimensionless</v>
      </c>
      <c r="S35" s="107" t="str">
        <v>Constant</v>
      </c>
      <c r="T35" s="102"/>
    </row>
    <row r="36" spans="1:20" ht="20.100000000000001" customHeight="1" x14ac:dyDescent="0.25">
      <c r="A36" s="5" t="str">
        <f>HYPERLINK("#'5.4.1.1-4 Atmos deposition'!A1", "5.4.1.1-4 Atmos. deposition")</f>
        <v>5.4.1.1-4 Atmos. deposition</v>
      </c>
      <c r="D36" s="102" t="str">
        <v>p</v>
      </c>
      <c r="E36" s="103" t="str">
        <v>Pasture type</v>
      </c>
      <c r="F36" s="104"/>
      <c r="G36" s="105"/>
      <c r="H36" s="102" t="str">
        <v/>
      </c>
      <c r="I36" s="106" t="str">
        <v>Input</v>
      </c>
      <c r="J36" s="102" t="str">
        <f>X_Cell_Pasture_PastureType</f>
        <v>Grass clover mixture</v>
      </c>
      <c r="N36" s="102" t="str">
        <v>p</v>
      </c>
      <c r="O36" s="103" t="str">
        <v>Pasture type</v>
      </c>
      <c r="P36" s="104"/>
      <c r="Q36" s="105"/>
      <c r="R36" s="102" t="str">
        <v/>
      </c>
      <c r="S36" s="106" t="str">
        <v>Input</v>
      </c>
      <c r="T36" s="102"/>
    </row>
    <row r="37" spans="1:20" ht="20.100000000000001" customHeight="1" x14ac:dyDescent="0.25">
      <c r="A37" s="5" t="str">
        <f>HYPERLINK("#'5.5.1.1-2 Leaching and runoff'!A1", "5.5.1.1-2 Leaching &amp; runoff")</f>
        <v>5.5.1.1-2 Leaching &amp; runoff</v>
      </c>
      <c r="D37" s="102" t="str">
        <v>i</v>
      </c>
      <c r="E37" s="103" t="str">
        <v>Wet or dry climate zone</v>
      </c>
      <c r="F37" s="104"/>
      <c r="G37" s="105"/>
      <c r="H37" s="102" t="str">
        <v/>
      </c>
      <c r="I37" s="106" t="str">
        <v>Input</v>
      </c>
      <c r="J37" s="102" t="str">
        <f>X_Cell_Site_WetOrDryClimateZone</f>
        <v>Dry climate zone</v>
      </c>
      <c r="N37" s="102" t="str">
        <v>i</v>
      </c>
      <c r="O37" s="103" t="str">
        <v>Wet or dry climate zone</v>
      </c>
      <c r="P37" s="104"/>
      <c r="Q37" s="105"/>
      <c r="R37" s="102" t="str">
        <v/>
      </c>
      <c r="S37" s="106" t="str">
        <v>Input</v>
      </c>
      <c r="T37" s="102"/>
    </row>
    <row r="38" spans="1:20" ht="20.100000000000001" customHeight="1" x14ac:dyDescent="0.25">
      <c r="A38" s="101" t="str">
        <f>HYPERLINK("#'6.2.1.1-2 Pasture residue N2O'!A1", "6.2.1.1-2 Pasture residue N2O")</f>
        <v>6.2.1.1-2 Pasture residue N2O</v>
      </c>
    </row>
    <row r="39" spans="1:20" ht="20.100000000000001" customHeight="1" x14ac:dyDescent="0.25">
      <c r="A39" s="5" t="str">
        <f>HYPERLINK("#'6.3.1.1-2 Leach runoff pasture'!A1", "6.3.1.1-2 Leach &amp; runoff (pasture)")</f>
        <v>6.3.1.1-2 Leach &amp; runoff (pasture)</v>
      </c>
    </row>
    <row r="40" spans="1:20" ht="20.100000000000001" customHeight="1" x14ac:dyDescent="0.25">
      <c r="A40" s="5" t="str">
        <f>HYPERLINK("#'8.1.1.1-2 Transport fuel'!A1", "8.1.1.1-2 Transport fuel")</f>
        <v>8.1.1.1-2 Transport fuel</v>
      </c>
      <c r="D40" s="114" t="s">
        <v>562</v>
      </c>
      <c r="E40" s="115" cm="1">
        <f t="array" ref="E40">AgResidue_Equations_PastureResidue.VEERG_6_2_1_1__1__NitrousOxideEmissionsFromPastureResidues(J33,J34,J35)</f>
        <v>5.8320428571428569E-7</v>
      </c>
      <c r="F40" s="116" t="str" cm="1">
        <f t="array" ref="F40">AgResidue_Equations_PastureResidue.VEERG_6_2_1_1__1__NitrousOxideEmissionsFromPastureResidues_Unit()</f>
        <v>t N2O</v>
      </c>
      <c r="N40" s="114" t="s">
        <v>562</v>
      </c>
      <c r="O40" s="115" cm="1">
        <f t="array" ref="O40">AgResidue_Equations_PastureResidue.VEERG_6_2_1_1__1__NitrousOxideEmissionsFromPastureResidues(T33,J34,J35)</f>
        <v>5.8320428571428569E-7</v>
      </c>
      <c r="P40" s="116" t="str" cm="1">
        <f t="array" ref="P40">AgResidue_Equations_PastureResidue.VEERG_6_2_1_1__1__NitrousOxideEmissionsFromPastureResidues_Unit()</f>
        <v>t N2O</v>
      </c>
    </row>
    <row r="41" spans="1:20" ht="20.100000000000001" customHeight="1" x14ac:dyDescent="0.25">
      <c r="A41" s="5" t="str">
        <f>HYPERLINK("#'8.2.1.1-2 Stationary fuel'!A1", "8.2.1.1-2 Stationary fuel")</f>
        <v>8.2.1.1-2 Stationary fuel</v>
      </c>
    </row>
    <row r="42" spans="1:20" ht="20.100000000000001" customHeight="1" x14ac:dyDescent="0.25">
      <c r="A42" s="5" t="str">
        <f>HYPERLINK("#'14.1.1-2 Purchased electricity'!A1", "14.1.1-2 Purchased electricity")</f>
        <v>14.1.1-2 Purchased electricity</v>
      </c>
      <c r="D42" s="117" t="str" cm="1">
        <f t="array" ref="D42:E43">Common_Equations.Common_ConvertN2OToCO2e_Arguments()</f>
        <v>EN2O</v>
      </c>
      <c r="E42" s="118" t="str">
        <v>Nitrous oxide emissions (t N2O)</v>
      </c>
      <c r="F42" s="168"/>
      <c r="G42" s="117">
        <f>E40</f>
        <v>5.8320428571428569E-7</v>
      </c>
      <c r="N42" s="117" t="str" cm="1">
        <f t="array" ref="N42:O43">Common_Equations.Common_ConvertN2OToCO2e_Arguments()</f>
        <v>EN2O</v>
      </c>
      <c r="O42" s="118" t="str">
        <v>Nitrous oxide emissions (t N2O)</v>
      </c>
      <c r="P42" s="168"/>
      <c r="Q42" s="117">
        <f>O40</f>
        <v>5.8320428571428569E-7</v>
      </c>
    </row>
    <row r="43" spans="1:20" ht="20.100000000000001" customHeight="1" x14ac:dyDescent="0.25">
      <c r="A43" s="5" t="str">
        <f>HYPERLINK("#'15 Scope 3'!A1", "15 Scope 3")</f>
        <v>15 Scope 3</v>
      </c>
      <c r="D43" s="117" t="str">
        <v>GWPN2O</v>
      </c>
      <c r="E43" s="118" t="str">
        <v>Global warming potential for nitrous oxide (t CO2-e / t N2O)</v>
      </c>
      <c r="F43" s="168"/>
      <c r="G43" s="25">
        <f>Common_InputFunctions.Utility_LookupValueInTableNumber("N2O",Table_GWPData[Gas],Table_GWPData[CO2-e factor])</f>
        <v>265</v>
      </c>
      <c r="N43" s="117" t="str">
        <v>GWPN2O</v>
      </c>
      <c r="O43" s="118" t="str">
        <v>Global warming potential for nitrous oxide (t CO2-e / t N2O)</v>
      </c>
      <c r="P43" s="168"/>
      <c r="Q43" s="25">
        <f>Common_InputFunctions.Utility_LookupValueInTableNumber("N2O",Table_GWPData[Gas],Table_GWPData[CO2-e factor])</f>
        <v>265</v>
      </c>
    </row>
    <row r="44" spans="1:20" ht="20.100000000000001" customHeight="1" x14ac:dyDescent="0.25">
      <c r="A44" s="5" t="str">
        <f>HYPERLINK("#'Calcs - Manure sent off-site'!A1", "Calcs - Manure sent off-site")</f>
        <v>Calcs - Manure sent off-site</v>
      </c>
    </row>
    <row r="45" spans="1:20" ht="20.100000000000001" customHeight="1" x14ac:dyDescent="0.25">
      <c r="A45" s="5" t="str">
        <f>HYPERLINK("#'10.1.1-2 Solid waste treatment'!A1", "10.1.1-2 Solid waste treatment")</f>
        <v>10.1.1-2 Solid waste treatment</v>
      </c>
      <c r="D45" s="1" t="s">
        <v>883</v>
      </c>
      <c r="E45" s="1" cm="1">
        <f t="array" ref="E45">Common_Equations.Common_ConvertN2OToCO2e(G42,G43)</f>
        <v>1.545491357142857E-4</v>
      </c>
      <c r="F45" s="15" t="str" cm="1">
        <f t="array" ref="F45">Common_Equations.Common_ConvertN2OToCO2e_Unit()</f>
        <v>t CO2e</v>
      </c>
      <c r="N45" s="1" t="s">
        <v>883</v>
      </c>
      <c r="O45" s="1" cm="1">
        <f t="array" ref="O45">Common_Equations.Common_ConvertN2OToCO2e(Q42,Q43)</f>
        <v>1.545491357142857E-4</v>
      </c>
      <c r="P45" s="15"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E2D75-1F76-4FB3-8569-1E9EA0EDDD9E}">
  <dimension ref="A1:T165"/>
  <sheetViews>
    <sheetView showGridLines="0" topLeftCell="A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884</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0" t="s">
        <v>259</v>
      </c>
      <c r="E7" s="100" t="str" cm="1">
        <f t="array" aca="1" ref="E7" ca="1">Common_InputFunctions.Utility_DisplayFunctionName(I25)</f>
        <v>=AgResidue_Equations_Leaching.VEERG_6_3_1_1__2__MassOfNitrogenLostThroughLeachingAndRunoff</v>
      </c>
      <c r="F7" s="10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261</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2" t="str" cm="1">
        <f t="array" ref="D13:E19">_xlfn.CHOOSECOLS(AgResidue_Equations_Leaching.VEERG_6_3_1_1__2__MassOfNitrogenLostThroughLeachingAndRunoff_Arguments(), 1,2)</f>
        <v>M_cp</v>
      </c>
      <c r="E13" s="103" t="str">
        <v>mass of nitrogen in crop residues c or pasture residues p applied to soils</v>
      </c>
      <c r="F13" s="104"/>
      <c r="G13" s="105"/>
      <c r="H13" s="102" t="str" cm="1">
        <f t="array" ref="H13:I19">_xlfn.CHOOSECOLS(AgResidue_Equations_Leaching.VEERG_6_3_1_1__2__MassOfNitrogenLostThroughLeachingAndRunoff_Arguments(), 3,4)</f>
        <v>kg N</v>
      </c>
      <c r="I13" s="107" t="str">
        <v>Calc from 6.1.1.1 (2) and 6.2.1.1 (2)</v>
      </c>
      <c r="J13" s="108"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2" t="str">
        <v>FracWET_j</v>
      </c>
      <c r="E14" s="103" t="str">
        <v>fraction of N that is available for leaching and runoff from the leaching zone z and irrigation type ir</v>
      </c>
      <c r="F14" s="104"/>
      <c r="G14" s="105"/>
      <c r="H14" s="102" t="str">
        <v>fraction</v>
      </c>
      <c r="I14" s="107" t="str">
        <v>Constant</v>
      </c>
      <c r="J14" s="108"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2" t="str">
        <v>FracLEACH</v>
      </c>
      <c r="E15" s="103" t="str">
        <v>fraction of N that is lost through leaching and runoff</v>
      </c>
      <c r="F15" s="104"/>
      <c r="G15" s="105"/>
      <c r="H15" s="102" t="str">
        <v>fraction</v>
      </c>
      <c r="I15" s="107" t="str">
        <v>Constant</v>
      </c>
      <c r="J15" s="102">
        <f>'Constants - Common'!$E$164</f>
        <v>0.24</v>
      </c>
      <c r="K15" s="8"/>
    </row>
    <row r="16" spans="1:20" ht="20.100000000000001" customHeight="1" x14ac:dyDescent="0.25">
      <c r="A16" s="5" t="str">
        <f>HYPERLINK("#'Input - Fert Prod System'!A1", "Fert Prod System")</f>
        <v>Fert Prod System</v>
      </c>
      <c r="C16" s="8"/>
      <c r="D16" s="102" t="str">
        <v>z</v>
      </c>
      <c r="E16" s="103" t="str">
        <v>Location in leaching zone</v>
      </c>
      <c r="F16" s="104"/>
      <c r="G16" s="105"/>
      <c r="H16" s="102" t="str">
        <v/>
      </c>
      <c r="I16" s="106" t="str">
        <v>Input</v>
      </c>
      <c r="J16" s="108"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2" t="str">
        <v>c</v>
      </c>
      <c r="E17" s="103" t="str">
        <v>Crop residue type</v>
      </c>
      <c r="F17" s="104"/>
      <c r="G17" s="105"/>
      <c r="H17" s="102" t="str">
        <v/>
      </c>
      <c r="I17" s="106" t="str">
        <v>Input</v>
      </c>
      <c r="J17" s="102" t="s">
        <v>140</v>
      </c>
      <c r="K17" s="8"/>
    </row>
    <row r="18" spans="1:20" ht="20.100000000000001" customHeight="1" x14ac:dyDescent="0.25">
      <c r="A18" s="5" t="str">
        <f>HYPERLINK("#'Input - Fuel'!A1", "Fuel")</f>
        <v>Fuel</v>
      </c>
      <c r="C18" s="8"/>
      <c r="D18" s="102" t="str">
        <v>p</v>
      </c>
      <c r="E18" s="103" t="str">
        <v>Pasture residue type</v>
      </c>
      <c r="F18" s="104"/>
      <c r="G18" s="105"/>
      <c r="H18" s="102" t="str">
        <v/>
      </c>
      <c r="I18" s="106" t="str">
        <v>Input</v>
      </c>
      <c r="J18" s="102" t="str">
        <f>X_Cell_Pasture_PastureType</f>
        <v>Grass clover mixture</v>
      </c>
      <c r="K18" s="8"/>
    </row>
    <row r="19" spans="1:20" ht="20.100000000000001" customHeight="1" x14ac:dyDescent="0.25">
      <c r="A19" s="5" t="str">
        <f>HYPERLINK("#'Input - Electricity'!A1", "Electricity")</f>
        <v>Electricity</v>
      </c>
      <c r="C19" s="8"/>
      <c r="D19" s="102" t="str">
        <v>ir</v>
      </c>
      <c r="E19" s="103" t="str">
        <v>Irrigation type</v>
      </c>
      <c r="F19" s="104"/>
      <c r="G19" s="105"/>
      <c r="H19" s="102" t="str">
        <v/>
      </c>
      <c r="I19" s="106" t="str">
        <v>Input</v>
      </c>
      <c r="J19" s="108"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09" t="s">
        <v>885</v>
      </c>
      <c r="E21" s="8"/>
      <c r="F21" s="8"/>
      <c r="G21" s="8"/>
      <c r="H21" s="8"/>
      <c r="I21" s="8"/>
      <c r="J21" s="8"/>
      <c r="K21" s="8"/>
      <c r="N21" s="109" t="s">
        <v>886</v>
      </c>
      <c r="O21" s="8"/>
      <c r="P21" s="8"/>
      <c r="Q21" s="8"/>
      <c r="R21" s="8"/>
      <c r="S21" s="8"/>
    </row>
    <row r="22" spans="1:20" ht="20.100000000000001" customHeight="1" x14ac:dyDescent="0.25">
      <c r="A22" s="5" t="str">
        <f>HYPERLINK("#'Input - Manure sent off-site'!A1", "Manure sent off-site")</f>
        <v>Manure sent off-site</v>
      </c>
      <c r="C22" s="8"/>
      <c r="D22" s="110" t="s">
        <v>887</v>
      </c>
      <c r="E22" s="8"/>
      <c r="F22" s="8"/>
      <c r="G22" s="8"/>
      <c r="H22" s="8"/>
      <c r="I22" s="8"/>
      <c r="J22" s="8"/>
      <c r="K22" s="8"/>
      <c r="N22" s="110" t="s">
        <v>888</v>
      </c>
      <c r="O22" s="8"/>
      <c r="P22" s="8"/>
      <c r="Q22" s="8"/>
      <c r="R22" s="8"/>
      <c r="S22" s="8"/>
    </row>
    <row r="23" spans="1:20" ht="20.100000000000001" customHeight="1" x14ac:dyDescent="0.25">
      <c r="A23" s="5" t="str">
        <f>HYPERLINK("#'Input - Solid waste'!A1", "Solid waste")</f>
        <v>Solid waste</v>
      </c>
      <c r="C23" s="8"/>
      <c r="D23" s="112" t="s">
        <v>889</v>
      </c>
      <c r="E23" s="111" t="s">
        <v>890</v>
      </c>
      <c r="F23" s="112" t="s">
        <v>891</v>
      </c>
      <c r="G23" s="112" t="s">
        <v>113</v>
      </c>
      <c r="H23" s="111" t="s">
        <v>892</v>
      </c>
      <c r="I23" s="111" t="s">
        <v>893</v>
      </c>
      <c r="J23" s="8"/>
      <c r="K23" s="8"/>
      <c r="N23" s="112" t="s">
        <v>889</v>
      </c>
      <c r="O23" s="111" t="s">
        <v>890</v>
      </c>
      <c r="P23" s="112" t="s">
        <v>891</v>
      </c>
      <c r="Q23" s="112" t="s">
        <v>113</v>
      </c>
      <c r="R23" s="111" t="s">
        <v>892</v>
      </c>
      <c r="S23" s="111" t="s">
        <v>893</v>
      </c>
    </row>
    <row r="24" spans="1:20" ht="20.100000000000001" customHeight="1" x14ac:dyDescent="0.25">
      <c r="D24" s="25" t="s">
        <v>628</v>
      </c>
      <c r="E24" s="25" t="s">
        <v>140</v>
      </c>
      <c r="F24" s="25" t="s">
        <v>140</v>
      </c>
      <c r="G24" s="25" t="s">
        <v>140</v>
      </c>
      <c r="H24" s="25" t="s">
        <v>140</v>
      </c>
      <c r="I24" s="25" t="s">
        <v>140</v>
      </c>
      <c r="N24" s="25"/>
      <c r="O24" s="25" t="s">
        <v>140</v>
      </c>
      <c r="P24" s="25"/>
      <c r="Q24" s="25"/>
      <c r="R24" s="25"/>
      <c r="S24" s="25" t="s">
        <v>140</v>
      </c>
    </row>
    <row r="25" spans="1:20" ht="20.100000000000001" customHeight="1" x14ac:dyDescent="0.25">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HYPERLINK("#'3.2.1.1-2 Enteric Methane'!A1", "3.2.1.1-2 Enteric methane")</f>
        <v>3.2.1.1-2 Enteric methane</v>
      </c>
      <c r="C27" s="239"/>
      <c r="D27" s="239"/>
      <c r="E27" s="239"/>
      <c r="F27" s="239"/>
      <c r="G27" s="239"/>
      <c r="H27" s="239"/>
      <c r="I27" s="239"/>
      <c r="J27" s="239"/>
      <c r="K27" s="239"/>
      <c r="M27" s="239"/>
      <c r="N27" s="239"/>
      <c r="O27" s="239"/>
      <c r="P27" s="239"/>
      <c r="Q27" s="239"/>
      <c r="R27" s="239"/>
      <c r="S27" s="239"/>
      <c r="T27" s="239"/>
    </row>
    <row r="28" spans="1:20" ht="20.100000000000001" customHeight="1" x14ac:dyDescent="0.25">
      <c r="A28" s="5" t="str">
        <f>HYPERLINK("#'4.2.1.1-2 Methane'!A1", "4.2.1.1-2 Manure methane")</f>
        <v>4.2.1.1-2 Manure methane</v>
      </c>
      <c r="C28" s="8"/>
      <c r="D28" s="2" t="str" cm="1">
        <f t="array" ref="D28">AgResidue_Equations_Leaching.VEERG_6_3_1_1__1__LeachingAndRunoffEmissionsCropAndPastureResidue_Title()</f>
        <v>Nitrous oxide leaching and runoff emissions from crop and pasture residues returned to the soil</v>
      </c>
      <c r="E28" s="8"/>
      <c r="F28" s="240"/>
      <c r="G28" s="8"/>
      <c r="H28" s="8"/>
      <c r="I28" s="8"/>
      <c r="J28" s="8"/>
      <c r="K28" s="8"/>
    </row>
    <row r="29" spans="1:20" ht="20.100000000000001" customHeight="1" x14ac:dyDescent="0.25">
      <c r="A29" s="5" t="str">
        <f>HYPERLINK("#'4.2.1.3-4 Soil direct N20'!A1", "4.2.1.3-4 Soil direct N2O")</f>
        <v>4.2.1.3-4 Soil direct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HYPERLINK("#'4.2.1.5-6 Soil Atmos Dep'!A1", "4.2.1.5-6 Soil atm. deposition")</f>
        <v>4.2.1.5-6 Soil atm. deposition</v>
      </c>
      <c r="C30" s="8"/>
      <c r="D30" s="100" t="s">
        <v>259</v>
      </c>
      <c r="E30" s="100"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HYPERLINK("#'4.2.1.7-8 Soil leach runoff'!A1", "4.2.1.7-8 Soil leach &amp; runoff")</f>
        <v>4.2.1.7-8 Soil leach &amp; runoff</v>
      </c>
      <c r="C31" s="8"/>
      <c r="D31" s="8"/>
      <c r="E31" s="8"/>
      <c r="F31" s="8"/>
      <c r="G31" s="8"/>
      <c r="H31" s="8"/>
      <c r="I31" s="8"/>
      <c r="J31" s="8"/>
      <c r="K31" s="8"/>
    </row>
    <row r="32" spans="1:20" ht="20.100000000000001" customHeight="1" x14ac:dyDescent="0.25">
      <c r="A32" s="5" t="str">
        <f>HYPERLINK("#'5.1.1.1-2 Inorganic fert N2O'!A1", "5.1.1.1-2 Inorganic fert N2O")</f>
        <v>5.1.1.1-2 Inorganic fert N2O</v>
      </c>
      <c r="C32" s="8"/>
      <c r="D32" s="8"/>
      <c r="E32" s="8"/>
      <c r="F32" s="27"/>
      <c r="G32" s="8"/>
      <c r="H32" s="8"/>
      <c r="I32" s="8"/>
      <c r="J32" s="8"/>
      <c r="K32" s="8"/>
    </row>
    <row r="33" spans="1:17" ht="20.100000000000001" customHeight="1" x14ac:dyDescent="0.25">
      <c r="A33" s="5" t="str">
        <f>HYPERLINK("#'5.1.1.3-4 Inorganic fert CO2'!A1", "5.1.1.3-4 Inorganic fert CO2")</f>
        <v>5.1.1.3-4 Inorganic fert CO2</v>
      </c>
      <c r="C33" s="8"/>
      <c r="D33" s="12" t="s">
        <v>261</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HYPERLINK("#'5.2.1.1-2 Organic Fert N2O'!A1", "5.2.1.1-2 Organic fert N2O")</f>
        <v>5.2.1.1-2 Organic fert N2O</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HYPERLINK("#'5.3.1.1-2 Lime CO2'!A1", "5.3.1.1-2 Lime CO2")</f>
        <v>5.3.1.1-2 Lime CO2</v>
      </c>
      <c r="C35" s="8"/>
      <c r="D35" s="8"/>
      <c r="E35" s="8"/>
      <c r="F35" s="8"/>
      <c r="G35" s="8"/>
      <c r="H35" s="8"/>
      <c r="I35" s="8"/>
      <c r="J35" s="8"/>
      <c r="K35" s="8"/>
    </row>
    <row r="36" spans="1:17" ht="20.100000000000001" customHeight="1" x14ac:dyDescent="0.25">
      <c r="A36" s="5" t="str">
        <f>HYPERLINK("#'5.4.1.1-4 Atmos deposition'!A1", "5.4.1.1-4 Atmos. deposition")</f>
        <v>5.4.1.1-4 Atmos. deposition</v>
      </c>
      <c r="C36" s="8"/>
      <c r="D36" s="102" t="str" cm="1">
        <f t="array" ref="D36:E40">_xlfn.CHOOSECOLS(AgResidue_Equations_Leaching.VEERG_6_3_1_1__1__LeachingAndRunoffEmissionsCropAndPastureResidue_Arguments(),1,2)</f>
        <v>M_leachcp</v>
      </c>
      <c r="E36" s="103" t="str">
        <v>mass of nitrogen lost through leaching and runoff from the crop residue c or pasture residue p</v>
      </c>
      <c r="F36" s="104"/>
      <c r="G36" s="105"/>
      <c r="H36" s="102" t="str" cm="1">
        <f t="array" ref="H36:I40">_xlfn.CHOOSECOLS(AgResidue_Equations_Leaching.VEERG_6_3_1_1__1__LeachingAndRunoffEmissionsCropAndPastureResidue_Arguments(),3,4)</f>
        <v>kg N</v>
      </c>
      <c r="I36" s="107" t="str">
        <v>Calculated from 6.3.1.1 (2)</v>
      </c>
      <c r="J36" s="102" t="str" cm="1">
        <f t="array" aca="1" ref="J36" ca="1">HYPERLINK(Common_InputFunctions.Utility_SourceHyperlink($D$21), $D$21)</f>
        <v>M1_Table_M_leach_cp</v>
      </c>
      <c r="K36" s="8"/>
    </row>
    <row r="37" spans="1:17" ht="20.100000000000001" customHeight="1" x14ac:dyDescent="0.25">
      <c r="A37" s="5" t="str">
        <f>HYPERLINK("#'5.5.1.1-2 Leaching and runoff'!A1", "5.5.1.1-2 Leaching &amp; runoff")</f>
        <v>5.5.1.1-2 Leaching &amp; runoff</v>
      </c>
      <c r="C37" s="8"/>
      <c r="D37" s="102" t="str">
        <v>EF_leach</v>
      </c>
      <c r="E37" s="103" t="str">
        <v>emission factor for leaching and runoff</v>
      </c>
      <c r="F37" s="104"/>
      <c r="G37" s="105"/>
      <c r="H37" s="102" t="str">
        <v>kg N2O-N/kg N</v>
      </c>
      <c r="I37" s="107" t="str">
        <v>Constant</v>
      </c>
      <c r="J37" s="102">
        <f>'Constants - Common'!$E$170</f>
        <v>1.0999999999999999E-2</v>
      </c>
      <c r="K37" s="8"/>
    </row>
    <row r="38" spans="1:17" ht="20.100000000000001" customHeight="1" x14ac:dyDescent="0.25">
      <c r="A38" s="5" t="str">
        <f>HYPERLINK("#'6.2.1.1-2 Pasture residue N2O'!A1", "6.2.1.1-2 Pasture residue N2O")</f>
        <v>6.2.1.1-2 Pasture residue N2O</v>
      </c>
      <c r="C38" s="8"/>
      <c r="D38" s="102" t="str">
        <v>C_N2O</v>
      </c>
      <c r="E38" s="103" t="str">
        <v>factor to convert elemental mass of nitrous oxide to molecular mass</v>
      </c>
      <c r="F38" s="104"/>
      <c r="G38" s="105"/>
      <c r="H38" s="102" t="str">
        <v>dimensionless</v>
      </c>
      <c r="I38" s="107" t="str">
        <v>Constant</v>
      </c>
      <c r="J38" s="102">
        <f>Common_InputFunctions.Utility_LookupValueInTableNumber("N2O",Table_GasToMolecularConversionFactor[Gas],Table_GasToMolecularConversionFactor[Conversion factor combined])</f>
        <v>1.5714285714285714</v>
      </c>
      <c r="K38" s="8"/>
    </row>
    <row r="39" spans="1:17" ht="20.100000000000001" customHeight="1" x14ac:dyDescent="0.25">
      <c r="A39" s="101" t="str">
        <f>HYPERLINK("#'6.3.1.1-2 Leach runoff pasture'!A1", "6.3.1.1-2 Leach &amp; runoff (pasture)")</f>
        <v>6.3.1.1-2 Leach &amp; runoff (pasture)</v>
      </c>
      <c r="C39" s="8"/>
      <c r="D39" s="102" t="str">
        <v>c</v>
      </c>
      <c r="E39" s="103" t="str">
        <v>Crop residue type</v>
      </c>
      <c r="F39" s="104"/>
      <c r="G39" s="105"/>
      <c r="H39" s="102" t="str">
        <v/>
      </c>
      <c r="I39" s="106" t="str">
        <v>Input</v>
      </c>
      <c r="J39" s="102" t="s">
        <v>140</v>
      </c>
      <c r="K39" s="8"/>
    </row>
    <row r="40" spans="1:17" ht="20.100000000000001" customHeight="1" x14ac:dyDescent="0.25">
      <c r="A40" s="5" t="str">
        <f>HYPERLINK("#'8.1.1.1-2 Transport fuel'!A1", "8.1.1.1-2 Transport fuel")</f>
        <v>8.1.1.1-2 Transport fuel</v>
      </c>
      <c r="C40" s="8"/>
      <c r="D40" s="102" t="str">
        <v>p</v>
      </c>
      <c r="E40" s="103" t="str">
        <v>Pasture residue type</v>
      </c>
      <c r="F40" s="104"/>
      <c r="G40" s="105"/>
      <c r="H40" s="102" t="str">
        <v/>
      </c>
      <c r="I40" s="106" t="str">
        <v>Input</v>
      </c>
      <c r="J40" s="102" t="str">
        <f>X_Cell_Pasture_PastureType</f>
        <v>Grass clover mixture</v>
      </c>
      <c r="K40" s="8"/>
    </row>
    <row r="41" spans="1:17" ht="20.100000000000001" customHeight="1" x14ac:dyDescent="0.25">
      <c r="A41" s="5" t="str">
        <f>HYPERLINK("#'8.2.1.1-2 Stationary fuel'!A1", "8.2.1.1-2 Stationary fuel")</f>
        <v>8.2.1.1-2 Stationary fuel</v>
      </c>
      <c r="C41" s="8"/>
      <c r="D41" s="8"/>
      <c r="E41" s="8"/>
      <c r="F41" s="8"/>
      <c r="G41" s="8"/>
      <c r="H41" s="8"/>
      <c r="I41" s="8"/>
      <c r="J41" s="8"/>
      <c r="K41" s="8"/>
    </row>
    <row r="42" spans="1:17" ht="20.100000000000001" customHeight="1" x14ac:dyDescent="0.25">
      <c r="A42" s="5" t="str">
        <f>HYPERLINK("#'14.1.1-2 Purchased electricity'!A1", "14.1.1-2 Purchased electricity")</f>
        <v>14.1.1-2 Purchased electricity</v>
      </c>
      <c r="C42" s="8"/>
      <c r="D42" s="109" t="s">
        <v>557</v>
      </c>
      <c r="E42" s="8"/>
      <c r="F42" s="8"/>
      <c r="G42" s="8"/>
      <c r="H42" s="8"/>
      <c r="I42" s="8"/>
      <c r="J42" s="8"/>
      <c r="K42" s="8"/>
      <c r="N42" s="109" t="s">
        <v>557</v>
      </c>
      <c r="O42" s="8"/>
      <c r="P42" s="8"/>
      <c r="Q42" s="8"/>
    </row>
    <row r="43" spans="1:17" ht="20.100000000000001" customHeight="1" x14ac:dyDescent="0.25">
      <c r="A43" s="5" t="str">
        <f>HYPERLINK("#'15 Scope 3'!A1", "15 Scope 3")</f>
        <v>15 Scope 3</v>
      </c>
      <c r="C43" s="8"/>
      <c r="D43" s="110" t="s">
        <v>894</v>
      </c>
      <c r="E43" s="8"/>
      <c r="F43" s="8"/>
      <c r="G43" s="8"/>
      <c r="H43" s="8"/>
      <c r="I43" s="8"/>
      <c r="J43" s="8"/>
      <c r="K43" s="8"/>
      <c r="N43" s="110" t="s">
        <v>894</v>
      </c>
      <c r="O43" s="8"/>
      <c r="P43" s="8"/>
      <c r="Q43" s="8"/>
    </row>
    <row r="44" spans="1:17" ht="20.100000000000001" customHeight="1" x14ac:dyDescent="0.25">
      <c r="A44" s="5" t="str">
        <f>HYPERLINK("#'Calcs - Manure sent off-site'!A1", "Calcs - Manure sent off-site")</f>
        <v>Calcs - Manure sent off-site</v>
      </c>
      <c r="C44" s="8"/>
      <c r="D44" s="111" t="s">
        <v>893</v>
      </c>
      <c r="E44" s="111" t="s">
        <v>895</v>
      </c>
      <c r="F44" s="8"/>
      <c r="G44" s="8"/>
      <c r="H44" s="8"/>
      <c r="I44" s="8"/>
      <c r="J44" s="8"/>
      <c r="K44" s="8"/>
      <c r="N44" s="111" t="s">
        <v>893</v>
      </c>
      <c r="O44" s="111" t="s">
        <v>895</v>
      </c>
      <c r="P44" s="8"/>
      <c r="Q44" s="8"/>
    </row>
    <row r="45" spans="1:17" ht="20.100000000000001" customHeight="1" x14ac:dyDescent="0.25">
      <c r="A45" s="5" t="str">
        <f>HYPERLINK("#'10.1.1-2 Solid waste treatment'!A1", "10.1.1-2 Solid waste treatment")</f>
        <v>10.1.1-2 Solid waste treatment</v>
      </c>
      <c r="C45" s="8"/>
      <c r="D45" s="25" t="str">
        <f>I24</f>
        <v>N/A</v>
      </c>
      <c r="E45" s="25" t="s">
        <v>140</v>
      </c>
      <c r="F45" s="8"/>
      <c r="G45" s="8"/>
      <c r="H45" s="8"/>
      <c r="I45" s="8"/>
      <c r="J45" s="8"/>
      <c r="K45" s="8"/>
      <c r="N45" s="25" t="str">
        <f>S24</f>
        <v>N/A</v>
      </c>
      <c r="O45" s="25" t="s">
        <v>140</v>
      </c>
      <c r="P45" s="8"/>
      <c r="Q45" s="8"/>
    </row>
    <row r="46" spans="1:17" ht="20.100000000000001" customHeight="1" x14ac:dyDescent="0.25">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A48" s="96" t="s">
        <v>1</v>
      </c>
      <c r="C48" s="8"/>
      <c r="D48" s="241" t="s">
        <v>896</v>
      </c>
      <c r="E48" s="242">
        <f>SUM(E45:E46)</f>
        <v>3.0793186285714277E-7</v>
      </c>
      <c r="F48" s="116" t="str">
        <f>$E$34</f>
        <v>t N2O</v>
      </c>
      <c r="G48" s="8"/>
      <c r="H48" s="8"/>
      <c r="I48" s="8"/>
      <c r="J48" s="8"/>
      <c r="K48" s="8"/>
      <c r="N48" s="241" t="s">
        <v>896</v>
      </c>
      <c r="O48" s="242">
        <f>SUM(O45:O46)</f>
        <v>3.0793186285714277E-7</v>
      </c>
      <c r="P48" s="116" t="str">
        <f>$E$34</f>
        <v>t N2O</v>
      </c>
      <c r="Q48" s="8"/>
    </row>
    <row r="49" spans="1:17" ht="20.100000000000001" customHeight="1" x14ac:dyDescent="0.25">
      <c r="A49" s="5" t="str">
        <f>HYPERLINK("#'Constants - Pasture Beef'!A1", "Constants - Pasture Beef")</f>
        <v>Constants - Pasture Beef</v>
      </c>
      <c r="D49" s="8"/>
      <c r="E49" s="8"/>
      <c r="F49" s="8"/>
      <c r="G49" s="8"/>
      <c r="N49" s="8"/>
      <c r="O49" s="8"/>
      <c r="P49" s="8"/>
      <c r="Q49" s="8"/>
    </row>
    <row r="50" spans="1:17" ht="20.100000000000001" customHeight="1" x14ac:dyDescent="0.25">
      <c r="A50" s="5" t="str">
        <f>HYPERLINK("#'Constants - Ag Residue'!A1", "Constants - Ag residue")</f>
        <v>Constants - Ag residue</v>
      </c>
      <c r="D50" s="117" t="str" cm="1">
        <f t="array" ref="D50:E51">Common_Equations.Common_ConvertN2OToCO2e_Arguments()</f>
        <v>EN2O</v>
      </c>
      <c r="E50" s="118" t="str">
        <v>Nitrous oxide emissions (t N2O)</v>
      </c>
      <c r="F50" s="119"/>
      <c r="G50" s="25">
        <f>E48</f>
        <v>3.0793186285714277E-7</v>
      </c>
      <c r="N50" s="117" t="str" cm="1">
        <f t="array" ref="N50:O51">Common_Equations.Common_ConvertN2OToCO2e_Arguments()</f>
        <v>EN2O</v>
      </c>
      <c r="O50" s="118" t="str">
        <v>Nitrous oxide emissions (t N2O)</v>
      </c>
      <c r="P50" s="119"/>
      <c r="Q50" s="25">
        <f>O48</f>
        <v>3.0793186285714277E-7</v>
      </c>
    </row>
    <row r="51" spans="1:17" ht="20.100000000000001" customHeight="1" x14ac:dyDescent="0.25">
      <c r="A51" s="5" t="str">
        <f>HYPERLINK("#'Constants - Common Livestock'!A1", "Constants - Common Livestock")</f>
        <v>Constants - Common Livestock</v>
      </c>
      <c r="D51" s="117" t="str">
        <v>GWPN2O</v>
      </c>
      <c r="E51" s="118" t="str">
        <v>Global warming potential for nitrous oxide (t CO2-e / t N2O)</v>
      </c>
      <c r="F51" s="119"/>
      <c r="G51" s="25">
        <f>Common_InputFunctions.Utility_LookupValueInTableNumber("N2O",Table_GWPData[Gas],Table_GWPData[CO2-e factor])</f>
        <v>265</v>
      </c>
      <c r="H51" s="8"/>
      <c r="I51" s="8"/>
      <c r="N51" s="117" t="str">
        <v>GWPN2O</v>
      </c>
      <c r="O51" s="118" t="str">
        <v>Global warming potential for nitrous oxide (t CO2-e / t N2O)</v>
      </c>
      <c r="P51" s="119"/>
      <c r="Q51" s="25">
        <f>Common_InputFunctions.Utility_LookupValueInTableNumber("N2O",Table_GWPData[Gas],Table_GWPData[CO2-e factor])</f>
        <v>265</v>
      </c>
    </row>
    <row r="52" spans="1:17" ht="20.100000000000001" customHeight="1" x14ac:dyDescent="0.25">
      <c r="A52" s="5" t="str">
        <f>HYPERLINK("#'Constants - Electricity'!A1", "Constants - Electricity")</f>
        <v>Constants - Electricity</v>
      </c>
      <c r="H52" s="8"/>
      <c r="I52" s="8"/>
    </row>
    <row r="53" spans="1:17" ht="20.100000000000001" customHeight="1" x14ac:dyDescent="0.25">
      <c r="A53" s="5" t="str">
        <f>HYPERLINK("#'Constants - Fertiliser'!A1", "Constants - Fertiliser")</f>
        <v>Constants - Fertiliser</v>
      </c>
      <c r="D53" s="113" t="s">
        <v>299</v>
      </c>
      <c r="E53" s="113" cm="1">
        <f t="array" ref="E53">Common_Equations.Common_ConvertN2OToCO2e(G50,G51)</f>
        <v>8.1601943657142831E-5</v>
      </c>
      <c r="F53" s="120" t="str" cm="1">
        <f t="array" ref="F53">Common_Equations.Common_ConvertN2OToCO2e_Unit()</f>
        <v>t CO2e</v>
      </c>
      <c r="I53" s="8"/>
      <c r="N53" s="113" t="s">
        <v>299</v>
      </c>
      <c r="O53" s="113" cm="1">
        <f t="array" ref="O53">Common_Equations.Common_ConvertN2OToCO2e(Q50,Q51)</f>
        <v>8.1601943657142831E-5</v>
      </c>
      <c r="P53" s="120" t="str" cm="1">
        <f t="array" ref="P53">Common_Equations.Common_ConvertN2OToCO2e_Unit()</f>
        <v>t CO2e</v>
      </c>
    </row>
    <row r="54" spans="1:17" ht="20.100000000000001" customHeight="1" x14ac:dyDescent="0.25">
      <c r="A54" s="5" t="str">
        <f>HYPERLINK("#'Constants - Fuel'!A1", "Constants - Fuel")</f>
        <v>Constants - Fuel</v>
      </c>
      <c r="I54" s="8"/>
    </row>
    <row r="55" spans="1:17" ht="20.100000000000001" customHeight="1" x14ac:dyDescent="0.25">
      <c r="A55" s="5" t="str">
        <f>HYPERLINK("#'Constants - Scope 3'!A1", "Constants - Scope 3")</f>
        <v>Constants - Scope 3</v>
      </c>
    </row>
    <row r="56" spans="1:17" ht="20.100000000000001" customHeight="1" x14ac:dyDescent="0.25">
      <c r="A56" s="5" t="str">
        <f>HYPERLINK("#'Constants - Common'!A1", "Constants - Common")</f>
        <v>Constants - Common</v>
      </c>
    </row>
    <row r="57" spans="1:17" ht="20.100000000000001" customHeight="1" x14ac:dyDescent="0.25">
      <c r="A57" s="5" t="str">
        <f>HYPERLINK("#'Acknowledgements'!A1", "Acknowledgements")</f>
        <v>Acknowledgements</v>
      </c>
    </row>
    <row r="58" spans="1:17" ht="20.100000000000001" customHeight="1" x14ac:dyDescent="0.25">
      <c r="A58" s="5" t="str">
        <f>HYPERLINK("#'Constants - Solid Waste'!A1", "Constants - Solid Waste")</f>
        <v>Constants - Solid Waste</v>
      </c>
    </row>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95106-CBB0-48C8-91F7-1B1D90B275BF}">
  <dimension ref="A1:R342"/>
  <sheetViews>
    <sheetView showGridLines="0" topLeftCell="A4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721</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3"/>
      <c r="P5" s="173"/>
      <c r="Q5" s="173"/>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3"/>
      <c r="P6" s="173"/>
      <c r="Q6" s="173"/>
    </row>
    <row r="7" spans="1:18" ht="20.100000000000001" customHeight="1" x14ac:dyDescent="0.25">
      <c r="D7" s="100" t="s">
        <v>259</v>
      </c>
      <c r="E7" s="100" t="str" cm="1">
        <f t="array" aca="1" ref="E7" ca="1">Common_InputFunctions.Utility_DisplayFunctionName(N25)</f>
        <v>=Fuel_Equations.VEERG_8_1_1_1__1_FuelCombustionTransport</v>
      </c>
      <c r="K7" s="100" t="s">
        <v>259</v>
      </c>
      <c r="L7" s="100" t="str" cm="1">
        <f t="array" aca="1" ref="L7" ca="1">Common_InputFunctions.Utility_DisplayFunctionName(Q25)</f>
        <v>=Scope3_Equations.VEERG_15_11_1_1__2_UpstreamTransportFuelEmissions</v>
      </c>
      <c r="O7" s="173"/>
      <c r="P7" s="173"/>
      <c r="Q7" s="173"/>
    </row>
    <row r="8" spans="1:18" ht="20.100000000000001" customHeight="1" x14ac:dyDescent="0.25">
      <c r="A8" s="7" t="s">
        <v>0</v>
      </c>
      <c r="E8" s="100"/>
      <c r="L8" s="100"/>
      <c r="O8" s="173"/>
      <c r="P8" s="173"/>
      <c r="Q8" s="173"/>
    </row>
    <row r="9" spans="1:18" ht="20.100000000000001" customHeight="1" x14ac:dyDescent="0.25">
      <c r="A9" s="5" t="str">
        <f>HYPERLINK("#'Input - Enterprise'!A1", "Enterprise")</f>
        <v>Enterprise</v>
      </c>
      <c r="G9" s="27"/>
      <c r="O9" s="173"/>
      <c r="P9" s="173"/>
      <c r="Q9" s="173"/>
    </row>
    <row r="10" spans="1:18" ht="20.100000000000001" customHeight="1" x14ac:dyDescent="0.25">
      <c r="A10" s="5" t="str">
        <f>HYPERLINK("#'Input - Site'!A1", "Site")</f>
        <v>Site</v>
      </c>
      <c r="O10" s="173"/>
      <c r="P10" s="173"/>
      <c r="Q10" s="173"/>
    </row>
    <row r="11" spans="1:18" ht="20.100000000000001" customHeight="1" x14ac:dyDescent="0.25">
      <c r="A11" s="5" t="str">
        <f>HYPERLINK("#'Input - Pasture Beef'!A1", "Pasture Beef")</f>
        <v>Pasture Beef</v>
      </c>
      <c r="D11" s="88" t="s">
        <v>261</v>
      </c>
      <c r="E11" s="1" t="str" cm="1">
        <f t="array" ref="E11">Fuel_Equations.VEERG_8_1_1_1__1_FuelCombustionTransport_Variable()</f>
        <v>E_g</v>
      </c>
      <c r="K11" s="88" t="s">
        <v>261</v>
      </c>
      <c r="L11" s="1" t="str" cm="1">
        <f t="array" ref="L11">Scope3_Equations.VEERG_15_11_1_1__2_UpstreamTransportFuelEmissions_Variable()</f>
        <v>E_WTTtransq</v>
      </c>
      <c r="O11" s="173"/>
      <c r="P11" s="173"/>
      <c r="Q11" s="173"/>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_xlfn.CHOOSECOLS(Fuel_Equations.VEERG_8_1_1_1__1_FuelCombustionTransport_Arguments(), 1,2)</f>
        <v>Q_Transtq</v>
      </c>
      <c r="E14" s="103" t="str">
        <v>Amount of fuel type q combusted for transport energy purposes</v>
      </c>
      <c r="F14" s="105"/>
      <c r="G14" s="102" t="str" cm="1">
        <f t="array" ref="G14:H20">_xlfn.CHOOSECOLS(Fuel_Equations.VEERG_8_1_1_1__1_FuelCombustionTransport_Arguments(), 3,4)</f>
        <v>Varies based on fuel type: kL, m3, GJ</v>
      </c>
      <c r="H14" s="106" t="str">
        <v>Input</v>
      </c>
      <c r="I14" s="108" t="str" cm="1">
        <f t="array" aca="1" ref="I14" ca="1">HYPERLINK(Common_InputFunctions.Utility_SourceHyperlink($D$22), $D$22)</f>
        <v>Table_E_g</v>
      </c>
      <c r="K14" s="102" t="str" cm="1">
        <f t="array" ref="K14:L16">_xlfn.CHOOSECOLS(Scope3_Equations.VEERG_15_11_1_1__2_UpstreamTransportFuelEmissions_Arguments(),1,2)</f>
        <v>Q_Transq</v>
      </c>
      <c r="L14" s="102" t="str">
        <v>amount of fuel q combusted for transport energy purposes</v>
      </c>
      <c r="M14" s="102"/>
      <c r="N14" s="102" t="str" cm="1">
        <f t="array" ref="N14:O16">_xlfn.CHOOSECOLS(Scope3_Equations.VEERG_15_11_1_1__2_UpstreamTransportFuelEmissions_Arguments(),3,4)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EC_Transq</v>
      </c>
      <c r="E15" s="103" t="str">
        <v>Energy content factor for transport energy purposes</v>
      </c>
      <c r="F15" s="105"/>
      <c r="G15" s="102" t="str">
        <v>GJ / unit of fuel</v>
      </c>
      <c r="H15" s="107" t="str">
        <v>Constant</v>
      </c>
      <c r="I15" s="108" t="str" cm="1">
        <f t="array" aca="1" ref="I15" ca="1">HYPERLINK(Common_InputFunctions.Utility_SourceHyperlink($D$22), $D$22)</f>
        <v>Table_E_g</v>
      </c>
      <c r="K15" s="102" t="str">
        <v>EC_Transq</v>
      </c>
      <c r="L15" s="102" t="str">
        <v>energy content factor for transport energy purposes</v>
      </c>
      <c r="M15" s="102"/>
      <c r="N15" s="102" t="str">
        <v>GJ/kL or GJ/m3</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EF_Trans1tqg</v>
      </c>
      <c r="E16" s="103" t="str">
        <v>Scope 1 emission factor for transport energy purposes for each greenhouse gas</v>
      </c>
      <c r="F16" s="105"/>
      <c r="G16" s="102" t="str">
        <v>kg CO2e / GJ</v>
      </c>
      <c r="H16" s="107" t="str">
        <v>Constant</v>
      </c>
      <c r="I16" s="108" t="str" cm="1">
        <f t="array" aca="1" ref="I16" ca="1">HYPERLINK(Common_InputFunctions.Utility_SourceHyperlink($D$22), $D$22)</f>
        <v>Table_E_g</v>
      </c>
      <c r="K16" s="102" t="str">
        <v>EF_Trans3q</v>
      </c>
      <c r="L16" s="102" t="str">
        <v>scope 3 emission factor for transport energy purposes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P17" s="173"/>
      <c r="Q17" s="173"/>
    </row>
    <row r="18" spans="1:17" ht="20.100000000000001" customHeight="1" x14ac:dyDescent="0.25">
      <c r="A18" s="5" t="str">
        <f>HYPERLINK("#'Input - Fuel'!A1", "Fuel")</f>
        <v>Fuel</v>
      </c>
      <c r="D18" s="102" t="str">
        <v>Trans</v>
      </c>
      <c r="E18" s="103" t="str">
        <v>Transport combustion</v>
      </c>
      <c r="F18" s="105"/>
      <c r="G18" s="102" t="str">
        <v/>
      </c>
      <c r="H18" s="107" t="str">
        <v>Constant</v>
      </c>
      <c r="I18" s="108"/>
      <c r="J18" s="173"/>
      <c r="L18" s="173"/>
      <c r="M18" s="173"/>
      <c r="N18" s="173"/>
      <c r="O18" s="173"/>
      <c r="P18" s="173"/>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M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M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723</v>
      </c>
    </row>
    <row r="24" spans="1:17" ht="20.100000000000001" customHeight="1" x14ac:dyDescent="0.25">
      <c r="D24" s="111" t="s">
        <v>724</v>
      </c>
      <c r="E24" s="111" t="s">
        <v>725</v>
      </c>
      <c r="F24" s="111" t="s">
        <v>726</v>
      </c>
      <c r="G24" s="111" t="s">
        <v>727</v>
      </c>
      <c r="H24" s="111" t="s">
        <v>728</v>
      </c>
      <c r="I24" s="111" t="s">
        <v>729</v>
      </c>
      <c r="J24" s="111" t="s">
        <v>730</v>
      </c>
      <c r="K24" s="111" t="s">
        <v>731</v>
      </c>
      <c r="L24" s="112" t="s">
        <v>732</v>
      </c>
      <c r="M24" s="111" t="s">
        <v>733</v>
      </c>
      <c r="N24" s="111" t="s">
        <v>734</v>
      </c>
      <c r="O24" s="111" t="s">
        <v>735</v>
      </c>
      <c r="P24" s="111" t="s">
        <v>736</v>
      </c>
      <c r="Q24" s="111" t="s">
        <v>737</v>
      </c>
    </row>
    <row r="25" spans="1:17" ht="20.100000000000001" customHeight="1" x14ac:dyDescent="0.25">
      <c r="D25" s="35" t="str">
        <f>Table_FuelTypesPerUse[[#Headers],[Cars and light commercial vehicles]]</f>
        <v>Cars and light commercial vehicles</v>
      </c>
      <c r="E25" s="198" t="str">
        <f>'Constants - Fuel'!$E$10</f>
        <v>Gasoline</v>
      </c>
      <c r="F25" s="198"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199" cm="1">
        <f t="array" ref="N25">Fuel_Equations.VEERG_8_1_1_1__1_FuelCombustionTransport($L25,$G25,$H25)</f>
        <v>0</v>
      </c>
      <c r="O25" s="199" cm="1">
        <f t="array" ref="O25">Fuel_Equations.VEERG_8_1_1_1__1_FuelCombustionTransport($L25,$G25,$I25)</f>
        <v>0</v>
      </c>
      <c r="P25" s="199" cm="1">
        <f t="array" ref="P25">Fuel_Equations.VEERG_8_1_1_1__1_FuelCombustionTransport($L25,$G25,$J25)</f>
        <v>0</v>
      </c>
      <c r="Q25" s="199" cm="1">
        <f t="array" ref="Q25">Scope3_Equations.VEERG_15_11_1_1__2_UpstreamTransportFuelEmissions(L25,G25,K25)</f>
        <v>0</v>
      </c>
    </row>
    <row r="26" spans="1:17" ht="20.100000000000001" customHeight="1" x14ac:dyDescent="0.25">
      <c r="A26" s="6" t="s">
        <v>2</v>
      </c>
      <c r="D26" s="200" t="str">
        <f t="shared" ref="D26:D32" si="0">$D$25</f>
        <v>Cars and light commercial vehicles</v>
      </c>
      <c r="E26" s="198" t="str">
        <f>'Constants - Fuel'!$E$11</f>
        <v>Diesel oil</v>
      </c>
      <c r="F26" s="198"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7" cm="1">
        <f t="array" ref="L26">Fuel_InputFunctions.Fuel_TotalConsumption(Table_Input_Fuel[Amount consumed], Table_Input_Fuel[Fuel use (select)], D26, Table_Input_Fuel[Fuel type (select)],F26)</f>
        <v>10</v>
      </c>
      <c r="M26" s="177" t="str" cm="1">
        <f t="array" ref="M26">Common_InputFunctions.Utility_LookupValueInTable(F26,Table_FuelTypes_Units[Fuel type],Table_FuelTypes_Units[Unit])</f>
        <v>kL</v>
      </c>
      <c r="N26" s="199" cm="1">
        <f t="array" ref="N26">Fuel_Equations.VEERG_8_1_1_1__1_FuelCombustionTransport($L26,$G26,$H26)</f>
        <v>26.981400000000001</v>
      </c>
      <c r="O26" s="199" cm="1">
        <f t="array" ref="O26">Fuel_Equations.VEERG_8_1_1_1__1_FuelCombustionTransport($L26,$G26,$I26)</f>
        <v>3.8600000000000001E-3</v>
      </c>
      <c r="P26" s="199" cm="1">
        <f t="array" ref="P26">Fuel_Equations.VEERG_8_1_1_1__1_FuelCombustionTransport($L26,$G26,$J26)</f>
        <v>0.193</v>
      </c>
      <c r="Q26" s="199" cm="1">
        <f t="array" ref="Q26">Scope3_Equations.VEERG_15_11_1_1__2_UpstreamTransportFuelEmissions(L26,G26,K26)</f>
        <v>6.6778000000000004</v>
      </c>
    </row>
    <row r="27" spans="1:17" ht="20.100000000000001" customHeight="1" x14ac:dyDescent="0.25">
      <c r="A27" s="5" t="str">
        <f>HYPERLINK("#'3.2.1.1-2 Enteric Methane'!A1", "3.2.1.1-2 Enteric methane")</f>
        <v>3.2.1.1-2 Enteric methane</v>
      </c>
      <c r="D27" s="200" t="str">
        <f t="shared" si="0"/>
        <v>Cars and light commercial vehicles</v>
      </c>
      <c r="E27" s="198" t="str">
        <f>'Constants - Fuel'!$E$12</f>
        <v>Liquefied petroleum gas (LPG)</v>
      </c>
      <c r="F27" s="198"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199" cm="1">
        <f t="array" ref="N27">Fuel_Equations.VEERG_8_1_1_1__1_FuelCombustionTransport($L27,$G27,$H27)</f>
        <v>0</v>
      </c>
      <c r="O27" s="199" cm="1">
        <f t="array" ref="O27">Fuel_Equations.VEERG_8_1_1_1__1_FuelCombustionTransport($L27,$G27,$I27)</f>
        <v>0</v>
      </c>
      <c r="P27" s="199" cm="1">
        <f t="array" ref="P27">Fuel_Equations.VEERG_8_1_1_1__1_FuelCombustionTransport($L27,$G27,$J27)</f>
        <v>0</v>
      </c>
      <c r="Q27" s="199" cm="1">
        <f t="array" ref="Q27">Scope3_Equations.VEERG_15_11_1_1__2_UpstreamTransportFuelEmissions(L27,G27,K27)</f>
        <v>0</v>
      </c>
    </row>
    <row r="28" spans="1:17" ht="20.100000000000001" customHeight="1" x14ac:dyDescent="0.25">
      <c r="A28" s="5" t="str">
        <f>HYPERLINK("#'4.2.1.1-2 Methane'!A1", "4.2.1.1-2 Manure methane")</f>
        <v>4.2.1.1-2 Manure methane</v>
      </c>
      <c r="D28" s="200" t="str">
        <f t="shared" si="0"/>
        <v>Cars and light commercial vehicles</v>
      </c>
      <c r="E28" s="198" t="str">
        <f>'Constants - Fuel'!$E$13</f>
        <v>Fuel oil</v>
      </c>
      <c r="F28" s="198"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199" cm="1">
        <f t="array" ref="N28">Fuel_Equations.VEERG_8_1_1_1__1_FuelCombustionTransport($L28,$G28,$H28)</f>
        <v>0</v>
      </c>
      <c r="O28" s="199" cm="1">
        <f t="array" ref="O28">Fuel_Equations.VEERG_8_1_1_1__1_FuelCombustionTransport($L28,$G28,$I28)</f>
        <v>0</v>
      </c>
      <c r="P28" s="199" cm="1">
        <f t="array" ref="P28">Fuel_Equations.VEERG_8_1_1_1__1_FuelCombustionTransport($L28,$G28,$J28)</f>
        <v>0</v>
      </c>
      <c r="Q28" s="199" cm="1">
        <f t="array" ref="Q28">Scope3_Equations.VEERG_15_11_1_1__2_UpstreamTransportFuelEmissions(L28,G28,K28)</f>
        <v>0</v>
      </c>
    </row>
    <row r="29" spans="1:17" ht="20.100000000000001" customHeight="1" x14ac:dyDescent="0.25">
      <c r="A29" s="5" t="str">
        <f>HYPERLINK("#'4.2.1.3-4 Soil direct N20'!A1", "4.2.1.3-4 Soil direct N2O")</f>
        <v>4.2.1.3-4 Soil direct N2O</v>
      </c>
      <c r="D29" s="200" t="str">
        <f t="shared" si="0"/>
        <v>Cars and light commercial vehicles</v>
      </c>
      <c r="E29" s="198" t="str">
        <f>'Constants - Fuel'!$E$14</f>
        <v>Ethanol</v>
      </c>
      <c r="F29" s="198"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199" cm="1">
        <f t="array" ref="N29">Fuel_Equations.VEERG_8_1_1_1__1_FuelCombustionTransport($L29,$G29,$H29)</f>
        <v>0</v>
      </c>
      <c r="O29" s="199" cm="1">
        <f t="array" ref="O29">Fuel_Equations.VEERG_8_1_1_1__1_FuelCombustionTransport($L29,$G29,$I29)</f>
        <v>0</v>
      </c>
      <c r="P29" s="199" cm="1">
        <f t="array" ref="P29">Fuel_Equations.VEERG_8_1_1_1__1_FuelCombustionTransport($L29,$G29,$J29)</f>
        <v>0</v>
      </c>
      <c r="Q29" s="199" cm="1">
        <f t="array" ref="Q29">Scope3_Equations.VEERG_15_11_1_1__2_UpstreamTransportFuelEmissions(L29,G29,IF(ISNUMBER(K29),K29,0))</f>
        <v>0</v>
      </c>
    </row>
    <row r="30" spans="1:17" ht="20.100000000000001" customHeight="1" x14ac:dyDescent="0.25">
      <c r="A30" s="5" t="str">
        <f>HYPERLINK("#'4.2.1.5-6 Soil Atmos Dep'!A1", "4.2.1.5-6 Soil atm. deposition")</f>
        <v>4.2.1.5-6 Soil atm. deposition</v>
      </c>
      <c r="D30" s="200" t="str">
        <f t="shared" si="0"/>
        <v>Cars and light commercial vehicles</v>
      </c>
      <c r="E30" s="198" t="str">
        <f>'Constants - Fuel'!$E$15</f>
        <v>Biodiesel</v>
      </c>
      <c r="F30" s="198"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199" cm="1">
        <f t="array" ref="N30">Fuel_Equations.VEERG_8_1_1_1__1_FuelCombustionTransport($L30,$G30,$H30)</f>
        <v>0</v>
      </c>
      <c r="O30" s="199" cm="1">
        <f t="array" ref="O30">Fuel_Equations.VEERG_8_1_1_1__1_FuelCombustionTransport($L30,$G30,$I30)</f>
        <v>0</v>
      </c>
      <c r="P30" s="199" cm="1">
        <f t="array" ref="P30">Fuel_Equations.VEERG_8_1_1_1__1_FuelCombustionTransport($L30,$G30,$J30)</f>
        <v>0</v>
      </c>
      <c r="Q30" s="199" cm="1">
        <f t="array" ref="Q30">Scope3_Equations.VEERG_15_11_1_1__2_UpstreamTransportFuelEmissions(L30,G30,IF(ISNUMBER(K30),K30,0))</f>
        <v>0</v>
      </c>
    </row>
    <row r="31" spans="1:17" ht="20.100000000000001" customHeight="1" x14ac:dyDescent="0.25">
      <c r="A31" s="5" t="str">
        <f>HYPERLINK("#'4.2.1.7-8 Soil leach runoff'!A1", "4.2.1.7-8 Soil leach &amp; runoff")</f>
        <v>4.2.1.7-8 Soil leach &amp; runoff</v>
      </c>
      <c r="D31" s="200" t="str">
        <f t="shared" si="0"/>
        <v>Cars and light commercial vehicles</v>
      </c>
      <c r="E31" s="198" t="str">
        <f>'Constants - Fuel'!$E$16</f>
        <v>Renewable diesel</v>
      </c>
      <c r="F31" s="198"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7" cm="1">
        <f t="array" ref="L31">Fuel_InputFunctions.Fuel_TotalConsumption(Table_Input_Fuel[Amount consumed], Table_Input_Fuel[Fuel use (select)], D31, Table_Input_Fuel[Fuel type (select)],F31)</f>
        <v>0</v>
      </c>
      <c r="M31" s="177" t="str" cm="1">
        <f t="array" ref="M31">Common_InputFunctions.Utility_LookupValueInTable(F31,Table_FuelTypes_Units[Fuel type],Table_FuelTypes_Units[Unit])</f>
        <v>kL</v>
      </c>
      <c r="N31" s="199" cm="1">
        <f t="array" ref="N31">Fuel_Equations.VEERG_8_1_1_1__1_FuelCombustionTransport($L31,$G31,$H31)</f>
        <v>0</v>
      </c>
      <c r="O31" s="199" cm="1">
        <f t="array" ref="O31">Fuel_Equations.VEERG_8_1_1_1__1_FuelCombustionTransport($L31,$G31,$I31)</f>
        <v>0</v>
      </c>
      <c r="P31" s="199" cm="1">
        <f t="array" ref="P31">Fuel_Equations.VEERG_8_1_1_1__1_FuelCombustionTransport($L31,$G31,$J31)</f>
        <v>0</v>
      </c>
      <c r="Q31" s="199" cm="1">
        <f t="array" ref="Q31">Scope3_Equations.VEERG_15_11_1_1__2_UpstreamTransportFuelEmissions(L31,G31,IF(ISNUMBER(K31),K31,0))</f>
        <v>0</v>
      </c>
    </row>
    <row r="32" spans="1:17" ht="20.100000000000001" customHeight="1" x14ac:dyDescent="0.25">
      <c r="A32" s="5" t="str">
        <f>HYPERLINK("#'5.1.1.1-2 Inorganic fert N2O'!A1", "5.1.1.1-2 Inorganic fert N2O")</f>
        <v>5.1.1.1-2 Inorganic fert N2O</v>
      </c>
      <c r="D32" s="200" t="str">
        <f t="shared" si="0"/>
        <v>Cars and light commercial vehicles</v>
      </c>
      <c r="E32" s="198" t="str">
        <f>'Constants - Fuel'!$E$17</f>
        <v>Other biofuels</v>
      </c>
      <c r="F32" s="198"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6" t="str" cm="1">
        <f t="array" ref="K32">IFERROR(_xlfn.XLOOKUP(1, (Table_Fuel_EFs_Transport[Fuel combusted]=$E32)*(Table_Fuel_EFs_Transport[Transport type]=$D$25), Table_Fuel_EFs_Transport[Scope 3 Emission Factor (kg CO2 - e / GJ)]), 0)</f>
        <v>NE</v>
      </c>
      <c r="L32" s="201" cm="1">
        <f t="array" ref="L32">Fuel_InputFunctions.Fuel_TotalConsumption(Table_Input_Fuel[Amount consumed], Table_Input_Fuel[Fuel use (select)], D32, Table_Input_Fuel[Fuel type (select)],F32)</f>
        <v>0</v>
      </c>
      <c r="M32" s="177" t="str" cm="1">
        <f t="array" ref="M32">Common_InputFunctions.Utility_LookupValueInTable(F32,Table_FuelTypes_Units[Fuel type],Table_FuelTypes_Units[Unit])</f>
        <v>kL</v>
      </c>
      <c r="N32" s="202" cm="1">
        <f t="array" ref="N32">Fuel_Equations.VEERG_8_1_1_1__1_FuelCombustionTransport($L32,$G32,$H32)</f>
        <v>0</v>
      </c>
      <c r="O32" s="202" cm="1">
        <f t="array" ref="O32">Fuel_Equations.VEERG_8_1_1_1__1_FuelCombustionTransport($L32,$G32,$I32)</f>
        <v>0</v>
      </c>
      <c r="P32" s="202" cm="1">
        <f t="array" ref="P32">Fuel_Equations.VEERG_8_1_1_1__1_FuelCombustionTransport($L32,$G32,$J32)</f>
        <v>0</v>
      </c>
      <c r="Q32" s="199" cm="1">
        <f t="array" ref="Q32">Scope3_Equations.VEERG_15_11_1_1__2_UpstreamTransportFuelEmissions(L32,G32,IF(ISNUMBER(K32),K32,0))</f>
        <v>0</v>
      </c>
    </row>
    <row r="33" spans="1:17" ht="20.100000000000001" customHeight="1" x14ac:dyDescent="0.25">
      <c r="A33" s="5" t="str">
        <f>HYPERLINK("#'5.1.1.3-4 Inorganic fert CO2'!A1", "5.1.1.3-4 Inorganic fert CO2")</f>
        <v>5.1.1.3-4 Inorganic fert CO2</v>
      </c>
      <c r="D33" s="203" t="str">
        <f>Table_FuelTypesPerUse[[#Headers],[Off-road Agriculture and forestry equipment]]</f>
        <v>Off-road Agriculture and forestry equipment</v>
      </c>
      <c r="E33" s="204" t="str">
        <f>'Constants - Fuel'!$E$11</f>
        <v>Diesel oil</v>
      </c>
      <c r="F33" s="204" t="str">
        <f>'Constants - Fuel'!H131</f>
        <v>Diesel</v>
      </c>
      <c r="G33" s="205" cm="1">
        <f t="array" ref="G33">IFERROR(_xlfn.XLOOKUP(1, (Table_Fuel_EFs_Transport[Fuel combusted]=$E33)*(Table_Fuel_EFs_Transport[Transport type]=$D$33), Table_Fuel_EFs_Transport[Energy Content Factor (GJ per unit of fuel)]), 0)</f>
        <v>38.6</v>
      </c>
      <c r="H33" s="205" cm="1">
        <f t="array" ref="H33">IFERROR(_xlfn.XLOOKUP(1, (Table_Fuel_EFs_Transport[Fuel combusted]=$E33)*(Table_Fuel_EFs_Transport[Transport type]=$D$33), Table_Fuel_EFs_Transport[Scope 1 Emission Factor (kg CO2 - e / GJ) CO2]), 0)</f>
        <v>69.900000000000006</v>
      </c>
      <c r="I33" s="205" cm="1">
        <f t="array" ref="I33">IFERROR(_xlfn.XLOOKUP(1, (Table_Fuel_EFs_Transport[Fuel combusted]=$E33)*(Table_Fuel_EFs_Transport[Transport type]=$D$33), Table_Fuel_EFs_Transport[Scope 1 Emission Factor (kg CO2 - e / GJ) CH4]), 0)</f>
        <v>0.3</v>
      </c>
      <c r="J33" s="205" cm="1">
        <f t="array" ref="J33">IFERROR(_xlfn.XLOOKUP(1, (Table_Fuel_EFs_Transport[Fuel combusted]=$E33)*(Table_Fuel_EFs_Transport[Transport type]=$D$33), Table_Fuel_EFs_Transport[Scope 1 Emission Factor (kg CO2 - e / GJ) N2O]), 0)</f>
        <v>0.5</v>
      </c>
      <c r="K33" s="206" cm="1">
        <f t="array" ref="K33">IFERROR(_xlfn.XLOOKUP(1, (Table_Fuel_EFs_Transport[Fuel combusted]=$E33)*(Table_Fuel_EFs_Transport[Transport type]=$D$25), Table_Fuel_EFs_Transport[Scope 3 Emission Factor (kg CO2 - e / GJ)]), 0)</f>
        <v>17.3</v>
      </c>
      <c r="L33" s="207" cm="1">
        <f t="array" ref="L33">Fuel_InputFunctions.Fuel_TotalConsumption(Table_Input_Fuel[Amount consumed], Table_Input_Fuel[Fuel use (select)], D33, Table_Input_Fuel[Fuel type (select)],F33)</f>
        <v>10</v>
      </c>
      <c r="M33" s="208" t="str" cm="1">
        <f t="array" ref="M33">Common_InputFunctions.Utility_LookupValueInTable(F33,Table_FuelTypes_Units[Fuel type],Table_FuelTypes_Units[Unit])</f>
        <v>kL</v>
      </c>
      <c r="N33" s="209" cm="1">
        <f t="array" ref="N33">Fuel_Equations.VEERG_8_1_1_1__1_FuelCombustionTransport($L33,$G33,$H33)</f>
        <v>26.981400000000001</v>
      </c>
      <c r="O33" s="209" cm="1">
        <f t="array" ref="O33">Fuel_Equations.VEERG_8_1_1_1__1_FuelCombustionTransport($L33,$G33,$I33)</f>
        <v>0.1158</v>
      </c>
      <c r="P33" s="209" cm="1">
        <f t="array" ref="P33">Fuel_Equations.VEERG_8_1_1_1__1_FuelCombustionTransport($L33,$G33,$J33)</f>
        <v>0.193</v>
      </c>
      <c r="Q33" s="210" cm="1">
        <f t="array" ref="Q33">Scope3_Equations.VEERG_15_11_1_1__2_UpstreamTransportFuelEmissions(L33,G33,K33)</f>
        <v>6.6778000000000004</v>
      </c>
    </row>
    <row r="34" spans="1:17" ht="20.100000000000001" customHeight="1" x14ac:dyDescent="0.25">
      <c r="A34" s="5" t="str">
        <f>HYPERLINK("#'5.2.1.1-2 Organic Fert N2O'!A1", "5.2.1.1-2 Organic fert N2O")</f>
        <v>5.2.1.1-2 Organic fert N2O</v>
      </c>
      <c r="D34" s="203" t="str">
        <f>Table_FuelTypesPerUse[[#Headers],[Aviation]]</f>
        <v>Aviation</v>
      </c>
      <c r="E34" s="204" t="str">
        <f>'Constants - Fuel'!$E$28</f>
        <v>Gasoline for use as fuel in an aircraft</v>
      </c>
      <c r="F34" s="204" t="str">
        <f>'Constants - Fuel'!$F$131</f>
        <v>Avgas</v>
      </c>
      <c r="G34" s="211" cm="1">
        <f t="array" ref="G34">IFERROR(_xlfn.XLOOKUP(1, (Table_Fuel_EFs_Transport[Fuel combusted]=$E34)*(Table_Fuel_EFs_Transport[Transport type]=$D$34), Table_Fuel_EFs_Transport[Energy Content Factor (GJ per unit of fuel)]), 0)</f>
        <v>33.1</v>
      </c>
      <c r="H34" s="211" cm="1">
        <f t="array" ref="H34">IFERROR(_xlfn.XLOOKUP(1, (Table_Fuel_EFs_Transport[Fuel combusted]=$E34)*(Table_Fuel_EFs_Transport[Transport type]=$D$34), Table_Fuel_EFs_Transport[Scope 1 Emission Factor (kg CO2 - e / GJ) CO2]), 0)</f>
        <v>67</v>
      </c>
      <c r="I34" s="211" cm="1">
        <f t="array" ref="I34">IFERROR(_xlfn.XLOOKUP(1, (Table_Fuel_EFs_Transport[Fuel combusted]=$E34)*(Table_Fuel_EFs_Transport[Transport type]=$D$34), Table_Fuel_EFs_Transport[Scope 1 Emission Factor (kg CO2 - e / GJ) CH4]), 0)</f>
        <v>0.06</v>
      </c>
      <c r="J34" s="211" cm="1">
        <f t="array" ref="J34">IFERROR(_xlfn.XLOOKUP(1, (Table_Fuel_EFs_Transport[Fuel combusted]=$E34)*(Table_Fuel_EFs_Transport[Transport type]=$D$34), Table_Fuel_EFs_Transport[Scope 1 Emission Factor (kg CO2 - e / GJ) N2O]), 0)</f>
        <v>0.6</v>
      </c>
      <c r="K34" s="211" cm="1">
        <f t="array" ref="K34">IFERROR(_xlfn.XLOOKUP(1, (Table_Fuel_EFs_Transport[Fuel combusted]=$E34)*(Table_Fuel_EFs_Transport[Transport type]=$D$25), Table_Fuel_EFs_Transport[Scope 3 Emission Factor (kg CO2 - e / GJ)]), 0)</f>
        <v>0</v>
      </c>
      <c r="L34" s="208" cm="1">
        <f t="array" ref="L34">Fuel_InputFunctions.Fuel_TotalConsumption(Table_Input_Fuel[Amount consumed], Table_Input_Fuel[Fuel use (select)], D34, Table_Input_Fuel[Fuel type (select)],F34)</f>
        <v>0</v>
      </c>
      <c r="M34" s="208" t="str" cm="1">
        <f t="array" ref="M34">Common_InputFunctions.Utility_LookupValueInTable(F34,Table_FuelTypes_Units[Fuel type],Table_FuelTypes_Units[Unit])</f>
        <v>kL</v>
      </c>
      <c r="N34" s="209" cm="1">
        <f t="array" ref="N34">Fuel_Equations.VEERG_8_1_1_1__1_FuelCombustionTransport($L34,$G34,$H34)</f>
        <v>0</v>
      </c>
      <c r="O34" s="209" cm="1">
        <f t="array" ref="O34">Fuel_Equations.VEERG_8_1_1_1__1_FuelCombustionTransport($L34,$G34,$I34)</f>
        <v>0</v>
      </c>
      <c r="P34" s="209" cm="1">
        <f t="array" ref="P34">Fuel_Equations.VEERG_8_1_1_1__1_FuelCombustionTransport($L34,$G34,$J34)</f>
        <v>0</v>
      </c>
      <c r="Q34" s="209" cm="1">
        <f t="array" ref="Q34">Scope3_Equations.VEERG_15_11_1_1__2_UpstreamTransportFuelEmissions(L34,G34,K34)</f>
        <v>0</v>
      </c>
    </row>
    <row r="35" spans="1:17" ht="20.100000000000001" customHeight="1" x14ac:dyDescent="0.25">
      <c r="A35" s="5" t="str">
        <f>HYPERLINK("#'5.3.1.1-2 Lime CO2'!A1", "5.3.1.1-2 Lime CO2")</f>
        <v>5.3.1.1-2 Lime CO2</v>
      </c>
      <c r="D35" s="200" t="str">
        <f>$D$34</f>
        <v>Aviation</v>
      </c>
      <c r="E35" s="198" t="str">
        <f>'Constants - Fuel'!$E$29</f>
        <v>Kerosene for use as fuel in an aircraft</v>
      </c>
      <c r="F35" s="198"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7" cm="1">
        <f t="array" ref="L35">Fuel_InputFunctions.Fuel_TotalConsumption(Table_Input_Fuel[Amount consumed], Table_Input_Fuel[Fuel use (select)], D35, Table_Input_Fuel[Fuel type (select)],F35)</f>
        <v>0</v>
      </c>
      <c r="M35" s="177" t="str" cm="1">
        <f t="array" ref="M35">Common_InputFunctions.Utility_LookupValueInTable(F35,Table_FuelTypes_Units[Fuel type],Table_FuelTypes_Units[Unit])</f>
        <v>kL</v>
      </c>
      <c r="N35" s="199" cm="1">
        <f t="array" ref="N35">Fuel_Equations.VEERG_8_1_1_1__1_FuelCombustionTransport($L35,$G35,$H35)</f>
        <v>0</v>
      </c>
      <c r="O35" s="199" cm="1">
        <f t="array" ref="O35">Fuel_Equations.VEERG_8_1_1_1__1_FuelCombustionTransport($L35,$G35,$I35)</f>
        <v>0</v>
      </c>
      <c r="P35" s="199" cm="1">
        <f t="array" ref="P35">Fuel_Equations.VEERG_8_1_1_1__1_FuelCombustionTransport($L35,$G35,$J35)</f>
        <v>0</v>
      </c>
      <c r="Q35" s="199" cm="1">
        <f t="array" ref="Q35">Scope3_Equations.VEERG_15_11_1_1__2_UpstreamTransportFuelEmissions(L35,G35,K35)</f>
        <v>0</v>
      </c>
    </row>
    <row r="36" spans="1:17" ht="20.100000000000001" customHeight="1" x14ac:dyDescent="0.25">
      <c r="A36" s="5" t="str">
        <f>HYPERLINK("#'5.4.1.1-4 Atmos deposition'!A1", "5.4.1.1-4 Atmos. deposition")</f>
        <v>5.4.1.1-4 Atmos. deposition</v>
      </c>
      <c r="D36" s="200" t="str">
        <f>$D$34</f>
        <v>Aviation</v>
      </c>
      <c r="E36" s="198" t="str">
        <f>'Constants - Fuel'!$E$30</f>
        <v>Renewable aviation kerosene</v>
      </c>
      <c r="F36" s="198" t="str">
        <f>'Constants - Fuel'!$F$133</f>
        <v>Renewable aviation kerosene</v>
      </c>
      <c r="G36" s="196" cm="1">
        <f t="array" ref="G36">IFERROR(_xlfn.XLOOKUP(1, (Table_Fuel_EFs_Transport[Fuel combusted]=$E36)*(Table_Fuel_EFs_Transport[Transport type]=$D$34), Table_Fuel_EFs_Transport[Energy Content Factor (GJ per unit of fuel)]), 0)</f>
        <v>36.799999999999997</v>
      </c>
      <c r="H36" s="196" cm="1">
        <f t="array" ref="H36">IFERROR(_xlfn.XLOOKUP(1, (Table_Fuel_EFs_Transport[Fuel combusted]=$E36)*(Table_Fuel_EFs_Transport[Transport type]=$D$34), Table_Fuel_EFs_Transport[Scope 1 Emission Factor (kg CO2 - e / GJ) CO2]), 0)</f>
        <v>0</v>
      </c>
      <c r="I36" s="196" cm="1">
        <f t="array" ref="I36">IFERROR(_xlfn.XLOOKUP(1, (Table_Fuel_EFs_Transport[Fuel combusted]=$E36)*(Table_Fuel_EFs_Transport[Transport type]=$D$34), Table_Fuel_EFs_Transport[Scope 1 Emission Factor (kg CO2 - e / GJ) CH4]), 0)</f>
        <v>0.01</v>
      </c>
      <c r="J36" s="196" cm="1">
        <f t="array" ref="J36">IFERROR(_xlfn.XLOOKUP(1, (Table_Fuel_EFs_Transport[Fuel combusted]=$E36)*(Table_Fuel_EFs_Transport[Transport type]=$D$34), Table_Fuel_EFs_Transport[Scope 1 Emission Factor (kg CO2 - e / GJ) N2O]), 0)</f>
        <v>0.6</v>
      </c>
      <c r="K36" s="196" cm="1">
        <f t="array" ref="K36">IFERROR(_xlfn.XLOOKUP(1, (Table_Fuel_EFs_Transport[Fuel combusted]=$E36)*(Table_Fuel_EFs_Transport[Transport type]=$D$25), Table_Fuel_EFs_Transport[Scope 3 Emission Factor (kg CO2 - e / GJ)]), 0)</f>
        <v>0</v>
      </c>
      <c r="L36" s="201" cm="1">
        <f t="array" ref="L36">Fuel_InputFunctions.Fuel_TotalConsumption(Table_Input_Fuel[Amount consumed], Table_Input_Fuel[Fuel use (select)], D36, Table_Input_Fuel[Fuel type (select)],F36)</f>
        <v>0</v>
      </c>
      <c r="M36" s="177" t="str" cm="1">
        <f t="array" ref="M36">Common_InputFunctions.Utility_LookupValueInTable(F36,Table_FuelTypes_Units[Fuel type],Table_FuelTypes_Units[Unit])</f>
        <v>kL</v>
      </c>
      <c r="N36" s="199" cm="1">
        <f t="array" ref="N36">Fuel_Equations.VEERG_8_1_1_1__1_FuelCombustionTransport($L36,$G36,$H36)</f>
        <v>0</v>
      </c>
      <c r="O36" s="199" cm="1">
        <f t="array" ref="O36">Fuel_Equations.VEERG_8_1_1_1__1_FuelCombustionTransport($L36,$G36,$I36)</f>
        <v>0</v>
      </c>
      <c r="P36" s="199" cm="1">
        <f t="array" ref="P36">Fuel_Equations.VEERG_8_1_1_1__1_FuelCombustionTransport($L36,$G36,$J36)</f>
        <v>0</v>
      </c>
      <c r="Q36" s="202" cm="1">
        <f t="array" ref="Q36">Scope3_Equations.VEERG_15_11_1_1__2_UpstreamTransportFuelEmissions(L36,G36,K36)</f>
        <v>0</v>
      </c>
    </row>
    <row r="37" spans="1:17" ht="20.100000000000001" customHeight="1" x14ac:dyDescent="0.25">
      <c r="A37" s="5" t="str">
        <f>HYPERLINK("#'5.5.1.1-2 Leaching and runoff'!A1", "5.5.1.1-2 Leaching &amp; runoff")</f>
        <v>5.5.1.1-2 Leaching &amp; runoff</v>
      </c>
      <c r="D37" s="203" t="str">
        <f>Table_FuelTypesPerUse[[#Headers],[Vessels]]</f>
        <v>Vessels</v>
      </c>
      <c r="E37" s="204" t="str">
        <f>'Constants - Fuel'!$E$10</f>
        <v>Gasoline</v>
      </c>
      <c r="F37" s="204" t="str">
        <f>'Constants - Fuel'!$I$131</f>
        <v>Petrol</v>
      </c>
      <c r="G37" s="211" cm="1">
        <f t="array" ref="G37">IFERROR(_xlfn.XLOOKUP(1, (Table_Fuel_EFs_Transport[Fuel combusted]=$E37)*(Table_Fuel_EFs_Transport[Transport type]=$D$37), Table_Fuel_EFs_Transport[Energy Content Factor (GJ per unit of fuel)]), 0)</f>
        <v>34.200000000000003</v>
      </c>
      <c r="H37" s="211" cm="1">
        <f t="array" ref="H37">IFERROR(_xlfn.XLOOKUP(1, (Table_Fuel_EFs_Transport[Fuel combusted]=$E37)*(Table_Fuel_EFs_Transport[Transport type]=$D$37), Table_Fuel_EFs_Transport[Scope 1 Emission Factor (kg CO2 - e / GJ) CO2]), 0)</f>
        <v>67.400000000000006</v>
      </c>
      <c r="I37" s="211" cm="1">
        <f t="array" ref="I37">IFERROR(_xlfn.XLOOKUP(1, (Table_Fuel_EFs_Transport[Fuel combusted]=$E37)*(Table_Fuel_EFs_Transport[Transport type]=$D$37), Table_Fuel_EFs_Transport[Scope 1 Emission Factor (kg CO2 - e / GJ) CH4]), 0)</f>
        <v>10.1</v>
      </c>
      <c r="J37" s="211" cm="1">
        <f t="array" ref="J37">IFERROR(_xlfn.XLOOKUP(1, (Table_Fuel_EFs_Transport[Fuel combusted]=$E37)*(Table_Fuel_EFs_Transport[Transport type]=$D$37), Table_Fuel_EFs_Transport[Scope 1 Emission Factor (kg CO2 - e / GJ) N2O]), 0)</f>
        <v>0.3</v>
      </c>
      <c r="K37" s="211" cm="1">
        <f t="array" ref="K37">IFERROR(_xlfn.XLOOKUP(1, (Table_Fuel_EFs_Transport[Fuel combusted]=$E37)*(Table_Fuel_EFs_Transport[Transport type]=$D$25), Table_Fuel_EFs_Transport[Scope 3 Emission Factor (kg CO2 - e / GJ)]), 0)</f>
        <v>17.2</v>
      </c>
      <c r="L37" s="208" cm="1">
        <f t="array" ref="L37">Fuel_InputFunctions.Fuel_TotalConsumption(Table_Input_Fuel[Amount consumed], Table_Input_Fuel[Fuel use (select)], D37, Table_Input_Fuel[Fuel type (select)],F37)</f>
        <v>0</v>
      </c>
      <c r="M37" s="212" t="str" cm="1">
        <f t="array" ref="M37">Common_InputFunctions.Utility_LookupValueInTable(F37,Table_FuelTypes_Units[Fuel type],Table_FuelTypes_Units[Unit])</f>
        <v>kL</v>
      </c>
      <c r="N37" s="209" cm="1">
        <f t="array" ref="N37">Fuel_Equations.VEERG_8_1_1_1__1_FuelCombustionTransport($L37,$G37,$H37)</f>
        <v>0</v>
      </c>
      <c r="O37" s="209" cm="1">
        <f t="array" ref="O37">Fuel_Equations.VEERG_8_1_1_1__1_FuelCombustionTransport($L37,$G37,$I37)</f>
        <v>0</v>
      </c>
      <c r="P37" s="209" cm="1">
        <f t="array" ref="P37">Fuel_Equations.VEERG_8_1_1_1__1_FuelCombustionTransport($L37,$G37,$J37)</f>
        <v>0</v>
      </c>
      <c r="Q37" s="209" cm="1">
        <f t="array" ref="Q37">Scope3_Equations.VEERG_15_11_1_1__2_UpstreamTransportFuelEmissions(L37,G37,K37)</f>
        <v>0</v>
      </c>
    </row>
    <row r="38" spans="1:17" ht="20.100000000000001" customHeight="1" x14ac:dyDescent="0.25">
      <c r="A38" s="5" t="str">
        <f>HYPERLINK("#'6.2.1.1-2 Pasture residue N2O'!A1", "6.2.1.1-2 Pasture residue N2O")</f>
        <v>6.2.1.1-2 Pasture residue N2O</v>
      </c>
      <c r="D38" s="200" t="str">
        <f>$D$37</f>
        <v>Vessels</v>
      </c>
      <c r="E38" s="198" t="str">
        <f>'Constants - Fuel'!$E$11</f>
        <v>Diesel oil</v>
      </c>
      <c r="F38" s="198"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7" cm="1">
        <f t="array" ref="L38">Fuel_InputFunctions.Fuel_TotalConsumption(Table_Input_Fuel[Amount consumed], Table_Input_Fuel[Fuel use (select)], D38, Table_Input_Fuel[Fuel type (select)],F38)</f>
        <v>0</v>
      </c>
      <c r="M38" s="177" t="str" cm="1">
        <f t="array" ref="M38">Common_InputFunctions.Utility_LookupValueInTable(F38,Table_FuelTypes_Units[Fuel type],Table_FuelTypes_Units[Unit])</f>
        <v>kL</v>
      </c>
      <c r="N38" s="199" cm="1">
        <f t="array" ref="N38">Fuel_Equations.VEERG_8_1_1_1__1_FuelCombustionTransport($L38,$G38,$H38)</f>
        <v>0</v>
      </c>
      <c r="O38" s="199" cm="1">
        <f t="array" ref="O38">Fuel_Equations.VEERG_8_1_1_1__1_FuelCombustionTransport($L38,$G38,$I38)</f>
        <v>0</v>
      </c>
      <c r="P38" s="199" cm="1">
        <f t="array" ref="P38">Fuel_Equations.VEERG_8_1_1_1__1_FuelCombustionTransport($L38,$G38,$J38)</f>
        <v>0</v>
      </c>
      <c r="Q38" s="199" cm="1">
        <f t="array" ref="Q38">Scope3_Equations.VEERG_15_11_1_1__2_UpstreamTransportFuelEmissions(L38,G38,K38)</f>
        <v>0</v>
      </c>
    </row>
    <row r="39" spans="1:17" ht="20.100000000000001" customHeight="1" x14ac:dyDescent="0.25">
      <c r="A39" s="5" t="str">
        <f>HYPERLINK("#'6.3.1.1-2 Leach runoff pasture'!A1", "6.3.1.1-2 Leach &amp; runoff (pasture)")</f>
        <v>6.3.1.1-2 Leach &amp; runoff (pasture)</v>
      </c>
      <c r="D39" s="200" t="str">
        <f>$D$37</f>
        <v>Vessels</v>
      </c>
      <c r="E39" s="198" t="str">
        <f>'Constants - Fuel'!E33</f>
        <v>Fuel Oil</v>
      </c>
      <c r="F39" s="198"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7" cm="1">
        <f t="array" ref="L39">Fuel_InputFunctions.Fuel_TotalConsumption(Table_Input_Fuel[Amount consumed], Table_Input_Fuel[Fuel use (select)], D39, Table_Input_Fuel[Fuel type (select)],F39)</f>
        <v>10</v>
      </c>
      <c r="M39" s="177" t="str" cm="1">
        <f t="array" ref="M39">Common_InputFunctions.Utility_LookupValueInTable(F39,Table_FuelTypes_Units[Fuel type],Table_FuelTypes_Units[Unit])</f>
        <v>kL</v>
      </c>
      <c r="N39" s="199" cm="1">
        <f t="array" ref="N39">Fuel_Equations.VEERG_8_1_1_1__1_FuelCombustionTransport($L39,$G39,$H39)</f>
        <v>29.219199999999997</v>
      </c>
      <c r="O39" s="199" cm="1">
        <f t="array" ref="O39">Fuel_Equations.VEERG_8_1_1_1__1_FuelCombustionTransport($L39,$G39,$I39)</f>
        <v>7.9400000000000012E-2</v>
      </c>
      <c r="P39" s="199" cm="1">
        <f t="array" ref="P39">Fuel_Equations.VEERG_8_1_1_1__1_FuelCombustionTransport($L39,$G39,$J39)</f>
        <v>0.19850000000000001</v>
      </c>
      <c r="Q39" s="199" cm="1">
        <f t="array" ref="Q39">Scope3_Equations.VEERG_15_11_1_1__2_UpstreamTransportFuelEmissions(L39,G39,K39)</f>
        <v>7.1459999999999999</v>
      </c>
    </row>
    <row r="40" spans="1:17" ht="20.100000000000001" customHeight="1" x14ac:dyDescent="0.25">
      <c r="A40" s="101" t="str">
        <f>HYPERLINK("#'8.1.1.1-2 Transport fuel'!A1", "8.1.1.1-2 Transport fuel")</f>
        <v>8.1.1.1-2 Transport fuel</v>
      </c>
      <c r="H40" s="173"/>
      <c r="I40" s="173"/>
      <c r="J40" s="173"/>
      <c r="L40" s="173"/>
      <c r="M40" s="173"/>
      <c r="N40" s="173"/>
      <c r="O40" s="173"/>
      <c r="P40" s="173"/>
      <c r="Q40" s="173"/>
    </row>
    <row r="41" spans="1:17" ht="20.100000000000001" customHeight="1" x14ac:dyDescent="0.25">
      <c r="A41" s="5" t="str">
        <f>HYPERLINK("#'8.2.1.1-2 Stationary fuel'!A1", "8.2.1.1-2 Stationary fuel")</f>
        <v>8.2.1.1-2 Stationary fuel</v>
      </c>
      <c r="H41" s="173"/>
      <c r="I41" s="173"/>
      <c r="J41" s="173"/>
      <c r="L41" s="173"/>
      <c r="M41" s="173"/>
      <c r="N41" s="173"/>
      <c r="O41" s="173"/>
      <c r="P41" s="173"/>
      <c r="Q41" s="173"/>
    </row>
    <row r="42" spans="1:17" ht="20.100000000000001" customHeight="1" x14ac:dyDescent="0.25">
      <c r="A42" s="5" t="str">
        <f>HYPERLINK("#'14.1.1-2 Purchased electricity'!A1", "14.1.1-2 Purchased electricity")</f>
        <v>14.1.1-2 Purchased electricity</v>
      </c>
      <c r="D42" s="213" t="str">
        <f>"Total scope 1 - " &amp; D25</f>
        <v>Total scope 1 - Cars and light commercial vehicles</v>
      </c>
      <c r="E42" s="214"/>
      <c r="F42" s="215"/>
    </row>
    <row r="43" spans="1:17" ht="20.100000000000001" customHeight="1" x14ac:dyDescent="0.25">
      <c r="A43" s="5" t="str">
        <f>HYPERLINK("#'15 Scope 3'!A1", "15 Scope 3")</f>
        <v>15 Scope 3</v>
      </c>
      <c r="D43" s="35" t="s">
        <v>738</v>
      </c>
      <c r="E43" s="216">
        <f>SUM(N25:N32)</f>
        <v>26.981400000000001</v>
      </c>
      <c r="F43" s="26" t="str">
        <f>$E$12</f>
        <v>t CO2-e</v>
      </c>
    </row>
    <row r="44" spans="1:17" ht="20.100000000000001" customHeight="1" x14ac:dyDescent="0.25">
      <c r="A44" s="5" t="str">
        <f>HYPERLINK("#'Calcs - Manure sent off-site'!A1", "Calcs - Manure sent off-site")</f>
        <v>Calcs - Manure sent off-site</v>
      </c>
      <c r="D44" s="35" t="s">
        <v>739</v>
      </c>
      <c r="E44" s="216">
        <f>SUM(O25:O32)</f>
        <v>3.8600000000000001E-3</v>
      </c>
      <c r="F44" s="26" t="str">
        <f t="shared" ref="F44:F46" si="1">$E$12</f>
        <v>t CO2-e</v>
      </c>
    </row>
    <row r="45" spans="1:17" ht="20.100000000000001" customHeight="1" x14ac:dyDescent="0.25">
      <c r="A45" s="5" t="str">
        <f>HYPERLINK("#'10.1.1-2 Solid waste treatment'!A1", "10.1.1-2 Solid waste treatment")</f>
        <v>10.1.1-2 Solid waste treatment</v>
      </c>
      <c r="D45" s="35" t="s">
        <v>740</v>
      </c>
      <c r="E45" s="216">
        <f>SUM(P25:P32)</f>
        <v>0.193</v>
      </c>
      <c r="F45" s="26" t="str">
        <f t="shared" si="1"/>
        <v>t CO2-e</v>
      </c>
    </row>
    <row r="46" spans="1:17" ht="20.100000000000001" customHeight="1" x14ac:dyDescent="0.25">
      <c r="D46" s="35" t="s">
        <v>741</v>
      </c>
      <c r="E46" s="216">
        <f>SUM(Q25:Q32)</f>
        <v>6.6778000000000004</v>
      </c>
      <c r="F46" s="26" t="str">
        <f t="shared" si="1"/>
        <v>t CO2-e</v>
      </c>
    </row>
    <row r="47" spans="1:17" ht="20.100000000000001" customHeight="1" x14ac:dyDescent="0.25">
      <c r="D47" s="173"/>
      <c r="E47" s="173"/>
      <c r="F47" s="173"/>
    </row>
    <row r="48" spans="1:17" ht="20.100000000000001" customHeight="1" x14ac:dyDescent="0.25">
      <c r="A48" s="96" t="s">
        <v>1</v>
      </c>
      <c r="D48" s="213" t="str">
        <f>"Total scope 1 - " &amp; D33</f>
        <v>Total scope 1 - Off-road Agriculture and forestry equipment</v>
      </c>
      <c r="E48" s="217"/>
      <c r="F48" s="215"/>
      <c r="H48" s="173"/>
      <c r="I48" s="173"/>
      <c r="J48" s="173"/>
      <c r="L48" s="173"/>
      <c r="M48" s="173"/>
      <c r="N48" s="173"/>
      <c r="O48" s="173"/>
      <c r="P48" s="173"/>
      <c r="Q48" s="173"/>
    </row>
    <row r="49" spans="1:17" ht="20.100000000000001" customHeight="1" x14ac:dyDescent="0.25">
      <c r="A49" s="5" t="str">
        <f>HYPERLINK("#'Constants - Pasture Beef'!A1", "Constants - Pasture Beef")</f>
        <v>Constants - Pasture Beef</v>
      </c>
      <c r="D49" s="35" t="s">
        <v>738</v>
      </c>
      <c r="E49" s="216">
        <f>SUM(N33:N33)</f>
        <v>26.981400000000001</v>
      </c>
      <c r="F49" s="26" t="str">
        <f t="shared" ref="F49:F52" si="2">$E$12</f>
        <v>t CO2-e</v>
      </c>
      <c r="H49" s="173"/>
      <c r="I49" s="173"/>
      <c r="J49" s="173"/>
      <c r="L49" s="173"/>
      <c r="M49" s="173"/>
      <c r="N49" s="173"/>
      <c r="O49" s="173"/>
      <c r="P49" s="173"/>
      <c r="Q49" s="173"/>
    </row>
    <row r="50" spans="1:17" ht="20.100000000000001" customHeight="1" x14ac:dyDescent="0.25">
      <c r="A50" s="5" t="str">
        <f>HYPERLINK("#'Constants - Ag Residue'!A1", "Constants - Ag residue")</f>
        <v>Constants - Ag residue</v>
      </c>
      <c r="D50" s="35" t="s">
        <v>739</v>
      </c>
      <c r="E50" s="216">
        <f>SUM(O33:O33)</f>
        <v>0.1158</v>
      </c>
      <c r="F50" s="26" t="str">
        <f t="shared" si="2"/>
        <v>t CO2-e</v>
      </c>
      <c r="H50" s="173"/>
      <c r="I50" s="173"/>
      <c r="J50" s="173"/>
      <c r="L50" s="173"/>
      <c r="M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SUM(P33:P33)</f>
        <v>0.193</v>
      </c>
      <c r="F51" s="26" t="str">
        <f t="shared" si="2"/>
        <v>t CO2-e</v>
      </c>
      <c r="H51" s="173"/>
      <c r="I51" s="173"/>
      <c r="J51" s="173"/>
      <c r="L51" s="173"/>
      <c r="M51" s="173"/>
      <c r="N51" s="173"/>
      <c r="O51" s="173"/>
      <c r="P51" s="173"/>
      <c r="Q51" s="173"/>
    </row>
    <row r="52" spans="1:17" ht="20.100000000000001" customHeight="1" x14ac:dyDescent="0.25">
      <c r="A52" s="5" t="str">
        <f>HYPERLINK("#'Constants - Electricity'!A1", "Constants - Electricity")</f>
        <v>Constants - Electricity</v>
      </c>
      <c r="D52" s="35" t="s">
        <v>741</v>
      </c>
      <c r="E52" s="216">
        <f>SUM(Q33)</f>
        <v>6.6778000000000004</v>
      </c>
      <c r="F52" s="26" t="str">
        <f t="shared" si="2"/>
        <v>t CO2-e</v>
      </c>
      <c r="H52" s="173"/>
      <c r="I52" s="173"/>
      <c r="J52" s="173"/>
      <c r="L52" s="173"/>
      <c r="M52" s="173"/>
      <c r="N52" s="173"/>
      <c r="O52" s="173"/>
      <c r="P52" s="173"/>
      <c r="Q52" s="173"/>
    </row>
    <row r="53" spans="1:17" ht="20.100000000000001" customHeight="1" x14ac:dyDescent="0.25">
      <c r="A53" s="5" t="str">
        <f>HYPERLINK("#'Constants - Fertiliser'!A1", "Constants - Fertiliser")</f>
        <v>Constants - Fertiliser</v>
      </c>
      <c r="D53" s="173"/>
      <c r="E53" s="218"/>
      <c r="F53" s="173"/>
      <c r="G53" s="173"/>
      <c r="H53" s="173"/>
      <c r="I53" s="173"/>
      <c r="J53" s="173"/>
      <c r="L53" s="173"/>
      <c r="M53" s="173"/>
      <c r="N53" s="173"/>
      <c r="O53" s="173"/>
      <c r="P53" s="173"/>
      <c r="Q53" s="173"/>
    </row>
    <row r="54" spans="1:17" ht="20.100000000000001" customHeight="1" x14ac:dyDescent="0.25">
      <c r="A54" s="5" t="str">
        <f>HYPERLINK("#'Constants - Fuel'!A1", "Constants - Fuel")</f>
        <v>Constants - Fuel</v>
      </c>
      <c r="D54" s="213" t="str">
        <f>"Total scope 1 - " &amp; D34</f>
        <v>Total scope 1 - Aviation</v>
      </c>
      <c r="E54" s="217"/>
      <c r="F54" s="215"/>
      <c r="G54" s="173"/>
      <c r="H54" s="173"/>
      <c r="I54" s="173"/>
      <c r="J54" s="173"/>
      <c r="L54" s="173"/>
      <c r="M54" s="173"/>
      <c r="N54" s="173"/>
      <c r="O54" s="173"/>
      <c r="P54" s="173"/>
      <c r="Q54" s="173"/>
    </row>
    <row r="55" spans="1:17" ht="20.100000000000001" customHeight="1" x14ac:dyDescent="0.25">
      <c r="A55" s="5" t="str">
        <f>HYPERLINK("#'Constants - Scope 3'!A1", "Constants - Scope 3")</f>
        <v>Constants - Scope 3</v>
      </c>
      <c r="D55" s="35" t="s">
        <v>738</v>
      </c>
      <c r="E55" s="216">
        <f>SUM(N34:N36)</f>
        <v>0</v>
      </c>
      <c r="F55" s="26" t="str">
        <f t="shared" ref="F55:F58" si="3">$E$12</f>
        <v>t CO2-e</v>
      </c>
      <c r="G55" s="173"/>
      <c r="H55" s="173"/>
      <c r="I55" s="173"/>
      <c r="J55" s="173"/>
      <c r="L55" s="173"/>
      <c r="M55" s="173"/>
      <c r="N55" s="173"/>
      <c r="O55" s="173"/>
      <c r="P55" s="173"/>
      <c r="Q55" s="173"/>
    </row>
    <row r="56" spans="1:17" ht="20.100000000000001" customHeight="1" x14ac:dyDescent="0.25">
      <c r="A56" s="5" t="str">
        <f>HYPERLINK("#'Constants - Common'!A1", "Constants - Common")</f>
        <v>Constants - Common</v>
      </c>
      <c r="D56" s="35" t="s">
        <v>739</v>
      </c>
      <c r="E56" s="216">
        <f>SUM(O34:O36)</f>
        <v>0</v>
      </c>
      <c r="F56" s="26" t="str">
        <f t="shared" si="3"/>
        <v>t CO2-e</v>
      </c>
      <c r="G56" s="173"/>
      <c r="H56" s="173"/>
      <c r="I56" s="173"/>
      <c r="J56" s="173"/>
      <c r="L56" s="173"/>
      <c r="M56" s="173"/>
      <c r="N56" s="173"/>
      <c r="O56" s="173"/>
      <c r="P56" s="173"/>
      <c r="Q56" s="173"/>
    </row>
    <row r="57" spans="1:17" ht="20.100000000000001" customHeight="1" x14ac:dyDescent="0.25">
      <c r="A57" s="5" t="str">
        <f>HYPERLINK("#'Acknowledgements'!A1", "Acknowledgements")</f>
        <v>Acknowledgements</v>
      </c>
      <c r="D57" s="35" t="s">
        <v>740</v>
      </c>
      <c r="E57" s="216">
        <f>SUM(P34:P36)</f>
        <v>0</v>
      </c>
      <c r="F57" s="26" t="str">
        <f t="shared" si="3"/>
        <v>t CO2-e</v>
      </c>
      <c r="G57" s="173"/>
      <c r="H57" s="173"/>
      <c r="I57" s="173"/>
      <c r="J57" s="173"/>
      <c r="L57" s="173"/>
      <c r="M57" s="173"/>
      <c r="N57" s="173"/>
      <c r="O57" s="173"/>
      <c r="P57" s="173"/>
      <c r="Q57" s="173"/>
    </row>
    <row r="58" spans="1:17" ht="20.100000000000001" customHeight="1" x14ac:dyDescent="0.25">
      <c r="A58" s="5" t="str">
        <f>HYPERLINK("#'Constants - Solid Waste'!A1", "Constants - Solid Waste")</f>
        <v>Constants - Solid Waste</v>
      </c>
      <c r="D58" s="35" t="s">
        <v>741</v>
      </c>
      <c r="E58" s="216">
        <f>SUM(Q34:Q36)</f>
        <v>0</v>
      </c>
      <c r="F58" s="26" t="str">
        <f t="shared" si="3"/>
        <v>t CO2-e</v>
      </c>
      <c r="G58" s="173"/>
      <c r="H58" s="173"/>
      <c r="I58" s="173"/>
      <c r="J58" s="173"/>
      <c r="L58" s="173"/>
      <c r="M58" s="173"/>
      <c r="N58" s="173"/>
      <c r="O58" s="173"/>
      <c r="P58" s="173"/>
      <c r="Q58" s="173"/>
    </row>
    <row r="59" spans="1:17" ht="20.100000000000001" customHeight="1" x14ac:dyDescent="0.25">
      <c r="D59" s="173"/>
      <c r="E59" s="218"/>
      <c r="F59" s="173"/>
      <c r="G59" s="173"/>
      <c r="H59" s="173"/>
      <c r="I59" s="173"/>
      <c r="J59" s="173"/>
      <c r="L59" s="173"/>
      <c r="M59" s="173"/>
      <c r="N59" s="173"/>
      <c r="O59" s="173"/>
      <c r="P59" s="173"/>
      <c r="Q59" s="173"/>
    </row>
    <row r="60" spans="1:17" ht="20.100000000000001" customHeight="1" x14ac:dyDescent="0.25">
      <c r="D60" s="213" t="str">
        <f>"Total scope 1 - " &amp; D37</f>
        <v>Total scope 1 - Vessels</v>
      </c>
      <c r="E60" s="217"/>
      <c r="F60" s="215"/>
      <c r="G60" s="173"/>
      <c r="H60" s="173"/>
      <c r="I60" s="173"/>
      <c r="J60" s="173"/>
      <c r="L60" s="173"/>
      <c r="M60" s="173"/>
      <c r="N60" s="173"/>
      <c r="O60" s="173"/>
      <c r="P60" s="173"/>
      <c r="Q60" s="173"/>
    </row>
    <row r="61" spans="1:17" ht="20.100000000000001" customHeight="1" x14ac:dyDescent="0.25">
      <c r="D61" s="35" t="s">
        <v>738</v>
      </c>
      <c r="E61" s="216">
        <f>SUM(N37:N39)</f>
        <v>29.219199999999997</v>
      </c>
      <c r="F61" s="26" t="str">
        <f t="shared" ref="F61:F64" si="4">$E$12</f>
        <v>t CO2-e</v>
      </c>
      <c r="G61" s="173"/>
      <c r="H61" s="173"/>
      <c r="I61" s="173"/>
      <c r="J61" s="173"/>
      <c r="L61" s="173"/>
      <c r="M61" s="173"/>
      <c r="N61" s="173"/>
      <c r="O61" s="173"/>
      <c r="P61" s="173"/>
      <c r="Q61" s="173"/>
    </row>
    <row r="62" spans="1:17" ht="20.100000000000001" customHeight="1" x14ac:dyDescent="0.25">
      <c r="D62" s="35" t="s">
        <v>739</v>
      </c>
      <c r="E62" s="216">
        <f>SUM(O37:O39)</f>
        <v>7.9400000000000012E-2</v>
      </c>
      <c r="F62" s="26" t="str">
        <f t="shared" si="4"/>
        <v>t CO2-e</v>
      </c>
      <c r="G62" s="173"/>
      <c r="H62" s="173"/>
      <c r="I62" s="173"/>
      <c r="J62" s="173"/>
      <c r="L62" s="173"/>
      <c r="M62" s="173"/>
      <c r="N62" s="173"/>
      <c r="O62" s="173"/>
      <c r="P62" s="173"/>
      <c r="Q62" s="173"/>
    </row>
    <row r="63" spans="1:17" ht="20.100000000000001" customHeight="1" x14ac:dyDescent="0.25">
      <c r="D63" s="35" t="s">
        <v>740</v>
      </c>
      <c r="E63" s="216">
        <f>SUM(P37:P39)</f>
        <v>0.19850000000000001</v>
      </c>
      <c r="F63" s="26" t="str">
        <f t="shared" si="4"/>
        <v>t CO2-e</v>
      </c>
      <c r="G63" s="173"/>
      <c r="H63" s="173"/>
      <c r="I63" s="173"/>
      <c r="J63" s="173"/>
      <c r="L63" s="173"/>
      <c r="M63" s="173"/>
      <c r="N63" s="173"/>
      <c r="O63" s="173"/>
      <c r="P63" s="173"/>
      <c r="Q63" s="173"/>
    </row>
    <row r="64" spans="1:17" ht="20.100000000000001" customHeight="1" x14ac:dyDescent="0.25">
      <c r="D64" s="35" t="s">
        <v>741</v>
      </c>
      <c r="E64" s="216">
        <f>SUM(Q37:Q39)</f>
        <v>7.1459999999999999</v>
      </c>
      <c r="F64" s="26" t="str">
        <f t="shared" si="4"/>
        <v>t CO2-e</v>
      </c>
      <c r="G64" s="173"/>
      <c r="H64" s="173"/>
      <c r="I64" s="173"/>
      <c r="J64" s="173"/>
      <c r="L64" s="173"/>
      <c r="M64" s="173"/>
      <c r="N64" s="173"/>
      <c r="O64" s="173"/>
      <c r="P64" s="173"/>
      <c r="Q64" s="173"/>
    </row>
    <row r="65" spans="4:17" ht="20.100000000000001" customHeight="1" x14ac:dyDescent="0.25">
      <c r="G65" s="173"/>
      <c r="H65" s="173"/>
      <c r="I65" s="173"/>
      <c r="J65" s="173"/>
      <c r="L65" s="173"/>
      <c r="M65" s="173"/>
      <c r="N65" s="173"/>
      <c r="O65" s="173"/>
      <c r="P65" s="173"/>
      <c r="Q65" s="173"/>
    </row>
    <row r="66" spans="4:17" ht="20.100000000000001" customHeight="1" x14ac:dyDescent="0.25">
      <c r="D66" s="213" t="s">
        <v>742</v>
      </c>
      <c r="E66" s="219"/>
      <c r="F66" s="215"/>
      <c r="G66" s="173"/>
      <c r="H66" s="173"/>
      <c r="I66" s="173"/>
      <c r="J66" s="173"/>
      <c r="L66" s="173"/>
      <c r="M66" s="173"/>
      <c r="N66" s="173"/>
      <c r="O66" s="173"/>
      <c r="P66" s="173"/>
      <c r="Q66" s="173"/>
    </row>
    <row r="67" spans="4:17" ht="20.100000000000001" customHeight="1" x14ac:dyDescent="0.25">
      <c r="D67" s="35" t="s">
        <v>738</v>
      </c>
      <c r="E67" s="216">
        <f>E43+E49+E55+E61</f>
        <v>83.182000000000002</v>
      </c>
      <c r="F67" s="26" t="str">
        <f t="shared" ref="F67:F70" si="5">$E$12</f>
        <v>t CO2-e</v>
      </c>
      <c r="G67" s="173"/>
    </row>
    <row r="68" spans="4:17" ht="20.100000000000001" customHeight="1" x14ac:dyDescent="0.25">
      <c r="D68" s="35" t="s">
        <v>739</v>
      </c>
      <c r="E68" s="216">
        <f t="shared" ref="E68:E70" si="6">E44+E50+E56+E62</f>
        <v>0.19906000000000001</v>
      </c>
      <c r="F68" s="26" t="str">
        <f t="shared" si="5"/>
        <v>t CO2-e</v>
      </c>
      <c r="G68" s="173"/>
    </row>
    <row r="69" spans="4:17" ht="20.100000000000001" customHeight="1" x14ac:dyDescent="0.25">
      <c r="D69" s="35" t="s">
        <v>740</v>
      </c>
      <c r="E69" s="216">
        <f t="shared" si="6"/>
        <v>0.58450000000000002</v>
      </c>
      <c r="F69" s="26" t="str">
        <f t="shared" si="5"/>
        <v>t CO2-e</v>
      </c>
      <c r="G69" s="173"/>
    </row>
    <row r="70" spans="4:17" ht="20.100000000000001" customHeight="1" x14ac:dyDescent="0.25">
      <c r="D70" s="35" t="s">
        <v>741</v>
      </c>
      <c r="E70" s="216">
        <f t="shared" si="6"/>
        <v>20.5016</v>
      </c>
      <c r="F70" s="26" t="str">
        <f t="shared" si="5"/>
        <v>t CO2-e</v>
      </c>
      <c r="G70" s="173"/>
    </row>
    <row r="71" spans="4:17" ht="20.100000000000001" customHeight="1" x14ac:dyDescent="0.25">
      <c r="G71" s="173"/>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25178CC1-2A71-46E8-8C4F-F728E15452AC}"/>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BF0FA-BF00-4CCE-8614-C3C48AD39BC4}">
  <dimension ref="A1:R165"/>
  <sheetViews>
    <sheetView showGridLines="0" topLeftCell="A33"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743</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3"/>
      <c r="P5" s="173"/>
      <c r="Q5" s="173"/>
      <c r="R5" s="173"/>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3"/>
      <c r="P6" s="173"/>
      <c r="Q6" s="173"/>
      <c r="R6" s="173"/>
    </row>
    <row r="7" spans="1:18" ht="20.100000000000001" customHeight="1" x14ac:dyDescent="0.25">
      <c r="D7" s="100" t="s">
        <v>259</v>
      </c>
      <c r="E7" s="10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3"/>
      <c r="P7" s="173"/>
      <c r="Q7" s="173"/>
      <c r="R7" s="173"/>
    </row>
    <row r="8" spans="1:18" ht="20.100000000000001" customHeight="1" x14ac:dyDescent="0.25">
      <c r="A8" s="7" t="s">
        <v>0</v>
      </c>
      <c r="K8" s="100" t="s">
        <v>259</v>
      </c>
      <c r="L8" s="100" t="str" cm="1">
        <f t="array" aca="1" ref="L8" ca="1">Common_InputFunctions.Utility_DisplayFunctionName(Q25)</f>
        <v>=Fuel_Equations.VEERG_8_2_1_1__1_FuelCombustionStationary</v>
      </c>
      <c r="O8" s="173"/>
      <c r="P8" s="173"/>
      <c r="Q8" s="173"/>
      <c r="R8" s="173"/>
    </row>
    <row r="9" spans="1:18" ht="20.100000000000001" customHeight="1" x14ac:dyDescent="0.25">
      <c r="A9" s="5" t="str">
        <f>HYPERLINK("#'Input - Enterprise'!A1", "Enterprise")</f>
        <v>Enterprise</v>
      </c>
      <c r="G9" s="27"/>
      <c r="O9" s="173"/>
      <c r="P9" s="173"/>
      <c r="Q9" s="173"/>
      <c r="R9" s="173"/>
    </row>
    <row r="10" spans="1:18" ht="20.100000000000001" customHeight="1" x14ac:dyDescent="0.25">
      <c r="A10" s="5" t="str">
        <f>HYPERLINK("#'Input - Site'!A1", "Site")</f>
        <v>Site</v>
      </c>
      <c r="O10" s="173"/>
      <c r="P10" s="173"/>
      <c r="Q10" s="173"/>
      <c r="R10" s="173"/>
    </row>
    <row r="11" spans="1:18" ht="20.100000000000001" customHeight="1" x14ac:dyDescent="0.25">
      <c r="A11" s="5" t="str">
        <f>HYPERLINK("#'Input - Pasture Beef'!A1", "Pasture Beef")</f>
        <v>Pasture Beef</v>
      </c>
      <c r="D11" s="88" t="s">
        <v>261</v>
      </c>
      <c r="E11" s="1" t="str" cm="1">
        <f t="array" ref="E11">Fuel_Equations.VEERG_8_2_1_1__1_FuelCombustionStationary_Variable()</f>
        <v>E_g</v>
      </c>
      <c r="K11" s="88" t="s">
        <v>261</v>
      </c>
      <c r="L11" s="1" t="str" cm="1">
        <f t="array" ref="L11">Scope3_Equations.VEERG_15_11_1_1__3_UpstreamStationaryFuelEmissions_Variable()</f>
        <v>E_WTTSCq</v>
      </c>
      <c r="O11" s="173"/>
      <c r="P11" s="173"/>
      <c r="Q11" s="173"/>
      <c r="R11" s="173"/>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_xlfn.CHOOSECOLS(Fuel_Equations.VEERG_8_2_1_1__1_FuelCombustionStationary_Arguments(), 1,2)</f>
        <v>Q_SCq</v>
      </c>
      <c r="E14" s="103" t="str">
        <v>Amount of fuel type q used for stationary combustion operations</v>
      </c>
      <c r="F14" s="105"/>
      <c r="G14" s="102" t="str" cm="1">
        <f t="array" ref="G14:H20">_xlfn.CHOOSECOLS(Fuel_Equations.VEERG_8_2_1_1__1_FuelCombustionStationary_Arguments(), 3,4)</f>
        <v>Varies based on fuel type: kL, m3, GJ</v>
      </c>
      <c r="H14" s="106" t="str">
        <v>Input</v>
      </c>
      <c r="I14" s="108" t="str" cm="1">
        <f t="array" aca="1" ref="I14" ca="1">HYPERLINK(Common_InputFunctions.Utility_SourceHyperlink($D$22), $D$22)</f>
        <v>Table_E_g</v>
      </c>
      <c r="K14" s="102" t="str" cm="1">
        <f t="array" ref="K14:L18">_xlfn.CHOOSECOLS(Scope3_Equations.VEERG_15_11_1_1__3_UpstreamStationaryFuelEmissions_Arguments(),1,2)</f>
        <v>Q_SCq</v>
      </c>
      <c r="L14" s="102" t="str">
        <v>amount of fuel q used for stationary combustion operations</v>
      </c>
      <c r="M14" s="102"/>
      <c r="N14" s="102" t="str" cm="1">
        <f t="array" ref="N14:O18">_xlfn.CHOOSECOLS(Scope3_Equations.VEERG_15_11_1_1__3_UpstreamStationaryFuelEmissions_Arguments(),3,4)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EC_SCq</v>
      </c>
      <c r="E15" s="103" t="str">
        <v>Energy content factor for stationary combustion operations</v>
      </c>
      <c r="F15" s="105"/>
      <c r="G15" s="102" t="str">
        <v>GJ / unit of fuel</v>
      </c>
      <c r="H15" s="107" t="str">
        <v>Constant</v>
      </c>
      <c r="I15" s="108" t="str" cm="1">
        <f t="array" aca="1" ref="I15" ca="1">HYPERLINK(Common_InputFunctions.Utility_SourceHyperlink($D$22), $D$22)</f>
        <v>Table_E_g</v>
      </c>
      <c r="K15" s="102" t="str">
        <v>EC_SCq</v>
      </c>
      <c r="L15" s="102" t="str">
        <v>energy content factor for stationary combustion operations</v>
      </c>
      <c r="M15" s="102"/>
      <c r="N15" s="102" t="str">
        <v>GJ/kL</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EF_SC1qg</v>
      </c>
      <c r="E16" s="103" t="str">
        <v>Scope 1 emission factor for stationary combustion for each greenhouse gas</v>
      </c>
      <c r="F16" s="105"/>
      <c r="G16" s="102" t="str">
        <v>kg CO2e / GJ</v>
      </c>
      <c r="H16" s="107" t="str">
        <v>Constant</v>
      </c>
      <c r="I16" s="108" t="str" cm="1">
        <f t="array" aca="1" ref="I16" ca="1">HYPERLINK(Common_InputFunctions.Utility_SourceHyperlink($D$22), $D$22)</f>
        <v>Table_E_g</v>
      </c>
      <c r="K16" s="102" t="str">
        <v>EF_SC3q</v>
      </c>
      <c r="L16" s="102" t="str">
        <v>scope 3 emission factor for stationary combustion operations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K17" s="102" t="str">
        <v>i</v>
      </c>
      <c r="L17" s="103" t="str">
        <v>state</v>
      </c>
      <c r="M17" s="105"/>
      <c r="N17" s="102" t="str">
        <v/>
      </c>
      <c r="O17" s="106" t="str">
        <v>Input</v>
      </c>
      <c r="P17" s="102" t="str">
        <f>X_Cell_Site_State</f>
        <v>Western Australia</v>
      </c>
      <c r="Q17" s="173"/>
    </row>
    <row r="18" spans="1:17" ht="20.100000000000001" customHeight="1" x14ac:dyDescent="0.25">
      <c r="A18" s="5" t="str">
        <f>HYPERLINK("#'Input - Fuel'!A1", "Fuel")</f>
        <v>Fuel</v>
      </c>
      <c r="D18" s="102" t="str">
        <v>SC</v>
      </c>
      <c r="E18" s="103" t="str">
        <v>Stationary combustion</v>
      </c>
      <c r="F18" s="105"/>
      <c r="G18" s="102" t="str">
        <v/>
      </c>
      <c r="H18" s="107" t="str">
        <v>Constant</v>
      </c>
      <c r="I18" s="108"/>
      <c r="J18" s="173"/>
      <c r="K18" s="102" t="str">
        <v>m</v>
      </c>
      <c r="L18" s="103" t="str">
        <v>metropolitan/non-metropolitan location</v>
      </c>
      <c r="M18" s="105"/>
      <c r="N18" s="102" t="str">
        <v/>
      </c>
      <c r="O18" s="106" t="str">
        <v>Input</v>
      </c>
      <c r="P18" s="102" t="str">
        <f>X_Cell_Fuel_IsMetroLocation</f>
        <v>Metro</v>
      </c>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744</v>
      </c>
    </row>
    <row r="24" spans="1:17" ht="20.100000000000001" customHeight="1" x14ac:dyDescent="0.25">
      <c r="D24" s="111" t="s">
        <v>724</v>
      </c>
      <c r="E24" s="111" t="s">
        <v>725</v>
      </c>
      <c r="F24" s="111" t="s">
        <v>726</v>
      </c>
      <c r="G24" s="111" t="s">
        <v>745</v>
      </c>
      <c r="H24" s="111" t="s">
        <v>746</v>
      </c>
      <c r="I24" s="111" t="s">
        <v>747</v>
      </c>
      <c r="J24" s="111" t="s">
        <v>748</v>
      </c>
      <c r="K24" s="111" t="s">
        <v>749</v>
      </c>
      <c r="L24" s="112" t="s">
        <v>750</v>
      </c>
      <c r="M24" s="111" t="s">
        <v>733</v>
      </c>
      <c r="N24" s="111" t="s">
        <v>734</v>
      </c>
      <c r="O24" s="111" t="s">
        <v>735</v>
      </c>
      <c r="P24" s="111" t="s">
        <v>736</v>
      </c>
      <c r="Q24" s="111" t="s">
        <v>751</v>
      </c>
    </row>
    <row r="25" spans="1:17" ht="20.100000000000001" customHeight="1" x14ac:dyDescent="0.25">
      <c r="D25" s="35" t="str">
        <f>Table_FuelTypesPerUse[[#Headers],[Generators]]</f>
        <v>Generators</v>
      </c>
      <c r="E25" s="198" t="str">
        <f>'Constants - Fuel'!$D$58</f>
        <v>Automotive gasoline / petrol (other than for use as fuel in an aircraft)</v>
      </c>
      <c r="F25" s="198"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220" cm="1">
        <f t="array" ref="N25">Fuel_Equations.VEERG_8_2_1_1__1_FuelCombustionStationary($L25,$G25,H25)</f>
        <v>0</v>
      </c>
      <c r="O25" s="220" cm="1">
        <f t="array" ref="O25">Fuel_Equations.VEERG_8_2_1_1__1_FuelCombustionStationary($L25,$G25,I25)</f>
        <v>0</v>
      </c>
      <c r="P25" s="220" cm="1">
        <f t="array" ref="P25">Fuel_Equations.VEERG_8_2_1_1__1_FuelCombustionStationary($L25,$G25,J25)</f>
        <v>0</v>
      </c>
      <c r="Q25" s="220" cm="1">
        <f t="array" ref="Q25">Fuel_Equations.VEERG_8_2_1_1__1_FuelCombustionStationary($L25,$G25,IF(ISNUMBER(K25), K25, 0))</f>
        <v>0</v>
      </c>
    </row>
    <row r="26" spans="1:17" ht="20.100000000000001" customHeight="1" x14ac:dyDescent="0.25">
      <c r="A26" s="6" t="s">
        <v>2</v>
      </c>
      <c r="D26" s="200" t="str">
        <f t="shared" ref="D26:D31" si="0">$D$25</f>
        <v>Generators</v>
      </c>
      <c r="E26" s="198" t="str">
        <f>'Constants - Fuel'!$D$63</f>
        <v>Diesel oil</v>
      </c>
      <c r="F26" s="198"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7" cm="1">
        <f t="array" ref="L26">Fuel_InputFunctions.Fuel_TotalConsumption(Table_Input_Fuel[Amount consumed], Table_Input_Fuel[Fuel use (select)], D26, Table_Input_Fuel[Fuel type (select)],F26)</f>
        <v>0</v>
      </c>
      <c r="M26" s="177" t="str" cm="1">
        <f t="array" ref="M26">Common_InputFunctions.Utility_LookupValueInTable(F26,Table_FuelTypes_Units[Fuel type],Table_FuelTypes_Units[Unit])</f>
        <v>kL</v>
      </c>
      <c r="N26" s="220" cm="1">
        <f t="array" ref="N26">Fuel_Equations.VEERG_8_2_1_1__1_FuelCombustionStationary($L26,$G26,H26)</f>
        <v>0</v>
      </c>
      <c r="O26" s="220" cm="1">
        <f t="array" ref="O26">Fuel_Equations.VEERG_8_2_1_1__1_FuelCombustionStationary($L26,$G26,I26)</f>
        <v>0</v>
      </c>
      <c r="P26" s="220" cm="1">
        <f t="array" ref="P26">Fuel_Equations.VEERG_8_2_1_1__1_FuelCombustionStationary($L26,$G26,J26)</f>
        <v>0</v>
      </c>
      <c r="Q26" s="220" cm="1">
        <f t="array" ref="Q26">Fuel_Equations.VEERG_8_2_1_1__1_FuelCombustionStationary($L26,$G26,IF(ISNUMBER(K26), K26, 0))</f>
        <v>0</v>
      </c>
    </row>
    <row r="27" spans="1:17" ht="20.100000000000001" customHeight="1" x14ac:dyDescent="0.25">
      <c r="A27" s="5" t="str">
        <f>HYPERLINK("#'3.2.1.1-2 Enteric Methane'!A1", "3.2.1.1-2 Enteric methane")</f>
        <v>3.2.1.1-2 Enteric methane</v>
      </c>
      <c r="D27" s="200" t="str">
        <f t="shared" si="0"/>
        <v>Generators</v>
      </c>
      <c r="E27" s="198" t="str">
        <f>'Constants - Fuel'!$D$67</f>
        <v>Liquefied petroleum gas (LPG)</v>
      </c>
      <c r="F27" s="198"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220" cm="1">
        <f t="array" ref="N27">Fuel_Equations.VEERG_8_2_1_1__1_FuelCombustionStationary($L27,$G27,H27)</f>
        <v>0</v>
      </c>
      <c r="O27" s="220" cm="1">
        <f t="array" ref="O27">Fuel_Equations.VEERG_8_2_1_1__1_FuelCombustionStationary($L27,$G27,I27)</f>
        <v>0</v>
      </c>
      <c r="P27" s="220" cm="1">
        <f t="array" ref="P27">Fuel_Equations.VEERG_8_2_1_1__1_FuelCombustionStationary($L27,$G27,J27)</f>
        <v>0</v>
      </c>
      <c r="Q27" s="220" cm="1">
        <f t="array" ref="Q27">Fuel_Equations.VEERG_8_2_1_1__1_FuelCombustionStationary($L27,$G27,IF(ISNUMBER(K27), K27, 0))</f>
        <v>0</v>
      </c>
    </row>
    <row r="28" spans="1:17" ht="20.100000000000001" customHeight="1" x14ac:dyDescent="0.25">
      <c r="A28" s="5" t="str">
        <f>HYPERLINK("#'4.2.1.1-2 Methane'!A1", "4.2.1.1-2 Manure methane")</f>
        <v>4.2.1.1-2 Manure methane</v>
      </c>
      <c r="D28" s="200" t="str">
        <f t="shared" si="0"/>
        <v>Generators</v>
      </c>
      <c r="E28" s="198" t="str">
        <f>'Constants - Fuel'!$D$73</f>
        <v>Biodiesel</v>
      </c>
      <c r="F28" s="198"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220" cm="1">
        <f t="array" ref="N28">Fuel_Equations.VEERG_8_2_1_1__1_FuelCombustionStationary($L28,$G28,H28)</f>
        <v>0</v>
      </c>
      <c r="O28" s="220" cm="1">
        <f t="array" ref="O28">Fuel_Equations.VEERG_8_2_1_1__1_FuelCombustionStationary($L28,$G28,I28)</f>
        <v>0</v>
      </c>
      <c r="P28" s="220" cm="1">
        <f t="array" ref="P28">Fuel_Equations.VEERG_8_2_1_1__1_FuelCombustionStationary($L28,$G28,J28)</f>
        <v>0</v>
      </c>
      <c r="Q28" s="220" cm="1">
        <f t="array" ref="Q28">Fuel_Equations.VEERG_8_2_1_1__1_FuelCombustionStationary($L28,$G28,IF(ISNUMBER(K28), K28, 0))</f>
        <v>0</v>
      </c>
    </row>
    <row r="29" spans="1:17" ht="20.100000000000001" customHeight="1" x14ac:dyDescent="0.25">
      <c r="A29" s="5" t="str">
        <f>HYPERLINK("#'4.2.1.3-4 Soil direct N20'!A1", "4.2.1.3-4 Soil direct N2O")</f>
        <v>4.2.1.3-4 Soil direct N2O</v>
      </c>
      <c r="D29" s="200" t="str">
        <f t="shared" si="0"/>
        <v>Generators</v>
      </c>
      <c r="E29" s="198" t="str">
        <f>'Constants - Fuel'!$D$74</f>
        <v>Ethanol for use as a fuel in an internal combustion engine</v>
      </c>
      <c r="F29" s="198"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220" cm="1">
        <f t="array" ref="N29">Fuel_Equations.VEERG_8_2_1_1__1_FuelCombustionStationary($L29,$G29,H29)</f>
        <v>0</v>
      </c>
      <c r="O29" s="220" cm="1">
        <f t="array" ref="O29">Fuel_Equations.VEERG_8_2_1_1__1_FuelCombustionStationary($L29,$G29,I29)</f>
        <v>0</v>
      </c>
      <c r="P29" s="220" cm="1">
        <f t="array" ref="P29">Fuel_Equations.VEERG_8_2_1_1__1_FuelCombustionStationary($L29,$G29,J29)</f>
        <v>0</v>
      </c>
      <c r="Q29" s="220" cm="1">
        <f t="array" ref="Q29">Fuel_Equations.VEERG_8_2_1_1__1_FuelCombustionStationary($L29,$G29,IF(ISNUMBER(K29), K29, 0))</f>
        <v>0</v>
      </c>
    </row>
    <row r="30" spans="1:17" ht="20.100000000000001" customHeight="1" x14ac:dyDescent="0.25">
      <c r="A30" s="5" t="str">
        <f>HYPERLINK("#'4.2.1.5-6 Soil Atmos Dep'!A1", "4.2.1.5-6 Soil atm. deposition")</f>
        <v>4.2.1.5-6 Soil atm. deposition</v>
      </c>
      <c r="D30" s="200" t="str">
        <f t="shared" si="0"/>
        <v>Generators</v>
      </c>
      <c r="E30" s="198" t="str">
        <f>'Constants - Fuel'!$D$75</f>
        <v>Biofuels other than those mentioned in the items above and below</v>
      </c>
      <c r="F30" s="198"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220" cm="1">
        <f t="array" ref="N30">Fuel_Equations.VEERG_8_2_1_1__1_FuelCombustionStationary($L30,$G30,H30)</f>
        <v>0</v>
      </c>
      <c r="O30" s="220" cm="1">
        <f t="array" ref="O30">Fuel_Equations.VEERG_8_2_1_1__1_FuelCombustionStationary($L30,$G30,I30)</f>
        <v>0</v>
      </c>
      <c r="P30" s="220" cm="1">
        <f t="array" ref="P30">Fuel_Equations.VEERG_8_2_1_1__1_FuelCombustionStationary($L30,$G30,J30)</f>
        <v>0</v>
      </c>
      <c r="Q30" s="220" cm="1">
        <f t="array" ref="Q30">Fuel_Equations.VEERG_8_2_1_1__1_FuelCombustionStationary($L30,$G30,IF(ISNUMBER(K30), K30, 0))</f>
        <v>0</v>
      </c>
    </row>
    <row r="31" spans="1:17" ht="20.100000000000001" customHeight="1" x14ac:dyDescent="0.25">
      <c r="A31" s="5" t="str">
        <f>HYPERLINK("#'4.2.1.7-8 Soil leach runoff'!A1", "4.2.1.7-8 Soil leach &amp; runoff")</f>
        <v>4.2.1.7-8 Soil leach &amp; runoff</v>
      </c>
      <c r="D31" s="200" t="str">
        <f t="shared" si="0"/>
        <v>Generators</v>
      </c>
      <c r="E31" s="198" t="str">
        <f>'Constants - Fuel'!$D$77</f>
        <v>Renewable diesel</v>
      </c>
      <c r="F31" s="198" t="str">
        <f>'Constants - Fuel'!D137</f>
        <v>Renewable diesel</v>
      </c>
      <c r="G31" s="196">
        <f>IFERROR(_xlfn.XLOOKUP($E31, Table_Fuel_EFs_StationaryLiquid[Fuel combusted], Table_Fuel_EFs_StationaryLiquid[Energy Content Factor (GJ per unit of fuel)]),0)</f>
        <v>38.6</v>
      </c>
      <c r="H31" s="196">
        <f>IFERROR(_xlfn.XLOOKUP($E31, Table_Fuel_EFs_StationaryLiquid[Fuel combusted], Table_Fuel_EFs_StationaryLiquid[Scope 1 Emission Factor (kg CO2 - e / GJ) CO2]),0)</f>
        <v>0</v>
      </c>
      <c r="I31" s="196">
        <f>IFERROR(_xlfn.XLOOKUP($E31, Table_Fuel_EFs_StationaryLiquid[Fuel combusted], Table_Fuel_EFs_StationaryLiquid[Scope 1 Emission Factor (kg CO2 - e / GJ) CH4]),0)</f>
        <v>0.1</v>
      </c>
      <c r="J31" s="196">
        <f>IFERROR(_xlfn.XLOOKUP($E31, Table_Fuel_EFs_StationaryLiquid[Fuel combusted], Table_Fuel_EFs_StationaryLiquid[Scope 1 Emission Factor (kg CO2 - e / GJ) N2O]),0)</f>
        <v>0.2</v>
      </c>
      <c r="K31" s="196" t="str">
        <f>IFERROR(_xlfn.XLOOKUP($E31, Table_Fuel_EFs_StationaryLiquid[Fuel combusted], Table_Fuel_EFs_StationaryLiquid[Scope 3 Emission Factor (kg CO2 - e / GJ)]),0)</f>
        <v>NE</v>
      </c>
      <c r="L31" s="201" cm="1">
        <f t="array" ref="L31">Fuel_InputFunctions.Fuel_TotalConsumption(Table_Input_Fuel[Amount consumed], Table_Input_Fuel[Fuel use (select)], D31, Table_Input_Fuel[Fuel type (select)],F31)</f>
        <v>0</v>
      </c>
      <c r="M31" s="201" t="str" cm="1">
        <f t="array" ref="M31">Common_InputFunctions.Utility_LookupValueInTable(F31,Table_FuelTypes_Units[Fuel type],Table_FuelTypes_Units[Unit])</f>
        <v>kL</v>
      </c>
      <c r="N31" s="221" cm="1">
        <f t="array" ref="N31">Fuel_Equations.VEERG_8_2_1_1__1_FuelCombustionStationary($L31,$G31,H31)</f>
        <v>0</v>
      </c>
      <c r="O31" s="221" cm="1">
        <f t="array" ref="O31">Fuel_Equations.VEERG_8_2_1_1__1_FuelCombustionStationary($L31,$G31,I31)</f>
        <v>0</v>
      </c>
      <c r="P31" s="221" cm="1">
        <f t="array" ref="P31">Fuel_Equations.VEERG_8_2_1_1__1_FuelCombustionStationary($L31,$G31,J31)</f>
        <v>0</v>
      </c>
      <c r="Q31" s="221" cm="1">
        <f t="array" ref="Q31">Fuel_Equations.VEERG_8_2_1_1__1_FuelCombustionStationary($L31,$G31,IF(ISNUMBER(K31), K31, 0))</f>
        <v>0</v>
      </c>
    </row>
    <row r="32" spans="1:17" ht="20.100000000000001" customHeight="1" x14ac:dyDescent="0.25">
      <c r="A32" s="5" t="str">
        <f>HYPERLINK("#'5.1.1.1-2 Inorganic fert N2O'!A1", "5.1.1.1-2 Inorganic fert N2O")</f>
        <v>5.1.1.1-2 Inorganic fert N2O</v>
      </c>
      <c r="D32" s="203" t="str">
        <f>Table_FuelTypesPerUse[[#Headers],[Power standalone machinery or heating]]</f>
        <v>Power standalone machinery or heating</v>
      </c>
      <c r="E32" s="204" t="str">
        <f>'Constants - Fuel'!$D$58</f>
        <v>Automotive gasoline / petrol (other than for use as fuel in an aircraft)</v>
      </c>
      <c r="F32" s="204" t="str">
        <f>'Constants - Fuel'!E131</f>
        <v>Petrol</v>
      </c>
      <c r="G32" s="211">
        <f>IFERROR(_xlfn.XLOOKUP($E32, Table_Fuel_EFs_StationaryLiquid[Fuel combusted], Table_Fuel_EFs_StationaryLiquid[Energy Content Factor (GJ per unit of fuel)]),0)</f>
        <v>34.200000000000003</v>
      </c>
      <c r="H32" s="211">
        <f>IFERROR(_xlfn.XLOOKUP($E32, Table_Fuel_EFs_StationaryLiquid[Fuel combusted], Table_Fuel_EFs_StationaryLiquid[Scope 1 Emission Factor (kg CO2 - e / GJ) CO2]),0)</f>
        <v>67.400000000000006</v>
      </c>
      <c r="I32" s="211">
        <f>IFERROR(_xlfn.XLOOKUP($E32, Table_Fuel_EFs_StationaryLiquid[Fuel combusted], Table_Fuel_EFs_StationaryLiquid[Scope 1 Emission Factor (kg CO2 - e / GJ) CH4]),0)</f>
        <v>0.2</v>
      </c>
      <c r="J32" s="211">
        <f>IFERROR(_xlfn.XLOOKUP($E32, Table_Fuel_EFs_StationaryLiquid[Fuel combusted], Table_Fuel_EFs_StationaryLiquid[Scope 1 Emission Factor (kg CO2 - e / GJ) N2O]),0)</f>
        <v>0.2</v>
      </c>
      <c r="K32" s="211">
        <f>IFERROR(_xlfn.XLOOKUP($E32, Table_Fuel_EFs_StationaryLiquid[Fuel combusted], Table_Fuel_EFs_StationaryLiquid[Scope 3 Emission Factor (kg CO2 - e / GJ)]),0)</f>
        <v>17.2</v>
      </c>
      <c r="L32" s="207" cm="1">
        <f t="array" ref="L32">Fuel_InputFunctions.Fuel_TotalConsumption(Table_Input_Fuel[Amount consumed], Table_Input_Fuel[Fuel use (select)], D32, Table_Input_Fuel[Fuel type (select)],F32)</f>
        <v>10</v>
      </c>
      <c r="M32" s="208" t="str" cm="1">
        <f t="array" ref="M32">Common_InputFunctions.Utility_LookupValueInTable(F32,Table_FuelTypes_Units[Fuel type],Table_FuelTypes_Units[Unit])</f>
        <v>kL</v>
      </c>
      <c r="N32" s="222" cm="1">
        <f t="array" ref="N32">Fuel_Equations.VEERG_8_2_1_1__1_FuelCombustionStationary($L32,$G32,H32)</f>
        <v>23.050800000000002</v>
      </c>
      <c r="O32" s="222" cm="1">
        <f t="array" ref="O32">Fuel_Equations.VEERG_8_2_1_1__1_FuelCombustionStationary($L32,$G32,I32)</f>
        <v>6.8400000000000002E-2</v>
      </c>
      <c r="P32" s="222" cm="1">
        <f t="array" ref="P32">Fuel_Equations.VEERG_8_2_1_1__1_FuelCombustionStationary($L32,$G32,J32)</f>
        <v>6.8400000000000002E-2</v>
      </c>
      <c r="Q32" s="222" cm="1">
        <f t="array" ref="Q32">Fuel_Equations.VEERG_8_2_1_1__1_FuelCombustionStationary($L32,$G32,IF(ISNUMBER(K32), K32, 0))</f>
        <v>5.8823999999999996</v>
      </c>
    </row>
    <row r="33" spans="1:17" ht="20.100000000000001" customHeight="1" x14ac:dyDescent="0.25">
      <c r="A33" s="5" t="str">
        <f>HYPERLINK("#'5.1.1.3-4 Inorganic fert CO2'!A1", "5.1.1.3-4 Inorganic fert CO2")</f>
        <v>5.1.1.3-4 Inorganic fert CO2</v>
      </c>
      <c r="D33" s="200" t="str">
        <f t="shared" ref="D33:D40" si="1">$D$32</f>
        <v>Power standalone machinery or heating</v>
      </c>
      <c r="E33" s="198" t="str">
        <f>'Constants - Fuel'!$D$63</f>
        <v>Diesel oil</v>
      </c>
      <c r="F33" s="198"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0" cm="1">
        <f t="array" ref="N33">Fuel_Equations.VEERG_8_2_1_1__1_FuelCombustionStationary($L33,$G33,H33)</f>
        <v>0</v>
      </c>
      <c r="O33" s="220" cm="1">
        <f t="array" ref="O33">Fuel_Equations.VEERG_8_2_1_1__1_FuelCombustionStationary($L33,$G33,I33)</f>
        <v>0</v>
      </c>
      <c r="P33" s="220" cm="1">
        <f t="array" ref="P33">Fuel_Equations.VEERG_8_2_1_1__1_FuelCombustionStationary($L33,$G33,J33)</f>
        <v>0</v>
      </c>
      <c r="Q33" s="220" cm="1">
        <f t="array" ref="Q33">Fuel_Equations.VEERG_8_2_1_1__1_FuelCombustionStationary($L33,$G33,IF(ISNUMBER(K33), K33, 0))</f>
        <v>0</v>
      </c>
    </row>
    <row r="34" spans="1:17" ht="20.100000000000001" customHeight="1" x14ac:dyDescent="0.25">
      <c r="A34" s="5" t="str">
        <f>HYPERLINK("#'5.2.1.1-2 Organic Fert N2O'!A1", "5.2.1.1-2 Organic fert N2O")</f>
        <v>5.2.1.1-2 Organic fert N2O</v>
      </c>
      <c r="D34" s="200" t="str">
        <f t="shared" si="1"/>
        <v>Power standalone machinery or heating</v>
      </c>
      <c r="E34" s="198" t="str">
        <f>'Constants - Fuel'!$D$67</f>
        <v>Liquefied petroleum gas (LPG)</v>
      </c>
      <c r="F34" s="198"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0" cm="1">
        <f t="array" ref="N34">Fuel_Equations.VEERG_8_2_1_1__1_FuelCombustionStationary($L34,$G34,H34)</f>
        <v>0</v>
      </c>
      <c r="O34" s="220" cm="1">
        <f t="array" ref="O34">Fuel_Equations.VEERG_8_2_1_1__1_FuelCombustionStationary($L34,$G34,I34)</f>
        <v>0</v>
      </c>
      <c r="P34" s="220" cm="1">
        <f t="array" ref="P34">Fuel_Equations.VEERG_8_2_1_1__1_FuelCombustionStationary($L34,$G34,J34)</f>
        <v>0</v>
      </c>
      <c r="Q34" s="220" cm="1">
        <f t="array" ref="Q34">Fuel_Equations.VEERG_8_2_1_1__1_FuelCombustionStationary($L34,$G34,IF(ISNUMBER(K34), K34, 0))</f>
        <v>0</v>
      </c>
    </row>
    <row r="35" spans="1:17" ht="20.100000000000001" customHeight="1" x14ac:dyDescent="0.25">
      <c r="A35" s="5" t="str">
        <f>HYPERLINK("#'5.3.1.1-2 Lime CO2'!A1", "5.3.1.1-2 Lime CO2")</f>
        <v>5.3.1.1-2 Lime CO2</v>
      </c>
      <c r="D35" s="200" t="str">
        <f t="shared" si="1"/>
        <v>Power standalone machinery or heating</v>
      </c>
      <c r="E35" s="198" t="str">
        <f>'Constants - Fuel'!$D$73</f>
        <v>Biodiesel</v>
      </c>
      <c r="F35" s="198"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0" cm="1">
        <f t="array" ref="N35">Fuel_Equations.VEERG_8_2_1_1__1_FuelCombustionStationary($L35,$G35,H35)</f>
        <v>0</v>
      </c>
      <c r="O35" s="220" cm="1">
        <f t="array" ref="O35">Fuel_Equations.VEERG_8_2_1_1__1_FuelCombustionStationary($L35,$G35,I35)</f>
        <v>0</v>
      </c>
      <c r="P35" s="220" cm="1">
        <f t="array" ref="P35">Fuel_Equations.VEERG_8_2_1_1__1_FuelCombustionStationary($L35,$G35,J35)</f>
        <v>0</v>
      </c>
      <c r="Q35" s="220" cm="1">
        <f t="array" ref="Q35">Fuel_Equations.VEERG_8_2_1_1__1_FuelCombustionStationary($L35,$G35,IF(ISNUMBER(K35), K35, 0))</f>
        <v>0</v>
      </c>
    </row>
    <row r="36" spans="1:17" ht="20.100000000000001" customHeight="1" x14ac:dyDescent="0.25">
      <c r="A36" s="5" t="str">
        <f>HYPERLINK("#'5.4.1.1-4 Atmos deposition'!A1", "5.4.1.1-4 Atmos. deposition")</f>
        <v>5.4.1.1-4 Atmos. deposition</v>
      </c>
      <c r="D36" s="200" t="str">
        <f t="shared" si="1"/>
        <v>Power standalone machinery or heating</v>
      </c>
      <c r="E36" s="198" t="str">
        <f>'Constants - Fuel'!$D$74</f>
        <v>Ethanol for use as a fuel in an internal combustion engine</v>
      </c>
      <c r="F36" s="198"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0" cm="1">
        <f t="array" ref="N36">Fuel_Equations.VEERG_8_2_1_1__1_FuelCombustionStationary($L36,$G36,H36)</f>
        <v>0</v>
      </c>
      <c r="O36" s="220" cm="1">
        <f t="array" ref="O36">Fuel_Equations.VEERG_8_2_1_1__1_FuelCombustionStationary($L36,$G36,I36)</f>
        <v>0</v>
      </c>
      <c r="P36" s="220" cm="1">
        <f t="array" ref="P36">Fuel_Equations.VEERG_8_2_1_1__1_FuelCombustionStationary($L36,$G36,J36)</f>
        <v>0</v>
      </c>
      <c r="Q36" s="220" cm="1">
        <f t="array" ref="Q36">Fuel_Equations.VEERG_8_2_1_1__1_FuelCombustionStationary($L36,$G36,IF(ISNUMBER(K36), K36, 0))</f>
        <v>0</v>
      </c>
    </row>
    <row r="37" spans="1:17" ht="20.100000000000001" customHeight="1" x14ac:dyDescent="0.25">
      <c r="A37" s="5" t="str">
        <f>HYPERLINK("#'5.5.1.1-2 Leaching and runoff'!A1", "5.5.1.1-2 Leaching &amp; runoff")</f>
        <v>5.5.1.1-2 Leaching &amp; runoff</v>
      </c>
      <c r="D37" s="200" t="str">
        <f t="shared" si="1"/>
        <v>Power standalone machinery or heating</v>
      </c>
      <c r="E37" s="198" t="str">
        <f>'Constants - Fuel'!$D$75</f>
        <v>Biofuels other than those mentioned in the items above and below</v>
      </c>
      <c r="F37" s="198"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0" cm="1">
        <f t="array" ref="N37">Fuel_Equations.VEERG_8_2_1_1__1_FuelCombustionStationary($L37,$G37,H37)</f>
        <v>0</v>
      </c>
      <c r="O37" s="220" cm="1">
        <f t="array" ref="O37">Fuel_Equations.VEERG_8_2_1_1__1_FuelCombustionStationary($L37,$G37,I37)</f>
        <v>0</v>
      </c>
      <c r="P37" s="220" cm="1">
        <f t="array" ref="P37">Fuel_Equations.VEERG_8_2_1_1__1_FuelCombustionStationary($L37,$G37,J37)</f>
        <v>0</v>
      </c>
      <c r="Q37" s="220" cm="1">
        <f t="array" ref="Q37">Fuel_Equations.VEERG_8_2_1_1__1_FuelCombustionStationary($L37,$G37,IF(ISNUMBER(K37), K37, 0))</f>
        <v>0</v>
      </c>
    </row>
    <row r="38" spans="1:17" ht="20.100000000000001" customHeight="1" x14ac:dyDescent="0.25">
      <c r="A38" s="5" t="str">
        <f>HYPERLINK("#'6.2.1.1-2 Pasture residue N2O'!A1", "6.2.1.1-2 Pasture residue N2O")</f>
        <v>6.2.1.1-2 Pasture residue N2O</v>
      </c>
      <c r="D38" s="200" t="str">
        <f t="shared" si="1"/>
        <v>Power standalone machinery or heating</v>
      </c>
      <c r="E38" s="198" t="str">
        <f>'Constants - Fuel'!$D$77</f>
        <v>Renewable diesel</v>
      </c>
      <c r="F38" s="198"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0" cm="1">
        <f t="array" ref="N38">Fuel_Equations.VEERG_8_2_1_1__1_FuelCombustionStationary($L38,$G38,H38)</f>
        <v>0</v>
      </c>
      <c r="O38" s="220" cm="1">
        <f t="array" ref="O38">Fuel_Equations.VEERG_8_2_1_1__1_FuelCombustionStationary($L38,$G38,I38)</f>
        <v>0</v>
      </c>
      <c r="P38" s="220" cm="1">
        <f t="array" ref="P38">Fuel_Equations.VEERG_8_2_1_1__1_FuelCombustionStationary($L38,$G38,J38)</f>
        <v>0</v>
      </c>
      <c r="Q38" s="220" cm="1">
        <f t="array" ref="Q38">Fuel_Equations.VEERG_8_2_1_1__1_FuelCombustionStationary($L38,$G38,IF(ISNUMBER(K38), K38, 0))</f>
        <v>0</v>
      </c>
    </row>
    <row r="39" spans="1:17" ht="20.100000000000001" customHeight="1" x14ac:dyDescent="0.25">
      <c r="A39" s="5" t="str">
        <f>HYPERLINK("#'6.3.1.1-2 Leach runoff pasture'!A1", "6.3.1.1-2 Leach &amp; runoff (pasture)")</f>
        <v>6.3.1.1-2 Leach &amp; runoff (pasture)</v>
      </c>
      <c r="D39" s="200" t="str">
        <f t="shared" si="1"/>
        <v>Power standalone machinery or heating</v>
      </c>
      <c r="E39" s="198" t="str">
        <f>'Constants - Fuel'!$D$103</f>
        <v>Natural gas distributed in a pipeline - Gigajoules</v>
      </c>
      <c r="F39" s="198"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7" cm="1">
        <f t="array" ref="L39">Fuel_InputFunctions.Fuel_TotalConsumption(Table_Input_Fuel[Amount consumed], Table_Input_Fuel[Fuel use (select)], D39, Table_Input_Fuel[Fuel type (select)],F39)</f>
        <v>0</v>
      </c>
      <c r="M39" s="177" t="str" cm="1">
        <f t="array" ref="M39">Common_InputFunctions.Utility_LookupValueInTable(F39,Table_FuelTypes_Units[Fuel type],Table_FuelTypes_Units[Unit])</f>
        <v>GJ</v>
      </c>
      <c r="N39" s="220" cm="1">
        <f t="array" ref="N39">Fuel_Equations.VEERG_8_2_1_1__1_FuelCombustionStationary($L39,$G39,H39)</f>
        <v>0</v>
      </c>
      <c r="O39" s="220" cm="1">
        <f t="array" ref="O39">Fuel_Equations.VEERG_8_2_1_1__1_FuelCombustionStationary($L39,$G39,I39)</f>
        <v>0</v>
      </c>
      <c r="P39" s="220" cm="1">
        <f t="array" ref="P39">Fuel_Equations.VEERG_8_2_1_1__1_FuelCombustionStationary($L39,$G39,J39)</f>
        <v>0</v>
      </c>
      <c r="Q39" s="220" cm="1">
        <f t="array" ref="Q39">Fuel_Equations.VEERG_8_2_1_1__1_FuelCombustionStationary($L39,$G39,IF(ISNUMBER(K39), K39, 0))</f>
        <v>0</v>
      </c>
    </row>
    <row r="40" spans="1:17" ht="20.100000000000001" customHeight="1" x14ac:dyDescent="0.25">
      <c r="A40" s="5" t="str">
        <f>HYPERLINK("#'8.1.1.1-2 Transport fuel'!A1", "8.1.1.1-2 Transport fuel")</f>
        <v>8.1.1.1-2 Transport fuel</v>
      </c>
      <c r="D40" s="200" t="str">
        <f t="shared" si="1"/>
        <v>Power standalone machinery or heating</v>
      </c>
      <c r="E40" s="198" t="str">
        <f>'Constants - Fuel'!$D$104</f>
        <v>Town gas - Gigajoules</v>
      </c>
      <c r="F40" s="198"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7" cm="1">
        <f t="array" ref="L40">Fuel_InputFunctions.Fuel_TotalConsumption(Table_Input_Fuel[Amount consumed], Table_Input_Fuel[Fuel use (select)], D40, Table_Input_Fuel[Fuel type (select)],F40)</f>
        <v>100</v>
      </c>
      <c r="M40" s="177" t="str" cm="1">
        <f t="array" ref="M40">Common_InputFunctions.Utility_LookupValueInTable(F40,Table_FuelTypes_Units[Fuel type],Table_FuelTypes_Units[Unit])</f>
        <v>GJ</v>
      </c>
      <c r="N40" s="220" cm="1">
        <f t="array" ref="N40">Fuel_Equations.VEERG_8_2_1_1__1_FuelCombustionStationary($L40,$G40,H40)</f>
        <v>6.0200000000000005</v>
      </c>
      <c r="O40" s="220" cm="1">
        <f t="array" ref="O40">Fuel_Equations.VEERG_8_2_1_1__1_FuelCombustionStationary($L40,$G40,I40)</f>
        <v>4.0000000000000001E-3</v>
      </c>
      <c r="P40" s="220" cm="1">
        <f t="array" ref="P40">Fuel_Equations.VEERG_8_2_1_1__1_FuelCombustionStationary($L40,$G40,J40)</f>
        <v>3.0000000000000001E-3</v>
      </c>
      <c r="Q40" s="220" cm="1">
        <f t="array" ref="Q40">Fuel_Equations.VEERG_8_2_1_1__1_FuelCombustionStationary($L40,$G40,IF(ISNUMBER(K40), K40, 0))</f>
        <v>0.41</v>
      </c>
    </row>
    <row r="41" spans="1:17" ht="20.100000000000001" customHeight="1" x14ac:dyDescent="0.25">
      <c r="A41" s="101" t="str">
        <f>HYPERLINK("#'8.2.1.1-2 Stationary fuel'!A1", "8.2.1.1-2 Stationary fuel")</f>
        <v>8.2.1.1-2 Stationary fuel</v>
      </c>
    </row>
    <row r="42" spans="1:17" ht="20.100000000000001" customHeight="1" x14ac:dyDescent="0.25">
      <c r="A42" s="5" t="str">
        <f>HYPERLINK("#'14.1.1-2 Purchased electricity'!A1", "14.1.1-2 Purchased electricity")</f>
        <v>14.1.1-2 Purchased electricity</v>
      </c>
      <c r="D42" s="213" t="str">
        <f>"Total scope 1 - " &amp; D25</f>
        <v>Total scope 1 - Generators</v>
      </c>
      <c r="E42" s="214"/>
      <c r="F42" s="215"/>
    </row>
    <row r="43" spans="1:17" ht="20.100000000000001" customHeight="1" x14ac:dyDescent="0.25">
      <c r="A43" s="5" t="str">
        <f>HYPERLINK("#'15 Scope 3'!A1", "15 Scope 3")</f>
        <v>15 Scope 3</v>
      </c>
      <c r="D43" s="35" t="s">
        <v>738</v>
      </c>
      <c r="E43" s="216">
        <f>SUM(N25:N31)</f>
        <v>0</v>
      </c>
      <c r="F43" s="26" t="str">
        <f>$E$12</f>
        <v>t CO2-e</v>
      </c>
    </row>
    <row r="44" spans="1:17" ht="20.100000000000001" customHeight="1" x14ac:dyDescent="0.25">
      <c r="A44" s="5" t="str">
        <f>HYPERLINK("#'Calcs - Manure sent off-site'!A1", "Calcs - Manure sent off-site")</f>
        <v>Calcs - Manure sent off-site</v>
      </c>
      <c r="D44" s="35" t="s">
        <v>739</v>
      </c>
      <c r="E44" s="216">
        <f>SUM(O25:O31)</f>
        <v>0</v>
      </c>
      <c r="F44" s="26" t="str">
        <f t="shared" ref="F44:F46" si="2">$E$12</f>
        <v>t CO2-e</v>
      </c>
    </row>
    <row r="45" spans="1:17" ht="20.100000000000001" customHeight="1" x14ac:dyDescent="0.25">
      <c r="A45" s="5" t="str">
        <f>HYPERLINK("#'10.1.1-2 Solid waste treatment'!A1", "10.1.1-2 Solid waste treatment")</f>
        <v>10.1.1-2 Solid waste treatment</v>
      </c>
      <c r="D45" s="35" t="s">
        <v>740</v>
      </c>
      <c r="E45" s="216">
        <f>SUM(P25:P31)</f>
        <v>0</v>
      </c>
      <c r="F45" s="26" t="str">
        <f t="shared" si="2"/>
        <v>t CO2-e</v>
      </c>
    </row>
    <row r="46" spans="1:17" ht="20.100000000000001" customHeight="1" x14ac:dyDescent="0.25">
      <c r="D46" s="35" t="s">
        <v>741</v>
      </c>
      <c r="E46" s="216">
        <f>SUM(Q25:Q31)</f>
        <v>0</v>
      </c>
      <c r="F46" s="26" t="str">
        <f t="shared" si="2"/>
        <v>t CO2-e</v>
      </c>
    </row>
    <row r="47" spans="1:17" ht="20.100000000000001" customHeight="1" x14ac:dyDescent="0.25">
      <c r="H47" s="173"/>
      <c r="I47" s="173"/>
      <c r="J47" s="173"/>
      <c r="L47" s="173"/>
      <c r="N47" s="173"/>
      <c r="O47" s="173"/>
      <c r="P47" s="173"/>
      <c r="Q47" s="173"/>
    </row>
    <row r="48" spans="1:17" ht="20.100000000000001" customHeight="1" x14ac:dyDescent="0.25">
      <c r="A48" s="96" t="s">
        <v>1</v>
      </c>
      <c r="D48" s="213" t="str">
        <f>"Total scope 1 - " &amp; D32</f>
        <v>Total scope 1 - Power standalone machinery or heating</v>
      </c>
      <c r="E48" s="217"/>
      <c r="F48" s="215"/>
      <c r="H48" s="173"/>
      <c r="I48" s="173"/>
      <c r="J48" s="173"/>
      <c r="L48" s="173"/>
      <c r="N48" s="173"/>
      <c r="O48" s="173"/>
      <c r="P48" s="173"/>
      <c r="Q48" s="173"/>
    </row>
    <row r="49" spans="1:17" ht="20.100000000000001" customHeight="1" x14ac:dyDescent="0.25">
      <c r="A49" s="5" t="str">
        <f>HYPERLINK("#'Constants - Pasture Beef'!A1", "Constants - Pasture Beef")</f>
        <v>Constants - Pasture Beef</v>
      </c>
      <c r="D49" s="35" t="s">
        <v>738</v>
      </c>
      <c r="E49" s="216">
        <f>SUM(N32:N40)</f>
        <v>29.070800000000002</v>
      </c>
      <c r="F49" s="26" t="str">
        <f t="shared" ref="F49:F52" si="3">$E$12</f>
        <v>t CO2-e</v>
      </c>
      <c r="H49" s="173"/>
      <c r="I49" s="173"/>
      <c r="J49" s="173"/>
      <c r="L49" s="173"/>
      <c r="N49" s="173"/>
      <c r="O49" s="173"/>
      <c r="P49" s="173"/>
      <c r="Q49" s="173"/>
    </row>
    <row r="50" spans="1:17" ht="20.100000000000001" customHeight="1" x14ac:dyDescent="0.25">
      <c r="A50" s="5" t="str">
        <f>HYPERLINK("#'Constants - Ag Residue'!A1", "Constants - Ag residue")</f>
        <v>Constants - Ag residue</v>
      </c>
      <c r="D50" s="35" t="s">
        <v>739</v>
      </c>
      <c r="E50" s="216">
        <f>SUM(O32:O40)</f>
        <v>7.2400000000000006E-2</v>
      </c>
      <c r="F50" s="26" t="str">
        <f t="shared" si="3"/>
        <v>t CO2-e</v>
      </c>
      <c r="H50" s="173"/>
      <c r="I50" s="173"/>
      <c r="J50" s="173"/>
      <c r="L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SUM(P32:P40)</f>
        <v>7.1400000000000005E-2</v>
      </c>
      <c r="F51" s="26" t="str">
        <f t="shared" si="3"/>
        <v>t CO2-e</v>
      </c>
      <c r="H51" s="173"/>
      <c r="I51" s="173"/>
      <c r="J51" s="173"/>
      <c r="L51" s="173"/>
      <c r="N51" s="173"/>
      <c r="O51" s="173"/>
      <c r="P51" s="173"/>
      <c r="Q51" s="173"/>
    </row>
    <row r="52" spans="1:17" ht="20.100000000000001" customHeight="1" x14ac:dyDescent="0.25">
      <c r="A52" s="5" t="str">
        <f>HYPERLINK("#'Constants - Electricity'!A1", "Constants - Electricity")</f>
        <v>Constants - Electricity</v>
      </c>
      <c r="D52" s="35" t="s">
        <v>741</v>
      </c>
      <c r="E52" s="216">
        <f>SUM(Q32:Q40)</f>
        <v>6.2923999999999998</v>
      </c>
      <c r="F52" s="26" t="str">
        <f t="shared" si="3"/>
        <v>t CO2-e</v>
      </c>
      <c r="G52" s="173"/>
      <c r="H52" s="173"/>
      <c r="I52" s="173"/>
      <c r="J52" s="173"/>
      <c r="L52" s="173"/>
      <c r="N52" s="173"/>
      <c r="O52" s="173"/>
      <c r="P52" s="173"/>
      <c r="Q52" s="173"/>
    </row>
    <row r="53" spans="1:17" ht="20.100000000000001" customHeight="1" x14ac:dyDescent="0.25">
      <c r="A53" s="5" t="str">
        <f>HYPERLINK("#'Constants - Fertiliser'!A1", "Constants - Fertiliser")</f>
        <v>Constants - Fertiliser</v>
      </c>
      <c r="G53" s="173"/>
      <c r="H53" s="173"/>
      <c r="I53" s="173"/>
      <c r="J53" s="173"/>
      <c r="L53" s="173"/>
      <c r="N53" s="173"/>
      <c r="O53" s="173"/>
      <c r="P53" s="173"/>
      <c r="Q53" s="173"/>
    </row>
    <row r="54" spans="1:17" ht="20.100000000000001" customHeight="1" x14ac:dyDescent="0.25">
      <c r="A54" s="5" t="str">
        <f>HYPERLINK("#'Constants - Fuel'!A1", "Constants - Fuel")</f>
        <v>Constants - Fuel</v>
      </c>
      <c r="D54" s="213" t="s">
        <v>752</v>
      </c>
      <c r="E54" s="217"/>
      <c r="F54" s="215"/>
      <c r="G54" s="173"/>
      <c r="H54" s="173"/>
      <c r="I54" s="173"/>
      <c r="J54" s="173"/>
      <c r="L54" s="173"/>
      <c r="N54" s="173"/>
      <c r="O54" s="173"/>
      <c r="P54" s="173"/>
      <c r="Q54" s="173"/>
    </row>
    <row r="55" spans="1:17" ht="20.100000000000001" customHeight="1" x14ac:dyDescent="0.25">
      <c r="A55" s="5" t="str">
        <f>HYPERLINK("#'Constants - Scope 3'!A1", "Constants - Scope 3")</f>
        <v>Constants - Scope 3</v>
      </c>
      <c r="D55" s="35" t="s">
        <v>738</v>
      </c>
      <c r="E55" s="216">
        <f>E43+E49</f>
        <v>29.070800000000002</v>
      </c>
      <c r="F55" s="26" t="str">
        <f t="shared" ref="F55:F58" si="4">$E$12</f>
        <v>t CO2-e</v>
      </c>
      <c r="G55" s="173"/>
      <c r="H55" s="173"/>
      <c r="I55" s="173"/>
      <c r="J55" s="173"/>
      <c r="L55" s="173"/>
      <c r="N55" s="173"/>
      <c r="O55" s="173"/>
      <c r="P55" s="173"/>
      <c r="Q55" s="173"/>
    </row>
    <row r="56" spans="1:17" ht="20.100000000000001" customHeight="1" x14ac:dyDescent="0.25">
      <c r="A56" s="5" t="str">
        <f>HYPERLINK("#'Constants - Common'!A1", "Constants - Common")</f>
        <v>Constants - Common</v>
      </c>
      <c r="D56" s="35" t="s">
        <v>739</v>
      </c>
      <c r="E56" s="216">
        <f>E44+E50</f>
        <v>7.2400000000000006E-2</v>
      </c>
      <c r="F56" s="26" t="str">
        <f t="shared" si="4"/>
        <v>t CO2-e</v>
      </c>
      <c r="H56" s="173"/>
    </row>
    <row r="57" spans="1:17" ht="20.100000000000001" customHeight="1" x14ac:dyDescent="0.25">
      <c r="A57" s="5" t="str">
        <f>HYPERLINK("#'Acknowledgements'!A1", "Acknowledgements")</f>
        <v>Acknowledgements</v>
      </c>
      <c r="D57" s="35" t="s">
        <v>740</v>
      </c>
      <c r="E57" s="216">
        <f>E45+E51</f>
        <v>7.1400000000000005E-2</v>
      </c>
      <c r="F57" s="26" t="str">
        <f t="shared" si="4"/>
        <v>t CO2-e</v>
      </c>
      <c r="G57" s="173"/>
      <c r="H57" s="173"/>
      <c r="I57" s="173"/>
      <c r="J57" s="173"/>
      <c r="L57" s="173"/>
      <c r="N57" s="173"/>
      <c r="O57" s="173"/>
      <c r="P57" s="173"/>
      <c r="Q57" s="173"/>
    </row>
    <row r="58" spans="1:17" ht="20.100000000000001" customHeight="1" x14ac:dyDescent="0.25">
      <c r="A58" s="5" t="str">
        <f>HYPERLINK("#'Constants - Solid Waste'!A1", "Constants - Solid Waste")</f>
        <v>Constants - Solid Waste</v>
      </c>
      <c r="D58" s="35" t="s">
        <v>741</v>
      </c>
      <c r="E58" s="216">
        <f>E46+E52</f>
        <v>6.2923999999999998</v>
      </c>
      <c r="F58" s="26" t="str">
        <f t="shared" si="4"/>
        <v>t CO2-e</v>
      </c>
      <c r="G58" s="173"/>
      <c r="H58" s="173"/>
      <c r="I58" s="173"/>
      <c r="J58" s="173"/>
      <c r="L58" s="173"/>
      <c r="N58" s="173"/>
      <c r="O58" s="173"/>
      <c r="P58" s="173"/>
      <c r="Q58" s="173"/>
    </row>
    <row r="59" spans="1:17" ht="20.100000000000001" customHeight="1" x14ac:dyDescent="0.25">
      <c r="G59" s="173"/>
      <c r="H59" s="173"/>
      <c r="I59" s="173"/>
      <c r="J59" s="173"/>
      <c r="L59" s="173"/>
      <c r="N59" s="173"/>
      <c r="O59" s="173"/>
      <c r="P59" s="173"/>
      <c r="Q59" s="173"/>
    </row>
    <row r="60" spans="1:17" ht="20.100000000000001" customHeight="1" x14ac:dyDescent="0.25">
      <c r="G60" s="173"/>
      <c r="H60" s="173"/>
      <c r="I60" s="173"/>
      <c r="J60" s="173"/>
      <c r="L60" s="173"/>
      <c r="N60" s="173"/>
      <c r="O60" s="173"/>
      <c r="P60" s="173"/>
      <c r="Q60" s="173"/>
    </row>
    <row r="61" spans="1:17" ht="20.100000000000001" customHeight="1" x14ac:dyDescent="0.25">
      <c r="G61" s="173"/>
      <c r="H61" s="173"/>
      <c r="I61" s="173"/>
      <c r="J61" s="173"/>
      <c r="L61" s="173"/>
      <c r="N61" s="173"/>
      <c r="O61" s="173"/>
      <c r="P61" s="173"/>
      <c r="Q61" s="173"/>
    </row>
    <row r="62" spans="1:17" ht="20.100000000000001" customHeight="1" x14ac:dyDescent="0.25">
      <c r="G62" s="173"/>
      <c r="H62" s="173"/>
      <c r="I62" s="173"/>
      <c r="J62" s="173"/>
      <c r="L62" s="173"/>
      <c r="N62" s="173"/>
      <c r="O62" s="173"/>
      <c r="P62" s="173"/>
      <c r="Q62" s="173"/>
    </row>
    <row r="63" spans="1:17" ht="20.100000000000001" customHeight="1" x14ac:dyDescent="0.25">
      <c r="G63" s="173"/>
      <c r="H63" s="173"/>
      <c r="I63" s="173"/>
      <c r="J63" s="173"/>
      <c r="L63" s="173"/>
      <c r="N63" s="173"/>
      <c r="O63" s="173"/>
      <c r="P63" s="173"/>
      <c r="Q63" s="173"/>
    </row>
    <row r="64" spans="1:17" ht="20.100000000000001" customHeight="1" x14ac:dyDescent="0.25">
      <c r="G64" s="173"/>
      <c r="H64" s="173"/>
      <c r="I64" s="173"/>
      <c r="J64" s="173"/>
      <c r="L64" s="173"/>
      <c r="N64" s="173"/>
      <c r="O64" s="173"/>
      <c r="P64" s="173"/>
      <c r="Q64" s="173"/>
    </row>
    <row r="65" spans="7:17" ht="20.100000000000001" customHeight="1" x14ac:dyDescent="0.25">
      <c r="G65" s="173"/>
      <c r="H65" s="173"/>
      <c r="I65" s="173"/>
      <c r="J65" s="173"/>
      <c r="L65" s="173"/>
      <c r="N65" s="173"/>
      <c r="O65" s="173"/>
      <c r="P65" s="173"/>
      <c r="Q65" s="173"/>
    </row>
    <row r="66" spans="7:17" ht="20.100000000000001" customHeight="1" x14ac:dyDescent="0.25">
      <c r="G66" s="173"/>
      <c r="H66" s="173"/>
      <c r="I66" s="173"/>
      <c r="J66" s="173"/>
      <c r="L66" s="173"/>
      <c r="N66" s="173"/>
      <c r="O66" s="173"/>
      <c r="P66" s="173"/>
      <c r="Q66" s="173"/>
    </row>
    <row r="67" spans="7:17" ht="20.100000000000001" customHeight="1" x14ac:dyDescent="0.25">
      <c r="G67" s="173"/>
    </row>
    <row r="68" spans="7:17" ht="20.100000000000001" customHeight="1" x14ac:dyDescent="0.25">
      <c r="G68" s="173"/>
    </row>
    <row r="69" spans="7:17" ht="20.100000000000001" customHeight="1" x14ac:dyDescent="0.25">
      <c r="G69" s="173"/>
    </row>
    <row r="70" spans="7:17" ht="20.100000000000001" customHeight="1" x14ac:dyDescent="0.25">
      <c r="G70" s="173"/>
    </row>
    <row r="71" spans="7:17" ht="20.100000000000001" customHeight="1" x14ac:dyDescent="0.25">
      <c r="G71" s="173"/>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EB2E3-824D-4C53-BCEA-6D256C1B6D06}">
  <dimension ref="A1:K342"/>
  <sheetViews>
    <sheetView showGridLines="0" topLeftCell="C1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688</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0" t="s">
        <v>259</v>
      </c>
      <c r="E8" s="100"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261</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2" t="str" cm="1">
        <f t="array" ref="D14:E16">_xlfn.CHOOSECOLS(Electricity_Equations.VEERG_14_1_1__1_LocationBasedScopeElectricityEmissions_Arguments(),1,2)</f>
        <v>Q_elec</v>
      </c>
      <c r="E14" s="103" t="str">
        <v>amount of electricity purchased from the grid</v>
      </c>
      <c r="F14" s="105"/>
      <c r="G14" s="102" t="str" cm="1">
        <f t="array" ref="G14:H16">_xlfn.CHOOSECOLS(Electricity_Equations.VEERG_14_1_1__1_LocationBasedScopeElectricityEmissions_Arguments(),3,4)</f>
        <v>kWh</v>
      </c>
      <c r="H14" s="106" t="str">
        <v>Input</v>
      </c>
      <c r="I14" s="103">
        <f>X_Cell_Electricity_Location_AmountPurchasedInkWh</f>
        <v>30000</v>
      </c>
      <c r="J14" s="105"/>
    </row>
    <row r="15" spans="1:11" ht="20.100000000000001" customHeight="1" x14ac:dyDescent="0.25">
      <c r="A15" s="5" t="str">
        <f>HYPERLINK("#'Input - Pasture'!A1", "Pasture")</f>
        <v>Pasture</v>
      </c>
      <c r="D15" s="102" t="str">
        <v>EF_2elec</v>
      </c>
      <c r="E15" s="103" t="str">
        <v>location-based Scope 2 emission factor for electricity</v>
      </c>
      <c r="F15" s="105"/>
      <c r="G15" s="102" t="str">
        <v>kg CO2e/kWh</v>
      </c>
      <c r="H15" s="107" t="str">
        <v>Constant</v>
      </c>
      <c r="I15" s="103" cm="1">
        <f t="array" ref="I15">Common_InputFunctions.Utility_LookupValueInTableNumber(I16,Table_SourceData_ElectricityEFs[State, Territory or grid description],Table_SourceData_ElectricityEFs[Scope 2 Emission Factors (kg CO2-e/kWh)])</f>
        <v>0.56000000000000005</v>
      </c>
      <c r="J15" s="105"/>
    </row>
    <row r="16" spans="1:11" ht="20.100000000000001" customHeight="1" x14ac:dyDescent="0.25">
      <c r="A16" s="5" t="str">
        <f>HYPERLINK("#'Input - Fert Prod System'!A1", "Fert Prod System")</f>
        <v>Fert Prod System</v>
      </c>
      <c r="D16" s="102" t="str">
        <v>g</v>
      </c>
      <c r="E16" s="103" t="str">
        <v>Grid electricity was purchased from</v>
      </c>
      <c r="F16" s="105"/>
      <c r="G16" s="102" t="str">
        <v/>
      </c>
      <c r="H16" s="106" t="str">
        <v>Input</v>
      </c>
      <c r="I16" s="103" t="str">
        <f>X_Cell_Electricity_Location_GridElectricityPurchasedFrom</f>
        <v>Western Australia - North Western Interconnected System (NWIS)</v>
      </c>
      <c r="J16" s="105"/>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4" t="s">
        <v>689</v>
      </c>
      <c r="E18" s="115" cm="1">
        <f t="array" ref="E18">Electricity_Equations.VEERG_14_1_1__1_LocationBasedScopeElectricityEmissions(I14,I15)</f>
        <v>16.8</v>
      </c>
      <c r="F18" s="116"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13"/>
      <c r="D21" s="113"/>
      <c r="E21" s="113"/>
      <c r="F21" s="113"/>
      <c r="G21" s="113"/>
      <c r="H21" s="113"/>
      <c r="I21" s="113"/>
      <c r="J21" s="113"/>
      <c r="K21" s="113"/>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0" t="s">
        <v>259</v>
      </c>
      <c r="E25" s="100" t="str" cm="1">
        <f t="array" aca="1" ref="E25" ca="1">Common_InputFunctions.Utility_DisplayFunctionName(E39)</f>
        <v>=Electricity_Equations.VEERG_14_1_2__1_MarketBasedScopeElectricityEmissionsVariation</v>
      </c>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c r="D28" s="88" t="s">
        <v>261</v>
      </c>
      <c r="E28" s="1" t="str" cm="1">
        <f t="array" ref="E28">Electricity_Equations.VEERG_14_1_2__1_MarketBasedScopeElectricityEmissions_Variable()</f>
        <v>E_2elec</v>
      </c>
    </row>
    <row r="29" spans="1:11" ht="20.100000000000001" customHeight="1" x14ac:dyDescent="0.25">
      <c r="A29" s="5" t="str">
        <f>HYPERLINK("#'4.2.1.3-4 Soil direct N20'!A1", "4.2.1.3-4 Soil direct N2O")</f>
        <v>4.2.1.3-4 Soil direct N2O</v>
      </c>
      <c r="D29" s="88" t="s">
        <v>131</v>
      </c>
      <c r="E29" s="15" t="str" cm="1">
        <f t="array" ref="E29">Electricity_Equations.VEERG_14_1_2__1_MarketBasedScopeElectricityEmissions_Unit()</f>
        <v>t CO2e</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c r="D31" s="102" t="str" cm="1">
        <f t="array" ref="D31:E37">_xlfn.CHOOSECOLS(Electricity_Equations.VEERG_14_1_2__1_MarketBasedScopeElectricityEmissions_Arguments(),1,2)</f>
        <v>Q_elec</v>
      </c>
      <c r="E31" s="103" t="str">
        <v>amount of electricity purchased from the grid</v>
      </c>
      <c r="F31" s="104"/>
      <c r="G31" s="104"/>
      <c r="H31" s="102" t="str" cm="1">
        <f t="array" ref="H31:I37">_xlfn.CHOOSECOLS(Electricity_Equations.VEERG_14_1_2__1_MarketBasedScopeElectricityEmissions_Arguments(),3,4)</f>
        <v>kWh</v>
      </c>
      <c r="I31" s="106" t="str">
        <v>Input</v>
      </c>
      <c r="J31" s="102">
        <f>X_Cell_Electricity_Market_AmountPurchasedExcludingGreenPower</f>
        <v>30000</v>
      </c>
    </row>
    <row r="32" spans="1:11" ht="20.100000000000001" customHeight="1" x14ac:dyDescent="0.25">
      <c r="A32" s="5" t="str">
        <f>HYPERLINK("#'5.1.1.1-2 Inorganic fert N2O'!A1", "5.1.1.1-2 Inorganic fert N2O")</f>
        <v>5.1.1.1-2 Inorganic fert N2O</v>
      </c>
      <c r="D32" s="102" t="str">
        <v>RPP</v>
      </c>
      <c r="E32" s="103" t="str">
        <v>Renewable Power Percentage under the Large-scale Renewable Energy Target (LRET)</v>
      </c>
      <c r="F32" s="104"/>
      <c r="G32" s="104"/>
      <c r="H32" s="102" t="str">
        <v>per cent</v>
      </c>
      <c r="I32" s="106" t="str">
        <v>Input</v>
      </c>
      <c r="J32" s="190">
        <f>X_Cell_Electricity_Market_RenewablePowerPercentage</f>
        <v>0.1</v>
      </c>
    </row>
    <row r="33" spans="1:10" ht="20.100000000000001" customHeight="1" x14ac:dyDescent="0.25">
      <c r="A33" s="5" t="str">
        <f>HYPERLINK("#'5.1.1.3-4 Inorganic fert CO2'!A1", "5.1.1.3-4 Inorganic fert CO2")</f>
        <v>5.1.1.3-4 Inorganic fert CO2</v>
      </c>
      <c r="D33" s="102" t="str">
        <v>JRPP</v>
      </c>
      <c r="E33" s="103" t="str">
        <v>jurisdictional renewable power percentage for the applicable period (ACT only)</v>
      </c>
      <c r="F33" s="104"/>
      <c r="G33" s="104"/>
      <c r="H33" s="102" t="str">
        <v>per cent</v>
      </c>
      <c r="I33" s="106" t="str">
        <v>Input</v>
      </c>
      <c r="J33" s="190" t="str">
        <f>IF(J37="ACT", X_Cell_Electricity_Market_JurisdictionalRenewablePowerPercentage, "N/A")</f>
        <v>N/A</v>
      </c>
    </row>
    <row r="34" spans="1:10" ht="20.100000000000001" customHeight="1" x14ac:dyDescent="0.25">
      <c r="A34" s="5" t="str">
        <f>HYPERLINK("#'5.2.1.1-2 Organic Fert N2O'!A1", "5.2.1.1-2 Organic fert N2O")</f>
        <v>5.2.1.1-2 Organic fert N2O</v>
      </c>
      <c r="D34" s="102" t="str">
        <v>REC_surrendered</v>
      </c>
      <c r="E34" s="103" t="str">
        <v>Renewable Energy Certificates voluntarily surrendered in the reporting year</v>
      </c>
      <c r="F34" s="104"/>
      <c r="G34" s="104"/>
      <c r="H34" s="102" t="str">
        <v>MWh</v>
      </c>
      <c r="I34" s="106" t="str">
        <v>Input</v>
      </c>
      <c r="J34" s="102">
        <f>(X_Cell_Electricity_Market_AmountPurchasedGreenPower*10^-3)+X_Cell_TotalElegibleVoluntarilySurrenderedRECs</f>
        <v>10</v>
      </c>
    </row>
    <row r="35" spans="1:10" ht="20.100000000000001" customHeight="1" x14ac:dyDescent="0.25">
      <c r="A35" s="5" t="str">
        <f>HYPERLINK("#'5.3.1.1-2 Lime CO2'!A1", "5.3.1.1-2 Lime CO2")</f>
        <v>5.3.1.1-2 Lime CO2</v>
      </c>
      <c r="D35" s="102" t="str">
        <v>REC_onsite</v>
      </c>
      <c r="E35" s="103" t="str">
        <v>Renewable Energy Certificates issued for electricity produced on-site during the year and consumed by the entity</v>
      </c>
      <c r="F35" s="104"/>
      <c r="G35" s="104"/>
      <c r="H35" s="102" t="str">
        <v>MWh</v>
      </c>
      <c r="I35" s="106" t="str">
        <v>Input</v>
      </c>
      <c r="J35" s="102">
        <f>X_Cell_TotalElegibleRECsForElectricityProducedOnSite</f>
        <v>0</v>
      </c>
    </row>
    <row r="36" spans="1:10" ht="20.100000000000001" customHeight="1" x14ac:dyDescent="0.25">
      <c r="A36" s="5" t="str">
        <f>HYPERLINK("#'5.4.1.1-4 Atmos deposition'!A1", "5.4.1.1-4 Atmos. deposition")</f>
        <v>5.4.1.1-4 Atmos. deposition</v>
      </c>
      <c r="D36" s="102" t="str">
        <v>EF_RMF2elec</v>
      </c>
      <c r="E36" s="103" t="str">
        <v>Scope 2 residual mix emission factor for electricity</v>
      </c>
      <c r="F36" s="104"/>
      <c r="G36" s="104"/>
      <c r="H36" s="102" t="str">
        <v>kg CO2e/kWh</v>
      </c>
      <c r="I36" s="107" t="str">
        <v>Constant</v>
      </c>
      <c r="J36" s="102" cm="1">
        <f t="array" ref="J36">Table_SourceData_ElectricityEFsMarketBased[Scope 2 EF (kg CO2-e/kWh)]</f>
        <v>0.81</v>
      </c>
    </row>
    <row r="37" spans="1:10" ht="20.100000000000001" customHeight="1" x14ac:dyDescent="0.25">
      <c r="A37" s="5" t="str">
        <f>HYPERLINK("#'5.5.1.1-2 Leaching and runoff'!A1", "5.5.1.1-2 Leaching &amp; runoff")</f>
        <v>5.5.1.1-2 Leaching &amp; runoff</v>
      </c>
      <c r="D37" s="102" t="str">
        <v>i</v>
      </c>
      <c r="E37" s="103" t="str">
        <v>state</v>
      </c>
      <c r="F37" s="104"/>
      <c r="G37" s="105"/>
      <c r="H37" s="102" t="str">
        <v/>
      </c>
      <c r="I37" s="106" t="str">
        <v>Input</v>
      </c>
      <c r="J37" s="102" t="str">
        <f>X_Cell_Site_State</f>
        <v>Western Australia</v>
      </c>
    </row>
    <row r="38" spans="1:10" ht="20.100000000000001" customHeight="1" x14ac:dyDescent="0.25">
      <c r="A38" s="5" t="str">
        <f>HYPERLINK("#'6.2.1.1-2 Pasture residue N2O'!A1", "6.2.1.1-2 Pasture residue N2O")</f>
        <v>6.2.1.1-2 Pasture residue N2O</v>
      </c>
    </row>
    <row r="39" spans="1:10" ht="20.100000000000001" customHeight="1" x14ac:dyDescent="0.25">
      <c r="A39" s="5" t="str">
        <f>HYPERLINK("#'6.3.1.1-2 Leach runoff pasture'!A1", "6.3.1.1-2 Leach &amp; runoff (pasture)")</f>
        <v>6.3.1.1-2 Leach &amp; runoff (pasture)</v>
      </c>
      <c r="D39" s="114" t="s">
        <v>689</v>
      </c>
      <c r="E39" s="115" cm="1">
        <f t="array" ref="E39">Electricity_Equations.VEERG_14_1_2__1_MarketBasedScopeElectricityEmissionsVariation(J31,J32,IF(ISNUMBER(J33), J33, 0),J34,J35,J36)</f>
        <v>13.77</v>
      </c>
      <c r="F39" s="116" t="str">
        <f>E29</f>
        <v>t CO2e</v>
      </c>
    </row>
    <row r="40" spans="1:10" ht="20.100000000000001" customHeight="1" x14ac:dyDescent="0.25">
      <c r="A40" s="5" t="str">
        <f>HYPERLINK("#'8.1.1.1-2 Transport fuel'!A1", "8.1.1.1-2 Transport fuel")</f>
        <v>8.1.1.1-2 Transport fuel</v>
      </c>
      <c r="H40" s="1" t="s">
        <v>683</v>
      </c>
    </row>
    <row r="41" spans="1:10" ht="20.100000000000001" customHeight="1" x14ac:dyDescent="0.25">
      <c r="A41" s="5" t="str">
        <f>HYPERLINK("#'8.2.1.1-2 Stationary fuel'!A1", "8.2.1.1-2 Stationary fuel")</f>
        <v>8.2.1.1-2 Stationary fuel</v>
      </c>
    </row>
    <row r="42" spans="1:10" ht="20.100000000000001" customHeight="1" x14ac:dyDescent="0.25">
      <c r="A42" s="101" t="str">
        <f>HYPERLINK("#'14.1.1-2 Purchased electricity'!A1", "14.1.1-2 Purchased electricity")</f>
        <v>14.1.1-2 Purchased electricity</v>
      </c>
    </row>
    <row r="43" spans="1:10" ht="20.100000000000001" customHeight="1" x14ac:dyDescent="0.25">
      <c r="A43" s="5" t="str">
        <f>HYPERLINK("#'15 Scope 3'!A1", "15 Scope 3")</f>
        <v>15 Scope 3</v>
      </c>
    </row>
    <row r="44" spans="1:10" ht="20.100000000000001" customHeight="1" x14ac:dyDescent="0.25">
      <c r="A44" s="5" t="str">
        <f>HYPERLINK("#'Calcs - Manure sent off-site'!A1", "Calcs - Manure sent off-site")</f>
        <v>Calcs - Manure sent off-site</v>
      </c>
      <c r="E44" s="149"/>
    </row>
    <row r="45" spans="1:10" ht="20.100000000000001" customHeight="1" x14ac:dyDescent="0.25">
      <c r="A45" s="5" t="str">
        <f>HYPERLINK("#'10.1.1-2 Solid waste treatment'!A1", "10.1.1-2 Solid waste treatment")</f>
        <v>10.1.1-2 Solid waste treatment</v>
      </c>
    </row>
    <row r="46" spans="1:10" ht="20.100000000000001" customHeight="1" x14ac:dyDescent="0.25"/>
    <row r="47" spans="1:10" ht="20.100000000000001" customHeight="1" x14ac:dyDescent="0.25"/>
    <row r="48" spans="1:10"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69C964D7-E2CA-4214-8F3D-D4D083025745}"/>
  </dataValidation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CB6AC-1B4E-4F73-9707-5AC67EE17036}">
  <sheetPr>
    <tabColor theme="9" tint="-0.249977111117893"/>
  </sheetPr>
  <dimension ref="A1:AO642"/>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40" width="35" style="1" customWidth="1"/>
    <col min="41" max="41" width="5.28515625" style="1" customWidth="1"/>
    <col min="42" max="16384" width="9.140625" style="244"/>
  </cols>
  <sheetData>
    <row r="1" spans="1:41" s="31" customFormat="1" ht="30" customHeight="1" x14ac:dyDescent="0.35">
      <c r="A1" s="16" t="e" vm="1">
        <v>#VALUE!</v>
      </c>
      <c r="C1" s="31" t="s">
        <v>1061</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0" t="s">
        <v>259</v>
      </c>
      <c r="E7" s="10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0"/>
    </row>
    <row r="10" spans="1:41" ht="20.100000000000001" customHeight="1" x14ac:dyDescent="0.25">
      <c r="A10" s="5" t="str">
        <f>HYPERLINK("#'Input - Site'!A1", "Site")</f>
        <v>Site</v>
      </c>
      <c r="D10" s="88" t="s">
        <v>261</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2" t="str" cm="1">
        <f t="array" ref="D13:E17">_xlfn.CHOOSECOLS(Scope3_Equations.VEERG_15_1_1_1__1_EmissionsFromPurchasedLivestock_Arguments(),1,2)</f>
        <v>N_co</v>
      </c>
      <c r="E13" s="103" t="str">
        <v>number of animals purchased in livestock type c from origin o</v>
      </c>
      <c r="F13" s="105"/>
      <c r="G13" s="102" t="str" cm="1">
        <f t="array" ref="G13:H17">_xlfn.CHOOSECOLS(Scope3_Equations.VEERG_15_1_1_1__1_EmissionsFromPurchasedLivestock_Arguments(),3,4)</f>
        <v>head</v>
      </c>
      <c r="H13" s="261" t="str">
        <v>Input</v>
      </c>
    </row>
    <row r="14" spans="1:41" ht="20.100000000000001" customHeight="1" x14ac:dyDescent="0.25">
      <c r="A14" s="5" t="str">
        <f>HYPERLINK("#'Input - Beef cattle purchases'!A1", "Beef cattle purchases")</f>
        <v>Beef cattle purchases</v>
      </c>
      <c r="D14" s="102" t="str">
        <v>W_co</v>
      </c>
      <c r="E14" s="103" t="str">
        <v>average liveweight of purchased livestock at point of purchase</v>
      </c>
      <c r="F14" s="105"/>
      <c r="G14" s="102" t="str">
        <v>kg/head</v>
      </c>
      <c r="H14" s="261" t="str">
        <v>Input</v>
      </c>
    </row>
    <row r="15" spans="1:41" ht="20.100000000000001" customHeight="1" x14ac:dyDescent="0.25">
      <c r="A15" s="5" t="str">
        <f>HYPERLINK("#'Input - Pasture'!A1", "Pasture")</f>
        <v>Pasture</v>
      </c>
      <c r="D15" s="102" t="str">
        <v>EF_co</v>
      </c>
      <c r="E15" s="103" t="str">
        <v>emission factor per livestock type and origin</v>
      </c>
      <c r="F15" s="105"/>
      <c r="G15" s="102" t="str">
        <v>kg CO2e/kg</v>
      </c>
      <c r="H15" s="107" t="str">
        <v>Constant</v>
      </c>
    </row>
    <row r="16" spans="1:41" ht="20.100000000000001" customHeight="1" x14ac:dyDescent="0.25">
      <c r="A16" s="5" t="str">
        <f>HYPERLINK("#'Input - Fert Prod System'!A1", "Fert Prod System")</f>
        <v>Fert Prod System</v>
      </c>
      <c r="D16" s="102" t="str">
        <v>c</v>
      </c>
      <c r="E16" s="103" t="str">
        <v>livestock type</v>
      </c>
      <c r="F16" s="105"/>
      <c r="G16" s="102" t="str">
        <v/>
      </c>
      <c r="H16" s="261" t="str">
        <v>Input</v>
      </c>
    </row>
    <row r="17" spans="1:16" ht="20.100000000000001" customHeight="1" x14ac:dyDescent="0.25">
      <c r="A17" s="5" t="str">
        <f>HYPERLINK("#'Input - Fertiliser'!A1", "Fertiliser")</f>
        <v>Fertiliser</v>
      </c>
      <c r="D17" s="102" t="str">
        <v>o</v>
      </c>
      <c r="E17" s="103" t="str">
        <v>origin</v>
      </c>
      <c r="F17" s="105"/>
      <c r="G17" s="102" t="str">
        <v/>
      </c>
      <c r="H17" s="261"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1062</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46" t="s">
        <v>928</v>
      </c>
    </row>
    <row r="22" spans="1:16" ht="20.100000000000001" customHeight="1" x14ac:dyDescent="0.25">
      <c r="A22" s="5" t="str">
        <f>HYPERLINK("#'Input - Manure sent off-site'!A1", "Manure sent off-site")</f>
        <v>Manure sent off-site</v>
      </c>
      <c r="D22" s="112" t="s">
        <v>1063</v>
      </c>
      <c r="E22" s="262" t="s">
        <v>1064</v>
      </c>
      <c r="F22" s="262" t="s">
        <v>1065</v>
      </c>
      <c r="G22" s="262" t="s">
        <v>1066</v>
      </c>
      <c r="H22" s="262" t="s">
        <v>1067</v>
      </c>
      <c r="I22" s="111" t="s">
        <v>1068</v>
      </c>
      <c r="J22" s="111" t="s">
        <v>1069</v>
      </c>
      <c r="K22" s="262" t="s">
        <v>1070</v>
      </c>
      <c r="L22" s="112" t="s">
        <v>1071</v>
      </c>
      <c r="M22" s="111" t="s">
        <v>1072</v>
      </c>
      <c r="N22" s="112" t="s">
        <v>1073</v>
      </c>
      <c r="O22" s="112" t="s">
        <v>1074</v>
      </c>
      <c r="P22" s="112" t="s">
        <v>1075</v>
      </c>
    </row>
    <row r="23" spans="1:16" ht="20.100000000000001" customHeight="1" x14ac:dyDescent="0.25">
      <c r="A23" s="5" t="str">
        <f>HYPERLINK("#'Input - Solid waste'!A1", "Solid waste")</f>
        <v>Solid waste</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1076</v>
      </c>
      <c r="O23" s="23" t="s">
        <v>1077</v>
      </c>
      <c r="P23" s="244" t="s">
        <v>1078</v>
      </c>
    </row>
    <row r="24" spans="1:16" ht="20.100000000000001" customHeight="1" x14ac:dyDescent="0.25">
      <c r="A24"/>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3" cm="1">
        <f t="array" ref="J24">Scope3_Equations.VEERG_15_1_1_1__1_EmissionsFromPurchasedLivestock(G24,H24,I24)</f>
        <v>615.70000000000005</v>
      </c>
      <c r="K24" s="25">
        <v>465</v>
      </c>
      <c r="L24" s="86">
        <v>13</v>
      </c>
      <c r="M24" s="263" cm="1">
        <f t="array" ref="M24">Scope3_Equations.VEERG_15_1_1_1__1_EmissionsFromPurchasedLivestock(G24,K24,IF(L24, L24, I24))</f>
        <v>604.5</v>
      </c>
      <c r="N24" s="44"/>
      <c r="O24" s="23"/>
      <c r="P24" s="44"/>
    </row>
    <row r="25" spans="1:16" ht="20.100000000000001" customHeight="1" x14ac:dyDescent="0.25">
      <c r="A2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s="6" t="s">
        <v>2</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5" t="str">
        <f>HYPERLINK("#'3.2.1.1-2 Enteric Methane'!A1", "3.2.1.1-2 Enteric methane")</f>
        <v>3.2.1.1-2 Enteric methane</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HYPERLINK("#'4.2.1.1-2 Methane'!A1", "4.2.1.1-2 Manure methane")</f>
        <v>4.2.1.1-2 Manure methane</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HYPERLINK("#'4.2.1.3-4 Soil direct N20'!A1", "4.2.1.3-4 Soil direct N2O")</f>
        <v>4.2.1.3-4 Soil direct N2O</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HYPERLINK("#'4.2.1.5-6 Soil Atmos Dep'!A1", "4.2.1.5-6 Soil atm. deposition")</f>
        <v>4.2.1.5-6 Soil atm. deposition</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HYPERLINK("#'4.2.1.7-8 Soil leach runoff'!A1", "4.2.1.7-8 Soil leach &amp; runoff")</f>
        <v>4.2.1.7-8 Soil leach &amp; runoff</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HYPERLINK("#'5.1.1.1-2 Inorganic fert N2O'!A1", "5.1.1.1-2 Inorganic fert N2O")</f>
        <v>5.1.1.1-2 Inorganic fert N2O</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HYPERLINK("#'5.1.1.3-4 Inorganic fert CO2'!A1", "5.1.1.3-4 Inorganic fert CO2")</f>
        <v>5.1.1.3-4 Inorganic fert CO2</v>
      </c>
    </row>
    <row r="34" spans="1:13" ht="20.100000000000001" customHeight="1" x14ac:dyDescent="0.25">
      <c r="A34" s="5" t="str">
        <f>HYPERLINK("#'5.2.1.1-2 Organic Fert N2O'!A1", "5.2.1.1-2 Organic fert N2O")</f>
        <v>5.2.1.1-2 Organic fert N2O</v>
      </c>
      <c r="D34" s="125" t="s">
        <v>1079</v>
      </c>
      <c r="E34" s="113">
        <f>SUM(J23:J32)</f>
        <v>1052.5</v>
      </c>
      <c r="F34" s="120" t="str">
        <f>$E$11</f>
        <v>t CO2e</v>
      </c>
    </row>
    <row r="35" spans="1:13" ht="20.100000000000001" customHeight="1" x14ac:dyDescent="0.25">
      <c r="A35" s="5" t="str">
        <f>HYPERLINK("#'5.3.1.1-2 Lime CO2'!A1", "5.3.1.1-2 Lime CO2")</f>
        <v>5.3.1.1-2 Lime CO2</v>
      </c>
      <c r="D35" s="125" t="s">
        <v>1080</v>
      </c>
      <c r="E35" s="113">
        <f>SUM(M23:M32)</f>
        <v>1014.5</v>
      </c>
      <c r="F35" s="120" t="str">
        <f>$E$11</f>
        <v>t CO2e</v>
      </c>
    </row>
    <row r="36" spans="1:13" ht="20.100000000000001" customHeight="1" x14ac:dyDescent="0.25">
      <c r="A36" s="5" t="str">
        <f>HYPERLINK("#'5.4.1.1-4 Atmos deposition'!A1", "5.4.1.1-4 Atmos. deposition")</f>
        <v>5.4.1.1-4 Atmos. deposition</v>
      </c>
    </row>
    <row r="37" spans="1:13" ht="20.100000000000001" customHeight="1" x14ac:dyDescent="0.25">
      <c r="A37" s="5" t="str">
        <f>HYPERLINK("#'5.5.1.1-2 Leaching and runoff'!A1", "5.5.1.1-2 Leaching &amp; runoff")</f>
        <v>5.5.1.1-2 Leaching &amp; runoff</v>
      </c>
    </row>
    <row r="38" spans="1:13" ht="20.100000000000001" customHeight="1" x14ac:dyDescent="0.25">
      <c r="A38" s="5" t="str">
        <f>HYPERLINK("#'6.2.1.1-2 Pasture residue N2O'!A1", "6.2.1.1-2 Pasture residue N2O")</f>
        <v>6.2.1.1-2 Pasture residue N2O</v>
      </c>
      <c r="D38" s="246" t="s">
        <v>1081</v>
      </c>
    </row>
    <row r="39" spans="1:13" ht="20.100000000000001" customHeight="1" x14ac:dyDescent="0.25">
      <c r="A39" s="5" t="str">
        <f>HYPERLINK("#'6.3.1.1-2 Leach runoff pasture'!A1", "6.3.1.1-2 Leach &amp; runoff (pasture)")</f>
        <v>6.3.1.1-2 Leach &amp; runoff (pasture)</v>
      </c>
      <c r="D39" s="102" t="s">
        <v>1082</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HYPERLINK("#'8.1.1.1-2 Transport fuel'!A1", "8.1.1.1-2 Transport fuel")</f>
        <v>8.1.1.1-2 Transport fuel</v>
      </c>
    </row>
    <row r="41" spans="1:13" ht="20.100000000000001" customHeight="1" x14ac:dyDescent="0.25">
      <c r="A41" s="5" t="str">
        <f>HYPERLINK("#'8.2.1.1-2 Stationary fuel'!A1", "8.2.1.1-2 Stationary fuel")</f>
        <v>8.2.1.1-2 Stationary fuel</v>
      </c>
      <c r="D41" s="112" t="s">
        <v>1063</v>
      </c>
      <c r="E41" s="262" t="s">
        <v>1066</v>
      </c>
      <c r="F41" s="262" t="s">
        <v>1067</v>
      </c>
      <c r="G41" s="111" t="s">
        <v>1069</v>
      </c>
      <c r="H41" s="262" t="s">
        <v>1070</v>
      </c>
      <c r="I41" s="112" t="s">
        <v>1071</v>
      </c>
      <c r="J41" s="111" t="s">
        <v>1072</v>
      </c>
      <c r="K41" s="112" t="s">
        <v>1073</v>
      </c>
      <c r="L41" s="112" t="s">
        <v>1074</v>
      </c>
      <c r="M41" s="112" t="s">
        <v>1075</v>
      </c>
    </row>
    <row r="42" spans="1:13" ht="20.100000000000001" customHeight="1" x14ac:dyDescent="0.25">
      <c r="A42" s="5" t="str">
        <f>HYPERLINK("#'14.1.1-2 Purchased electricity'!A1", "14.1.1-2 Purchased electricity")</f>
        <v>14.1.1-2 Purchased electricity</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1076</v>
      </c>
      <c r="L42" s="23" t="s">
        <v>1077</v>
      </c>
      <c r="M42" s="244" t="s">
        <v>1078</v>
      </c>
    </row>
    <row r="43" spans="1:13" ht="20.100000000000001" customHeight="1" x14ac:dyDescent="0.25">
      <c r="A43" s="101" t="str">
        <f>HYPERLINK("#'15 Scope 3'!A1", "15 Scope 3")</f>
        <v>15 Scope 3</v>
      </c>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s="5" t="str">
        <f>HYPERLINK("#'Calcs - Manure sent off-site'!A1", "Calcs - Manure sent off-site")</f>
        <v>Calcs - Manure sent off-site</v>
      </c>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5" t="str">
        <f>HYPERLINK("#'10.1.1-2 Solid waste treatment'!A1", "10.1.1-2 Solid waste treatment")</f>
        <v>10.1.1-2 Solid waste treatment</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s="96" t="s">
        <v>1</v>
      </c>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5" t="str">
        <f>HYPERLINK("#'Constants - Pasture Beef'!A1", "Constants - Pasture Beef")</f>
        <v>Constants - Pasture Beef</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Ag Residue'!A1", "Constants - Ag residue")</f>
        <v>Constants - Ag residue</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Common Livestock'!A1", "Constants - Common Livestock")</f>
        <v>Constants - Common Livestock</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Electricity'!A1", "Constants - Electricity")</f>
        <v>Constants - Electricity</v>
      </c>
    </row>
    <row r="53" spans="1:13" ht="20.100000000000001" customHeight="1" x14ac:dyDescent="0.25">
      <c r="A53" s="5" t="str">
        <f>HYPERLINK("#'Constants - Fertiliser'!A1", "Constants - Fertiliser")</f>
        <v>Constants - Fertiliser</v>
      </c>
      <c r="D53" s="125" t="s">
        <v>1083</v>
      </c>
      <c r="E53" s="113">
        <f>SUM(G42:G51)</f>
        <v>0</v>
      </c>
      <c r="F53" s="120" t="str">
        <f>$E$11</f>
        <v>t CO2e</v>
      </c>
    </row>
    <row r="54" spans="1:13" ht="20.100000000000001" customHeight="1" x14ac:dyDescent="0.25">
      <c r="A54" s="5" t="str">
        <f>HYPERLINK("#'Constants - Fuel'!A1", "Constants - Fuel")</f>
        <v>Constants - Fuel</v>
      </c>
      <c r="D54" s="125" t="s">
        <v>1084</v>
      </c>
      <c r="E54" s="113">
        <f>SUM(J42:J51)</f>
        <v>0</v>
      </c>
      <c r="F54" s="120" t="str">
        <f>$E$11</f>
        <v>t CO2e</v>
      </c>
    </row>
    <row r="55" spans="1:13" ht="20.100000000000001" customHeight="1" x14ac:dyDescent="0.25">
      <c r="A55" s="5" t="str">
        <f>HYPERLINK("#'Constants - Scope 3'!A1", "Constants - Scope 3")</f>
        <v>Constants - Scope 3</v>
      </c>
    </row>
    <row r="56" spans="1:13" ht="20.100000000000001" customHeight="1" x14ac:dyDescent="0.25">
      <c r="A56" s="5" t="str">
        <f>HYPERLINK("#'Constants - Common'!A1", "Constants - Common")</f>
        <v>Constants - Common</v>
      </c>
    </row>
    <row r="57" spans="1:13" ht="20.100000000000001" customHeight="1" x14ac:dyDescent="0.25">
      <c r="A57" s="5" t="str">
        <f>HYPERLINK("#'Acknowledgements'!A1", "Acknowledgements")</f>
        <v>Acknowledgements</v>
      </c>
      <c r="D57" s="246" t="s">
        <v>1085</v>
      </c>
    </row>
    <row r="58" spans="1:13" ht="20.100000000000001" customHeight="1" x14ac:dyDescent="0.25">
      <c r="A58" s="5" t="str">
        <f>HYPERLINK("#'Constants - Solid Waste'!A1", "Constants - Solid Waste")</f>
        <v>Constants - Solid Waste</v>
      </c>
      <c r="D58" s="102" t="s">
        <v>1082</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12" t="s">
        <v>1063</v>
      </c>
      <c r="E60" s="262" t="s">
        <v>1066</v>
      </c>
      <c r="F60" s="262" t="s">
        <v>1067</v>
      </c>
      <c r="G60" s="111" t="s">
        <v>1069</v>
      </c>
      <c r="H60" s="262" t="s">
        <v>1070</v>
      </c>
      <c r="I60" s="112" t="s">
        <v>1071</v>
      </c>
      <c r="J60" s="111" t="s">
        <v>1072</v>
      </c>
      <c r="K60" s="112" t="s">
        <v>1073</v>
      </c>
      <c r="L60" s="112" t="s">
        <v>1074</v>
      </c>
      <c r="M60" s="112" t="s">
        <v>1075</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4"/>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5" t="s">
        <v>1086</v>
      </c>
      <c r="E72" s="113">
        <f>SUM(G61:G70)</f>
        <v>0</v>
      </c>
      <c r="F72" s="120" t="str">
        <f>$E$11</f>
        <v>t CO2e</v>
      </c>
    </row>
    <row r="73" spans="1:13" ht="20.100000000000001" customHeight="1" x14ac:dyDescent="0.25">
      <c r="A73"/>
      <c r="D73" s="125" t="s">
        <v>1087</v>
      </c>
      <c r="E73" s="113">
        <f>SUM(J61:J70)</f>
        <v>0</v>
      </c>
      <c r="F73" s="120" t="str">
        <f>$E$11</f>
        <v>t CO2e</v>
      </c>
    </row>
    <row r="74" spans="1:13" ht="20.100000000000001" customHeight="1" x14ac:dyDescent="0.25">
      <c r="A74"/>
    </row>
    <row r="75" spans="1:13" ht="20.100000000000001" customHeight="1" x14ac:dyDescent="0.25">
      <c r="A75"/>
      <c r="D75" s="246" t="s">
        <v>1088</v>
      </c>
    </row>
    <row r="76" spans="1:13" ht="20.100000000000001" customHeight="1" x14ac:dyDescent="0.25">
      <c r="A76"/>
      <c r="D76" s="102" t="s">
        <v>1082</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12" t="s">
        <v>1063</v>
      </c>
      <c r="E78" s="262" t="s">
        <v>1066</v>
      </c>
      <c r="F78" s="262" t="s">
        <v>1067</v>
      </c>
      <c r="G78" s="111" t="s">
        <v>1069</v>
      </c>
      <c r="H78" s="262" t="s">
        <v>1070</v>
      </c>
      <c r="I78" s="112" t="s">
        <v>1071</v>
      </c>
      <c r="J78" s="111" t="s">
        <v>1072</v>
      </c>
      <c r="K78" s="112" t="s">
        <v>1073</v>
      </c>
      <c r="L78" s="112" t="s">
        <v>1074</v>
      </c>
      <c r="M78" s="112" t="s">
        <v>1075</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4"/>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5" t="s">
        <v>1089</v>
      </c>
      <c r="E90" s="113">
        <f>SUM(G79:G88)</f>
        <v>0</v>
      </c>
      <c r="F90" s="120" t="str">
        <f>$E$11</f>
        <v>t CO2e</v>
      </c>
    </row>
    <row r="91" spans="1:13" ht="20.100000000000001" customHeight="1" x14ac:dyDescent="0.25">
      <c r="A91"/>
      <c r="D91" s="125" t="s">
        <v>1090</v>
      </c>
      <c r="E91" s="113">
        <f>SUM(J79:J88)</f>
        <v>0</v>
      </c>
      <c r="F91" s="120" t="str">
        <f>$E$11</f>
        <v>t CO2e</v>
      </c>
    </row>
    <row r="92" spans="1:13" ht="20.100000000000001" customHeight="1" x14ac:dyDescent="0.25">
      <c r="A92"/>
    </row>
    <row r="93" spans="1:13" ht="20.100000000000001" customHeight="1" x14ac:dyDescent="0.25">
      <c r="A93"/>
      <c r="D93" s="114" t="s">
        <v>1069</v>
      </c>
      <c r="E93" s="115">
        <f>E34+E53+E72+E90</f>
        <v>1052.5</v>
      </c>
      <c r="F93" s="116" t="str">
        <f>$E$11</f>
        <v>t CO2e</v>
      </c>
    </row>
    <row r="94" spans="1:13" ht="20.100000000000001" customHeight="1" x14ac:dyDescent="0.25">
      <c r="A94"/>
      <c r="D94" s="114" t="s">
        <v>1072</v>
      </c>
      <c r="E94" s="115">
        <f>E35+E54+E73+E91</f>
        <v>1014.5</v>
      </c>
      <c r="F94" s="116" t="str">
        <f>$E$11</f>
        <v>t CO2e</v>
      </c>
    </row>
    <row r="95" spans="1:13" ht="20.100000000000001" customHeight="1" x14ac:dyDescent="0.25">
      <c r="A95"/>
    </row>
    <row r="96" spans="1:13" ht="20.100000000000001" customHeight="1" x14ac:dyDescent="0.25">
      <c r="A96"/>
    </row>
    <row r="97" spans="1:41" ht="20.100000000000001" customHeight="1" x14ac:dyDescent="0.25">
      <c r="A97"/>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0" t="s">
        <v>259</v>
      </c>
      <c r="E100" s="10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0"/>
    </row>
    <row r="103" spans="1:41" ht="20.100000000000001" customHeight="1" x14ac:dyDescent="0.25">
      <c r="A103"/>
      <c r="D103" s="88" t="s">
        <v>261</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2" t="str" cm="1">
        <f t="array" ref="D106:E108">_xlfn.CHOOSECOLS(Scope3_Equations.VEERG_15_2_1_1__1_EmissionsFromPurchasedFeed_Arguments(),1,2)</f>
        <v>Q_j</v>
      </c>
      <c r="E106" s="103" t="str">
        <v>quantity of feed type j purchased</v>
      </c>
      <c r="F106" s="105"/>
      <c r="G106" s="102" t="str" cm="1">
        <f t="array" ref="G106:H108">_xlfn.CHOOSECOLS(Scope3_Equations.VEERG_15_2_1_1__1_EmissionsFromPurchasedFeed_Arguments(),3,4)</f>
        <v>t</v>
      </c>
      <c r="H106" s="261" t="str">
        <v>Input</v>
      </c>
    </row>
    <row r="107" spans="1:41" ht="20.100000000000001" customHeight="1" x14ac:dyDescent="0.25">
      <c r="A107"/>
      <c r="D107" s="102" t="str">
        <v>EF_j</v>
      </c>
      <c r="E107" s="103" t="str">
        <v>emission factor of purchased feed</v>
      </c>
      <c r="F107" s="105"/>
      <c r="G107" s="102" t="str">
        <v>kg CO2e/kg</v>
      </c>
      <c r="H107" s="261" t="str">
        <v>Constant</v>
      </c>
    </row>
    <row r="108" spans="1:41" ht="20.100000000000001" customHeight="1" x14ac:dyDescent="0.25">
      <c r="A108"/>
      <c r="D108" s="102" t="str">
        <v>j</v>
      </c>
      <c r="E108" s="103" t="str">
        <v>feed type</v>
      </c>
      <c r="F108" s="105"/>
      <c r="G108" s="102" t="str">
        <v/>
      </c>
      <c r="H108" s="107" t="str">
        <v>Input</v>
      </c>
    </row>
    <row r="109" spans="1:41" ht="20.100000000000001" customHeight="1" x14ac:dyDescent="0.25">
      <c r="A109"/>
    </row>
    <row r="110" spans="1:41" ht="20.100000000000001" customHeight="1" x14ac:dyDescent="0.25">
      <c r="A110"/>
      <c r="D110" s="246" t="s">
        <v>1091</v>
      </c>
    </row>
    <row r="111" spans="1:41" ht="20.100000000000001" customHeight="1" x14ac:dyDescent="0.25">
      <c r="A111"/>
    </row>
    <row r="112" spans="1:41" ht="20.100000000000001" customHeight="1" x14ac:dyDescent="0.25">
      <c r="A112"/>
      <c r="D112" s="130" t="s">
        <v>1092</v>
      </c>
      <c r="E112" s="55"/>
      <c r="F112" s="130"/>
      <c r="G112" s="54"/>
      <c r="H112" s="55"/>
    </row>
    <row r="113" spans="1:28" ht="20.100000000000001" customHeight="1" x14ac:dyDescent="0.25">
      <c r="A113"/>
      <c r="D113" s="156" t="s">
        <v>1093</v>
      </c>
      <c r="E113" s="158"/>
      <c r="F113" s="156"/>
      <c r="G113" s="157"/>
      <c r="H113" s="158"/>
    </row>
    <row r="114" spans="1:28" ht="20.100000000000001" customHeight="1" x14ac:dyDescent="0.25">
      <c r="A114"/>
      <c r="D114" s="56" t="s">
        <v>1094</v>
      </c>
      <c r="E114" s="58"/>
      <c r="F114" s="56"/>
      <c r="G114" s="57"/>
      <c r="H114" s="58"/>
    </row>
    <row r="115" spans="1:28" ht="20.100000000000001" customHeight="1" x14ac:dyDescent="0.25">
      <c r="A115"/>
    </row>
    <row r="116" spans="1:28" ht="20.100000000000001" customHeight="1" x14ac:dyDescent="0.25">
      <c r="A116"/>
      <c r="D116" s="46" t="s">
        <v>1095</v>
      </c>
      <c r="E116" s="48"/>
      <c r="F116" s="49"/>
    </row>
    <row r="117" spans="1:28" ht="20.100000000000001" customHeight="1" x14ac:dyDescent="0.25">
      <c r="A117"/>
    </row>
    <row r="118" spans="1:28" ht="20.100000000000001" customHeight="1" x14ac:dyDescent="0.25">
      <c r="A118"/>
      <c r="D118" s="112" t="s">
        <v>1096</v>
      </c>
      <c r="E118" s="112" t="s">
        <v>1097</v>
      </c>
      <c r="F118" s="111" t="s">
        <v>1098</v>
      </c>
      <c r="G118" s="111" t="s">
        <v>1069</v>
      </c>
      <c r="H118" s="112" t="s">
        <v>1099</v>
      </c>
      <c r="I118" s="111" t="s">
        <v>1072</v>
      </c>
      <c r="J118" s="112" t="s">
        <v>1073</v>
      </c>
      <c r="K118" s="112" t="s">
        <v>1074</v>
      </c>
      <c r="L118" s="112" t="s">
        <v>1075</v>
      </c>
      <c r="M118" s="111" t="s">
        <v>477</v>
      </c>
      <c r="N118" s="111" t="s">
        <v>1100</v>
      </c>
      <c r="O118" s="111" t="s">
        <v>478</v>
      </c>
      <c r="P118" s="111" t="s">
        <v>1101</v>
      </c>
      <c r="Q118" s="111" t="s">
        <v>479</v>
      </c>
      <c r="R118" s="111" t="s">
        <v>1102</v>
      </c>
      <c r="S118" s="111" t="s">
        <v>480</v>
      </c>
      <c r="T118" s="111" t="s">
        <v>1103</v>
      </c>
      <c r="U118" s="111" t="s">
        <v>481</v>
      </c>
      <c r="V118" s="111" t="s">
        <v>1104</v>
      </c>
      <c r="W118" s="111" t="s">
        <v>482</v>
      </c>
      <c r="X118" s="111" t="s">
        <v>1105</v>
      </c>
      <c r="Y118" s="111" t="s">
        <v>483</v>
      </c>
      <c r="Z118" s="111" t="s">
        <v>1106</v>
      </c>
      <c r="AA118" s="111" t="s">
        <v>484</v>
      </c>
      <c r="AB118" s="111" t="s">
        <v>1107</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63" cm="1">
        <f t="array" ref="G119">Scope3_Equations.VEERG_15_2_1_1__1_EmissionsFromPurchasedFeed(E119,F119)</f>
        <v>29.651999999999994</v>
      </c>
      <c r="H119" s="86">
        <v>0.04</v>
      </c>
      <c r="I119" s="263" cm="1">
        <f t="array" ref="I119">Scope3_Equations.VEERG_15_2_1_1__1_EmissionsFromPurchasedFeed(E119,IF(H119,H119, F119))</f>
        <v>48</v>
      </c>
      <c r="J119" s="44"/>
      <c r="K119" s="23"/>
      <c r="L119" s="244"/>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63" cm="1">
        <f t="array" ref="G120">Scope3_Equations.VEERG_15_2_1_1__1_EmissionsFromPurchasedFeed(E120,F120)</f>
        <v>0</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63" cm="1">
        <f t="array" ref="G121">Scope3_Equations.VEERG_15_2_1_1__1_EmissionsFromPurchasedFeed(E121,F121)</f>
        <v>0</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25" t="s">
        <v>1069</v>
      </c>
      <c r="E130" s="113">
        <f>SUM(G119:G128)</f>
        <v>202.15199999999999</v>
      </c>
      <c r="F130" s="120" t="str">
        <f>$E$104</f>
        <v>t CO2e</v>
      </c>
    </row>
    <row r="131" spans="1:12" ht="20.100000000000001" customHeight="1" x14ac:dyDescent="0.25">
      <c r="A131"/>
      <c r="D131" s="125" t="s">
        <v>1072</v>
      </c>
      <c r="E131" s="113">
        <f>SUM(I119:I128)</f>
        <v>366.18</v>
      </c>
      <c r="F131" s="120"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6" t="s">
        <v>988</v>
      </c>
    </row>
    <row r="135" spans="1:12" ht="20.100000000000001" customHeight="1" x14ac:dyDescent="0.25">
      <c r="A135"/>
      <c r="D135" s="112" t="s">
        <v>152</v>
      </c>
      <c r="E135" s="112" t="s">
        <v>1097</v>
      </c>
      <c r="F135" s="111" t="s">
        <v>1098</v>
      </c>
      <c r="G135" s="111" t="s">
        <v>1069</v>
      </c>
      <c r="H135" s="112" t="s">
        <v>1099</v>
      </c>
      <c r="I135" s="111" t="s">
        <v>1072</v>
      </c>
      <c r="J135" s="112" t="s">
        <v>1073</v>
      </c>
      <c r="K135" s="112" t="s">
        <v>1074</v>
      </c>
      <c r="L135" s="112" t="s">
        <v>1075</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4"/>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5" t="s">
        <v>1069</v>
      </c>
      <c r="E141" s="113">
        <f>SUM(G136:G139)</f>
        <v>174.9</v>
      </c>
      <c r="F141" s="120" t="str">
        <f>$E$104</f>
        <v>t CO2e</v>
      </c>
    </row>
    <row r="142" spans="1:12" ht="20.100000000000001" customHeight="1" x14ac:dyDescent="0.25">
      <c r="A142"/>
      <c r="D142" s="125" t="s">
        <v>1072</v>
      </c>
      <c r="E142" s="113">
        <f>SUM(I136:I139)</f>
        <v>163.60000000000002</v>
      </c>
      <c r="F142" s="120" t="str">
        <f>$E$104</f>
        <v>t CO2e</v>
      </c>
    </row>
    <row r="143" spans="1:12" ht="20.100000000000001" customHeight="1" x14ac:dyDescent="0.25">
      <c r="A143"/>
    </row>
    <row r="144" spans="1:12" ht="20.100000000000001" customHeight="1" x14ac:dyDescent="0.25">
      <c r="A144"/>
      <c r="D144" s="114" t="s">
        <v>1069</v>
      </c>
      <c r="E144" s="115">
        <f>E130+E141</f>
        <v>377.05200000000002</v>
      </c>
      <c r="F144" s="116" t="str">
        <f>$E$104</f>
        <v>t CO2e</v>
      </c>
    </row>
    <row r="145" spans="1:41" ht="20.100000000000001" customHeight="1" x14ac:dyDescent="0.25">
      <c r="A145"/>
      <c r="D145" s="114" t="s">
        <v>1072</v>
      </c>
      <c r="E145" s="115">
        <f>E131+E142</f>
        <v>529.78</v>
      </c>
      <c r="F145" s="116"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0" t="s">
        <v>259</v>
      </c>
      <c r="E151" s="10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0"/>
    </row>
    <row r="154" spans="1:41" ht="20.100000000000001" customHeight="1" x14ac:dyDescent="0.25">
      <c r="A154"/>
      <c r="D154" s="88" t="s">
        <v>261</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2" t="str" cm="1">
        <f t="array" ref="D157:E159">_xlfn.CHOOSECOLS(Scope3_Equations.VEERG_15_3_1_1__1_EmissionsFromPurchasedMineralSupplements_Arguments(),1,2)</f>
        <v>Q_m</v>
      </c>
      <c r="E157" s="103" t="str">
        <v>total quantity of mineral supplement type m used</v>
      </c>
      <c r="F157" s="105"/>
      <c r="G157" s="102" t="str" cm="1">
        <f t="array" ref="G157:H159">_xlfn.CHOOSECOLS(Scope3_Equations.VEERG_15_3_1_1__1_EmissionsFromPurchasedMineralSupplements_Arguments(),3,4)</f>
        <v>t</v>
      </c>
      <c r="H157" s="261" t="str">
        <v>Input</v>
      </c>
    </row>
    <row r="158" spans="1:41" ht="20.100000000000001" customHeight="1" x14ac:dyDescent="0.25">
      <c r="A158"/>
      <c r="D158" s="102" t="str">
        <v>EF_m</v>
      </c>
      <c r="E158" s="103" t="str">
        <v>emission factor of purchased mineral supplement</v>
      </c>
      <c r="F158" s="105"/>
      <c r="G158" s="102" t="str">
        <v>kg CO2e/kg</v>
      </c>
      <c r="H158" s="261" t="str">
        <v>Constant</v>
      </c>
    </row>
    <row r="159" spans="1:41" ht="20.100000000000001" customHeight="1" x14ac:dyDescent="0.25">
      <c r="A159"/>
      <c r="D159" s="102" t="str">
        <v>m</v>
      </c>
      <c r="E159" s="103" t="str">
        <v>mineral supplement type</v>
      </c>
      <c r="F159" s="105"/>
      <c r="G159" s="102" t="str">
        <v/>
      </c>
      <c r="H159" s="107" t="str">
        <v>Input</v>
      </c>
    </row>
    <row r="160" spans="1:41" ht="20.100000000000001" customHeight="1" x14ac:dyDescent="0.25">
      <c r="A160"/>
    </row>
    <row r="161" spans="3:41" ht="20.100000000000001" customHeight="1" x14ac:dyDescent="0.25">
      <c r="D161" s="112" t="s">
        <v>152</v>
      </c>
      <c r="E161" s="112" t="s">
        <v>1108</v>
      </c>
      <c r="F161" s="111" t="s">
        <v>1109</v>
      </c>
      <c r="G161" s="111" t="s">
        <v>1069</v>
      </c>
      <c r="H161" s="112" t="s">
        <v>1110</v>
      </c>
      <c r="I161" s="111" t="s">
        <v>1072</v>
      </c>
      <c r="J161" s="112" t="s">
        <v>1073</v>
      </c>
      <c r="K161" s="112" t="s">
        <v>1074</v>
      </c>
      <c r="L161" s="112" t="s">
        <v>1075</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4"/>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4" t="s">
        <v>1069</v>
      </c>
      <c r="E166" s="115">
        <f>SUM(G162:G164)</f>
        <v>178.9</v>
      </c>
      <c r="F166" s="116" t="str">
        <f>$E$155</f>
        <v>t CO2e</v>
      </c>
    </row>
    <row r="167" spans="3:41" ht="20.100000000000001" customHeight="1" x14ac:dyDescent="0.25">
      <c r="D167" s="114" t="s">
        <v>1072</v>
      </c>
      <c r="E167" s="115">
        <f>SUM(I162:I164)</f>
        <v>160</v>
      </c>
      <c r="F167" s="116" t="str">
        <f>$E$155</f>
        <v>t CO2e</v>
      </c>
    </row>
    <row r="168" spans="3:41" ht="20.100000000000001" customHeight="1" x14ac:dyDescent="0.25"/>
    <row r="169" spans="3:41" ht="20.100000000000001" customHeight="1" x14ac:dyDescent="0.25"/>
    <row r="170" spans="3:41" ht="20.100000000000001" customHeight="1" x14ac:dyDescent="0.25">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0" t="s">
        <v>259</v>
      </c>
      <c r="E174" s="10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261</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2" t="str" cm="1">
        <f t="array" ref="D180:E183">_xlfn.CHOOSECOLS(Scope3_Equations.VEERG_15_4_1_1__X_EmissionFactorFromPurchasedFertiliserComponents_Arguments(),1,2)</f>
        <v>F_cf</v>
      </c>
      <c r="E180" s="103" t="str">
        <v>fraction of component c contained within the inorganic fertiliser f</v>
      </c>
      <c r="F180" s="105"/>
      <c r="G180" s="102" t="str" cm="1">
        <f t="array" ref="G180:H183">_xlfn.CHOOSECOLS(Scope3_Equations.VEERG_15_4_1_1__X_EmissionFactorFromPurchasedFertiliserComponents_Arguments(),3,4)</f>
        <v>wt%</v>
      </c>
      <c r="H180" s="261" t="str">
        <v>Input</v>
      </c>
    </row>
    <row r="181" spans="4:8" ht="20.100000000000001" customHeight="1" x14ac:dyDescent="0.25">
      <c r="D181" s="102" t="str">
        <v>EF_c</v>
      </c>
      <c r="E181" s="103" t="str">
        <v>emission factor for the production of component c</v>
      </c>
      <c r="F181" s="105"/>
      <c r="G181" s="102" t="str">
        <v>kg CO2e/kg component</v>
      </c>
      <c r="H181" s="107" t="str">
        <v>Constant</v>
      </c>
    </row>
    <row r="182" spans="4:8" ht="20.100000000000001" customHeight="1" x14ac:dyDescent="0.25">
      <c r="D182" s="102" t="str">
        <v>c</v>
      </c>
      <c r="E182" s="103" t="str">
        <v>fertiliser component</v>
      </c>
      <c r="F182" s="105"/>
      <c r="G182" s="102" t="str">
        <v/>
      </c>
      <c r="H182" s="261" t="str">
        <v>Input</v>
      </c>
    </row>
    <row r="183" spans="4:8" ht="20.100000000000001" customHeight="1" x14ac:dyDescent="0.25">
      <c r="D183" s="102" t="str">
        <v>f</v>
      </c>
      <c r="E183" s="103" t="str">
        <v>inorganic fertiliser type</v>
      </c>
      <c r="F183" s="105"/>
      <c r="G183" s="102"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0" t="s">
        <v>259</v>
      </c>
      <c r="E188" s="10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261</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2" t="str" cm="1">
        <f t="array" ref="D194:E197">_xlfn.CHOOSECOLS(Scope3_Equations.VEERG_15_4_1_1__1_EmissionsFromPurchasedFertiliser_Arguments(),1,2)</f>
        <v>TM_jf</v>
      </c>
      <c r="E194" s="102" t="str">
        <v>quantity of inorganic fertiliser type f purchased and applied to production system j</v>
      </c>
      <c r="F194" s="102"/>
      <c r="G194" s="102" t="str" cm="1">
        <f t="array" ref="G194:H197">_xlfn.CHOOSECOLS(Scope3_Equations.VEERG_15_4_1_1__1_EmissionsFromPurchasedFertiliser_Arguments(),3,4)</f>
        <v>kg</v>
      </c>
      <c r="H194" s="261" t="str">
        <v>Input</v>
      </c>
    </row>
    <row r="195" spans="4:8" ht="20.100000000000001" customHeight="1" x14ac:dyDescent="0.25">
      <c r="D195" s="102" t="str">
        <v>EF_f</v>
      </c>
      <c r="E195" s="102" t="str">
        <v>emission factor of purchased inorganic fertiliser</v>
      </c>
      <c r="F195" s="102"/>
      <c r="G195" s="102" t="str">
        <v>kg CO2e/kg</v>
      </c>
      <c r="H195" s="107" t="str">
        <v>Constant</v>
      </c>
    </row>
    <row r="196" spans="4:8" ht="20.100000000000001" customHeight="1" x14ac:dyDescent="0.25">
      <c r="D196" s="102" t="str">
        <v>j</v>
      </c>
      <c r="E196" s="102" t="str">
        <v>production system</v>
      </c>
      <c r="F196" s="102"/>
      <c r="G196" s="102" t="str">
        <v/>
      </c>
      <c r="H196" s="261" t="str">
        <v>Input</v>
      </c>
    </row>
    <row r="197" spans="4:8" ht="20.100000000000001" customHeight="1" x14ac:dyDescent="0.25">
      <c r="D197" s="102" t="str">
        <v>f</v>
      </c>
      <c r="E197" s="102" t="str">
        <v>inorganic fertiliser type</v>
      </c>
      <c r="F197" s="102"/>
      <c r="G197" s="102"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0" t="s">
        <v>259</v>
      </c>
      <c r="E203" s="10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261</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2" t="str" cm="1">
        <f t="array" ref="D209:E214">_xlfn.CHOOSECOLS(Scope3_Equations.VEERG_15_4_1_1__2_EmissionsFromPurchasedFertiliserComponents_Arguments(),1,2)</f>
        <v>F_cf</v>
      </c>
      <c r="E209" s="103" t="str">
        <v>fraction of component c contained within the inorganic fertiliser f</v>
      </c>
      <c r="F209" s="105"/>
      <c r="G209" s="102" t="str" cm="1">
        <f t="array" ref="G209:H214">_xlfn.CHOOSECOLS(Scope3_Equations.VEERG_15_4_1_1__2_EmissionsFromPurchasedFertiliserComponents_Arguments(),3,4)</f>
        <v>wt%</v>
      </c>
      <c r="H209" s="261" t="str">
        <v>Input</v>
      </c>
    </row>
    <row r="210" spans="4:40" ht="20.100000000000001" customHeight="1" x14ac:dyDescent="0.25">
      <c r="D210" s="102" t="str">
        <v>TM_jf</v>
      </c>
      <c r="E210" s="103" t="str">
        <v>quantity of inorganic fertiliser type f purchased and applied to production system j</v>
      </c>
      <c r="F210" s="105"/>
      <c r="G210" s="102" t="str">
        <v>kg</v>
      </c>
      <c r="H210" s="107" t="str">
        <v>Input</v>
      </c>
    </row>
    <row r="211" spans="4:40" ht="20.100000000000001" customHeight="1" x14ac:dyDescent="0.25">
      <c r="D211" s="102" t="str">
        <v>EF_c</v>
      </c>
      <c r="E211" s="103" t="str">
        <v>emission factor for the production of component c</v>
      </c>
      <c r="F211" s="105"/>
      <c r="G211" s="102" t="str">
        <v>kg CO2e/kg component</v>
      </c>
      <c r="H211" s="107" t="str">
        <v>Constant</v>
      </c>
    </row>
    <row r="212" spans="4:40" ht="20.100000000000001" customHeight="1" x14ac:dyDescent="0.25">
      <c r="D212" s="102" t="str">
        <v>c</v>
      </c>
      <c r="E212" s="103" t="str">
        <v>fertiliser component</v>
      </c>
      <c r="F212" s="105"/>
      <c r="G212" s="102" t="str">
        <v/>
      </c>
      <c r="H212" s="261" t="str">
        <v>Input</v>
      </c>
    </row>
    <row r="213" spans="4:40" ht="20.100000000000001" customHeight="1" x14ac:dyDescent="0.25">
      <c r="D213" s="102" t="str">
        <v>f</v>
      </c>
      <c r="E213" s="103" t="str">
        <v>inorganic fertiliser type</v>
      </c>
      <c r="F213" s="105"/>
      <c r="G213" s="102" t="str">
        <v/>
      </c>
      <c r="H213" s="261" t="str">
        <v>Input</v>
      </c>
    </row>
    <row r="214" spans="4:40" ht="20.100000000000001" customHeight="1" x14ac:dyDescent="0.25">
      <c r="D214" s="102" t="str">
        <v>j</v>
      </c>
      <c r="E214" s="103" t="str">
        <v>production system</v>
      </c>
      <c r="F214" s="105"/>
      <c r="G214" s="102" t="str">
        <v/>
      </c>
      <c r="H214" s="261" t="str">
        <v>Input</v>
      </c>
    </row>
    <row r="215" spans="4:40" ht="20.100000000000001" customHeight="1" x14ac:dyDescent="0.25"/>
    <row r="216" spans="4:40" ht="20.100000000000001" customHeight="1" x14ac:dyDescent="0.25">
      <c r="D216" s="246" t="s">
        <v>1111</v>
      </c>
    </row>
    <row r="217" spans="4:40" ht="20.100000000000001" customHeight="1" x14ac:dyDescent="0.25"/>
    <row r="218" spans="4:40" ht="20.100000000000001" customHeight="1" x14ac:dyDescent="0.25">
      <c r="D218" s="46" t="s">
        <v>1112</v>
      </c>
      <c r="E218" s="48"/>
      <c r="F218" s="49"/>
    </row>
    <row r="219" spans="4:40" ht="20.100000000000001" customHeight="1" x14ac:dyDescent="0.25"/>
    <row r="220" spans="4:40" ht="20.100000000000001" customHeight="1" x14ac:dyDescent="0.25">
      <c r="D220" s="112" t="s">
        <v>152</v>
      </c>
      <c r="E220" s="112" t="s">
        <v>1113</v>
      </c>
      <c r="F220" s="111" t="s">
        <v>1114</v>
      </c>
      <c r="G220" s="111" t="s">
        <v>1115</v>
      </c>
      <c r="H220" s="111" t="s">
        <v>1116</v>
      </c>
      <c r="I220" s="112" t="s">
        <v>1117</v>
      </c>
      <c r="J220" s="111" t="s">
        <v>1118</v>
      </c>
      <c r="K220" s="111" t="s">
        <v>1119</v>
      </c>
      <c r="L220" s="112" t="s">
        <v>1073</v>
      </c>
      <c r="M220" s="112" t="s">
        <v>1074</v>
      </c>
      <c r="N220" s="112" t="s">
        <v>1075</v>
      </c>
      <c r="O220" s="111" t="s">
        <v>490</v>
      </c>
      <c r="P220" s="111" t="s">
        <v>491</v>
      </c>
      <c r="Q220" s="111" t="s">
        <v>477</v>
      </c>
      <c r="R220" s="111" t="s">
        <v>478</v>
      </c>
      <c r="S220" s="111" t="s">
        <v>1120</v>
      </c>
      <c r="T220" s="112" t="s">
        <v>1121</v>
      </c>
      <c r="U220" s="111" t="s">
        <v>479</v>
      </c>
      <c r="V220" s="111" t="s">
        <v>480</v>
      </c>
      <c r="W220" s="111" t="s">
        <v>1122</v>
      </c>
      <c r="X220" s="112" t="s">
        <v>1123</v>
      </c>
      <c r="Y220" s="111" t="s">
        <v>481</v>
      </c>
      <c r="Z220" s="111" t="s">
        <v>482</v>
      </c>
      <c r="AA220" s="111" t="s">
        <v>1124</v>
      </c>
      <c r="AB220" s="112" t="s">
        <v>1125</v>
      </c>
      <c r="AC220" s="111" t="s">
        <v>483</v>
      </c>
      <c r="AD220" s="111" t="s">
        <v>484</v>
      </c>
      <c r="AE220" s="111" t="s">
        <v>1126</v>
      </c>
      <c r="AF220" s="112" t="s">
        <v>1127</v>
      </c>
      <c r="AG220" s="111" t="s">
        <v>485</v>
      </c>
      <c r="AH220" s="111" t="s">
        <v>486</v>
      </c>
      <c r="AI220" s="111" t="s">
        <v>1128</v>
      </c>
      <c r="AJ220" s="112" t="s">
        <v>1129</v>
      </c>
      <c r="AK220" s="111" t="s">
        <v>487</v>
      </c>
      <c r="AL220" s="111" t="s">
        <v>488</v>
      </c>
      <c r="AM220" s="111" t="s">
        <v>1130</v>
      </c>
      <c r="AN220" s="112" t="s">
        <v>1131</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4"/>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6" t="s">
        <v>1132</v>
      </c>
    </row>
    <row r="233" spans="4:40" ht="20.100000000000001" customHeight="1" x14ac:dyDescent="0.25"/>
    <row r="234" spans="4:40" ht="20.100000000000001" customHeight="1" x14ac:dyDescent="0.25">
      <c r="D234" s="46" t="s">
        <v>1133</v>
      </c>
      <c r="E234" s="48"/>
      <c r="F234" s="49"/>
    </row>
    <row r="235" spans="4:40" ht="20.100000000000001" customHeight="1" x14ac:dyDescent="0.25"/>
    <row r="236" spans="4:40" ht="20.100000000000001" customHeight="1" x14ac:dyDescent="0.25">
      <c r="D236" s="112" t="s">
        <v>1096</v>
      </c>
      <c r="E236" s="112" t="s">
        <v>1113</v>
      </c>
      <c r="F236" s="111" t="s">
        <v>1114</v>
      </c>
      <c r="G236" s="111" t="s">
        <v>1115</v>
      </c>
      <c r="H236" s="111" t="s">
        <v>1116</v>
      </c>
      <c r="I236" s="112" t="s">
        <v>1117</v>
      </c>
      <c r="J236" s="111" t="s">
        <v>1118</v>
      </c>
      <c r="K236" s="111" t="s">
        <v>1119</v>
      </c>
      <c r="L236" s="112" t="s">
        <v>1073</v>
      </c>
      <c r="M236" s="112" t="s">
        <v>1074</v>
      </c>
      <c r="N236" s="112" t="s">
        <v>1075</v>
      </c>
      <c r="O236" s="111" t="s">
        <v>490</v>
      </c>
      <c r="P236" s="111" t="s">
        <v>491</v>
      </c>
      <c r="Q236" s="111" t="s">
        <v>477</v>
      </c>
      <c r="R236" s="111" t="s">
        <v>478</v>
      </c>
      <c r="S236" s="111" t="s">
        <v>1120</v>
      </c>
      <c r="T236" s="112" t="s">
        <v>1121</v>
      </c>
      <c r="U236" s="111" t="s">
        <v>479</v>
      </c>
      <c r="V236" s="111" t="s">
        <v>480</v>
      </c>
      <c r="W236" s="111" t="s">
        <v>1122</v>
      </c>
      <c r="X236" s="112" t="s">
        <v>1123</v>
      </c>
      <c r="Y236" s="111" t="s">
        <v>481</v>
      </c>
      <c r="Z236" s="111" t="s">
        <v>482</v>
      </c>
      <c r="AA236" s="111" t="s">
        <v>1124</v>
      </c>
      <c r="AB236" s="112" t="s">
        <v>1125</v>
      </c>
      <c r="AC236" s="111" t="s">
        <v>483</v>
      </c>
      <c r="AD236" s="111" t="s">
        <v>484</v>
      </c>
      <c r="AE236" s="111" t="s">
        <v>1126</v>
      </c>
      <c r="AF236" s="112" t="s">
        <v>1127</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3" cm="1">
        <f t="array" ref="J237">Scope3_Equations.VEERG_15_4_1_1__1_EmissionsFromPurchasedFertiliser(E237,I237)</f>
        <v>40</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4"/>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63"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63" cm="1">
        <f t="array" ref="J238">Scope3_Equations.VEERG_15_4_1_1__1_EmissionsFromPurchasedFertiliser(E238,I238)</f>
        <v>90</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63" cm="1">
        <f t="array" ref="G239">Scope3_Equations.VEERG_15_4_1_1__1_EmissionsFromPurchasedFertiliser(E239,F239)</f>
        <v>115.99999999999999</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115.99999999999999</v>
      </c>
      <c r="I239" s="86">
        <v>0.4</v>
      </c>
      <c r="J239" s="263" cm="1">
        <f t="array" ref="J239">Scope3_Equations.VEERG_15_4_1_1__1_EmissionsFromPurchasedFertiliser(E239,I239)</f>
        <v>40</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115.99999999999999</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1134</v>
      </c>
      <c r="E248" s="115">
        <f>SUM(G221:G230)+SUM(G237:G246)</f>
        <v>782.84321999999997</v>
      </c>
      <c r="F248" s="116" t="str">
        <f>$E$155</f>
        <v>t CO2e</v>
      </c>
    </row>
    <row r="249" spans="3:41" ht="20.100000000000001" customHeight="1" x14ac:dyDescent="0.25">
      <c r="D249" s="264" t="s">
        <v>1135</v>
      </c>
      <c r="E249" s="115">
        <f>SUM(J221:J230)+SUM(J237:J246)</f>
        <v>387.45000000000005</v>
      </c>
      <c r="F249" s="116" t="str">
        <f>$E$155</f>
        <v>t CO2e</v>
      </c>
    </row>
    <row r="250" spans="3:41" ht="20.100000000000001" customHeight="1" x14ac:dyDescent="0.25"/>
    <row r="251" spans="3:41" ht="20.100000000000001" customHeight="1" x14ac:dyDescent="0.25">
      <c r="D251" s="264" t="s">
        <v>1136</v>
      </c>
      <c r="E251" s="115">
        <f>SUM(H221:H230)+SUM(H237:H246)</f>
        <v>782.84321999999997</v>
      </c>
      <c r="F251" s="116" t="str">
        <f>$E$155</f>
        <v>t CO2e</v>
      </c>
    </row>
    <row r="252" spans="3:41" ht="20.100000000000001" customHeight="1" x14ac:dyDescent="0.25">
      <c r="D252" s="264" t="s">
        <v>1137</v>
      </c>
      <c r="E252" s="115">
        <f>SUM(K221:K230)+SUM(K237:K246)</f>
        <v>757.43047000000001</v>
      </c>
      <c r="F252" s="116" t="str">
        <f>$E$155</f>
        <v>t CO2e</v>
      </c>
    </row>
    <row r="253" spans="3:41" ht="20.100000000000001" customHeight="1" x14ac:dyDescent="0.25"/>
    <row r="254" spans="3:41" ht="20.100000000000001" customHeight="1" x14ac:dyDescent="0.25"/>
    <row r="255" spans="3:41" ht="20.100000000000001" customHeight="1" x14ac:dyDescent="0.25">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0" t="s">
        <v>259</v>
      </c>
      <c r="E258" s="10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261</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2" t="str" cm="1">
        <f t="array" ref="D265:E267">_xlfn.CHOOSECOLS(Scope3_Equations.VEERG_15_5_1_1__1_EmissionsFromPurchasedAgrichemicals_Arguments(),1,2)</f>
        <v>Q_h</v>
      </c>
      <c r="E265" s="103" t="str">
        <v>quantity of active ingredients in agrichemical type h purchased and applied to soils</v>
      </c>
      <c r="F265" s="105"/>
      <c r="G265" s="102" t="str" cm="1">
        <f t="array" ref="G265:H267">_xlfn.CHOOSECOLS(Scope3_Equations.VEERG_15_5_1_1__1_EmissionsFromPurchasedAgrichemicals_Arguments(),3,4)</f>
        <v>kg ai</v>
      </c>
      <c r="H265" s="261" t="str">
        <v>Input</v>
      </c>
    </row>
    <row r="266" spans="4:9" x14ac:dyDescent="0.25">
      <c r="D266" s="102" t="str">
        <v>EF_h</v>
      </c>
      <c r="E266" s="103" t="str">
        <v>emission factor for purchased agrichemical active ingredient</v>
      </c>
      <c r="F266" s="105"/>
      <c r="G266" s="102" t="str">
        <v>kg CO2e/kg ai</v>
      </c>
      <c r="H266" s="107" t="str">
        <v>Constant</v>
      </c>
    </row>
    <row r="267" spans="4:9" x14ac:dyDescent="0.25">
      <c r="D267" s="102" t="str">
        <v>h</v>
      </c>
      <c r="E267" s="103" t="str">
        <v>agrichemical type</v>
      </c>
      <c r="F267" s="105"/>
      <c r="G267" s="102" t="str">
        <v/>
      </c>
      <c r="H267" s="261" t="str">
        <v>Input</v>
      </c>
    </row>
    <row r="269" spans="4:9" ht="17.25" x14ac:dyDescent="0.25">
      <c r="D269" s="112" t="s">
        <v>1138</v>
      </c>
      <c r="E269" s="112" t="s">
        <v>476</v>
      </c>
      <c r="F269" s="111" t="s">
        <v>1139</v>
      </c>
      <c r="G269" s="111" t="s">
        <v>1069</v>
      </c>
      <c r="H269" s="112" t="s">
        <v>1140</v>
      </c>
      <c r="I269" s="111" t="s">
        <v>1072</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1069</v>
      </c>
      <c r="E283" s="115">
        <f>SUM(G270:G281)</f>
        <v>7.5159999999999991</v>
      </c>
      <c r="F283" s="116" t="str">
        <f>$E$155</f>
        <v>t CO2e</v>
      </c>
    </row>
    <row r="284" spans="3:41" ht="20.25" x14ac:dyDescent="0.25">
      <c r="D284" s="264" t="s">
        <v>1072</v>
      </c>
      <c r="E284" s="115">
        <f>SUM(I270:I281)</f>
        <v>7.4959999999999996</v>
      </c>
      <c r="F284" s="116" t="str">
        <f>$E$155</f>
        <v>t CO2e</v>
      </c>
    </row>
    <row r="287" spans="3:41" x14ac:dyDescent="0.25">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0" t="s">
        <v>259</v>
      </c>
      <c r="E290" s="100" t="str" cm="1">
        <f t="array" aca="1" ref="E290" ca="1">Common_InputFunctions.Utility_DisplayFunctionName(I305)</f>
        <v>=Scope3_Equations.VEERG_15_6_1_1__1_EmissionsFromPurchasedLime</v>
      </c>
    </row>
    <row r="293" spans="4:13" x14ac:dyDescent="0.25">
      <c r="D293" s="88" t="s">
        <v>261</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2" t="str" cm="1">
        <f t="array" ref="D296:E297">_xlfn.CHOOSECOLS(Scope3_Equations.VEERG_15_6_1_1__1_EmissionsFromPurchasedLime_Arguments(),1,2)</f>
        <v>M_lime</v>
      </c>
      <c r="E296" s="102" t="str">
        <v>total quantity of lime applied to soils</v>
      </c>
      <c r="F296" s="102" t="str" cm="1">
        <f t="array" ref="F296:G297">_xlfn.CHOOSECOLS(Scope3_Equations.VEERG_15_6_1_1__1_EmissionsFromPurchasedLime_Arguments(),3,4)</f>
        <v>t</v>
      </c>
      <c r="G296" s="261" t="str">
        <v>Input</v>
      </c>
    </row>
    <row r="297" spans="4:13" x14ac:dyDescent="0.25">
      <c r="D297" s="102" t="str">
        <v>EF_l</v>
      </c>
      <c r="E297" s="102" t="str">
        <v>emission factor for purchased lime</v>
      </c>
      <c r="F297" s="102" t="str">
        <v>t CO2e/t</v>
      </c>
      <c r="G297" s="107" t="str">
        <v>Constant</v>
      </c>
    </row>
    <row r="299" spans="4:13" x14ac:dyDescent="0.25">
      <c r="E299" s="111" t="s">
        <v>148</v>
      </c>
      <c r="F299" s="112" t="s">
        <v>149</v>
      </c>
    </row>
    <row r="300" spans="4:13" ht="18.75" x14ac:dyDescent="0.25">
      <c r="D300" s="1" t="s">
        <v>1141</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1142</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1143</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12" t="s">
        <v>641</v>
      </c>
      <c r="E304" s="262" t="s">
        <v>1144</v>
      </c>
      <c r="F304" s="112" t="s">
        <v>1145</v>
      </c>
      <c r="G304" s="112" t="s">
        <v>1146</v>
      </c>
      <c r="H304" s="112" t="s">
        <v>1147</v>
      </c>
      <c r="I304" s="111" t="s">
        <v>1069</v>
      </c>
      <c r="J304" s="111" t="s">
        <v>1148</v>
      </c>
      <c r="K304" s="112" t="s">
        <v>1073</v>
      </c>
      <c r="L304" s="112" t="s">
        <v>1074</v>
      </c>
      <c r="M304" s="112" t="s">
        <v>1075</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3" cm="1">
        <f t="array" ref="I305">Scope3_Equations.VEERG_15_6_1_1__1_EmissionsFromPurchasedLime(F305,$E$300)+
Scope3_Equations.VEERG_15_6_1_1__1_EmissionsFromPurchasedLime(G305,$E$301)+
Scope3_Equations.VEERG_15_6_1_1__1_EmissionsFromPurchasedLime(H305,$E$302)</f>
        <v>5.1839999999999997E-2</v>
      </c>
      <c r="J305" s="263"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4.8500000000000001E-2</v>
      </c>
      <c r="J306" s="263"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3" cm="1">
        <f t="array" ref="I307">Scope3_Equations.VEERG_15_6_1_1__1_EmissionsFromPurchasedLime(F307,$E$300)+
Scope3_Equations.VEERG_15_6_1_1__1_EmissionsFromPurchasedLime(G307,$E$301)+
Scope3_Equations.VEERG_15_6_1_1__1_EmissionsFromPurchasedLime(H307,$E$302)</f>
        <v>6.5199999999999994E-2</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1069</v>
      </c>
      <c r="E316" s="115">
        <f>SUM(I305:I314)</f>
        <v>0.16553999999999999</v>
      </c>
      <c r="F316" s="116" t="str">
        <f>$E$155</f>
        <v>t CO2e</v>
      </c>
    </row>
    <row r="317" spans="3:41" ht="20.25" x14ac:dyDescent="0.25">
      <c r="D317" s="264" t="s">
        <v>1072</v>
      </c>
      <c r="E317" s="115">
        <f>SUM(J305:J314)</f>
        <v>0.14399999999999999</v>
      </c>
      <c r="F317" s="116" t="str">
        <f>$E$155</f>
        <v>t CO2e</v>
      </c>
    </row>
    <row r="320" spans="3:41" x14ac:dyDescent="0.25">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c r="AL320" s="113"/>
      <c r="AM320" s="113"/>
      <c r="AN320" s="113"/>
      <c r="AO320" s="113"/>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0" t="s">
        <v>259</v>
      </c>
      <c r="E323" s="100" t="str" cm="1">
        <f t="array" aca="1" ref="E323" ca="1">Common_InputFunctions.Utility_DisplayFunctionName(K336)</f>
        <v>=Scope3_Equations.VEERG_15_7_1_1__1_EmissionsFromPurchasedServices</v>
      </c>
    </row>
    <row r="325" spans="4:15" x14ac:dyDescent="0.25">
      <c r="H325" s="1" t="s">
        <v>1149</v>
      </c>
    </row>
    <row r="326" spans="4:15" x14ac:dyDescent="0.25">
      <c r="D326" s="88" t="s">
        <v>261</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2" t="str" cm="1">
        <f t="array" ref="D329:E331">_xlfn.CHOOSECOLS(Scope3_Equations.VEERG_15_7_1_1__1_EmissionsFromPurchasedServices_Arguments(),1,2)</f>
        <v>A_p</v>
      </c>
      <c r="E329" s="103" t="str">
        <v>activity data of the service that was purchased</v>
      </c>
      <c r="F329" s="105"/>
      <c r="G329" s="102" t="str" cm="1">
        <f t="array" ref="G329:H331">_xlfn.CHOOSECOLS(Scope3_Equations.VEERG_15_7_1_1__1_EmissionsFromPurchasedServices_Arguments(),3,4)</f>
        <v>ha or h</v>
      </c>
      <c r="H329" s="261" t="str">
        <v>Input</v>
      </c>
    </row>
    <row r="330" spans="4:15" x14ac:dyDescent="0.25">
      <c r="D330" s="102" t="str">
        <v>EF_p</v>
      </c>
      <c r="E330" s="103" t="str">
        <v>life cycle emission factor for the purchased service</v>
      </c>
      <c r="F330" s="105"/>
      <c r="G330" s="102" t="str">
        <v>kg CO2e/ha or kg CO2e/h</v>
      </c>
      <c r="H330" s="107" t="str">
        <v>Constant</v>
      </c>
    </row>
    <row r="331" spans="4:15" x14ac:dyDescent="0.25">
      <c r="D331" s="102" t="str">
        <v>p</v>
      </c>
      <c r="E331" s="103" t="str">
        <v>service type</v>
      </c>
      <c r="F331" s="105"/>
      <c r="G331" s="102" t="str">
        <v/>
      </c>
      <c r="H331" s="261" t="str">
        <v>Input</v>
      </c>
    </row>
    <row r="333" spans="4:15" x14ac:dyDescent="0.25">
      <c r="D333" s="36" t="s">
        <v>1150</v>
      </c>
    </row>
    <row r="335" spans="4:15" x14ac:dyDescent="0.25">
      <c r="D335" s="112" t="s">
        <v>1010</v>
      </c>
      <c r="E335" s="112" t="s">
        <v>1011</v>
      </c>
      <c r="F335" s="112" t="s">
        <v>1012</v>
      </c>
      <c r="G335" s="112" t="s">
        <v>709</v>
      </c>
      <c r="H335" s="111" t="s">
        <v>1151</v>
      </c>
      <c r="I335" s="111" t="s">
        <v>1152</v>
      </c>
      <c r="J335" s="112" t="s">
        <v>1153</v>
      </c>
      <c r="K335" s="111" t="s">
        <v>1154</v>
      </c>
      <c r="L335" s="111" t="s">
        <v>1155</v>
      </c>
      <c r="M335" s="112" t="s">
        <v>1073</v>
      </c>
      <c r="N335" s="112" t="s">
        <v>1074</v>
      </c>
      <c r="O335" s="112" t="s">
        <v>1075</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1156</v>
      </c>
      <c r="I336" s="25" t="s">
        <v>1156</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1156</v>
      </c>
      <c r="I337" s="25" t="s">
        <v>1156</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1156</v>
      </c>
      <c r="I338" s="25" t="s">
        <v>1156</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1156</v>
      </c>
      <c r="I339" s="25" t="s">
        <v>1156</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1156</v>
      </c>
      <c r="I340" s="25" t="s">
        <v>1156</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1156</v>
      </c>
      <c r="I341" s="25" t="s">
        <v>1156</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1156</v>
      </c>
      <c r="I342" s="25" t="s">
        <v>1156</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1156</v>
      </c>
      <c r="I343" s="25" t="s">
        <v>1156</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1156</v>
      </c>
      <c r="I344" s="25" t="s">
        <v>1156</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1156</v>
      </c>
      <c r="I345" s="25" t="s">
        <v>1156</v>
      </c>
      <c r="J345" s="86"/>
      <c r="K345" s="263" cm="1">
        <f t="array" ref="K345">Scope3_Equations.VEERG_15_7_1_1__1_EmissionsFromPurchasedServices(F345,J345)</f>
        <v>0</v>
      </c>
      <c r="L345" s="25" t="str">
        <f t="shared" si="1"/>
        <v>t CO2e / 0</v>
      </c>
      <c r="M345" s="44"/>
      <c r="N345" s="23"/>
      <c r="O345" s="44"/>
    </row>
    <row r="347" spans="3:41" ht="20.25" x14ac:dyDescent="0.25">
      <c r="D347" s="264" t="s">
        <v>1069</v>
      </c>
      <c r="E347" s="115" t="s">
        <v>1156</v>
      </c>
      <c r="F347" s="116" t="str">
        <f>$E$155</f>
        <v>t CO2e</v>
      </c>
    </row>
    <row r="348" spans="3:41" ht="20.25" x14ac:dyDescent="0.25">
      <c r="D348" s="264" t="s">
        <v>1072</v>
      </c>
      <c r="E348" s="115">
        <f>SUM(K336:K345)</f>
        <v>42</v>
      </c>
      <c r="F348" s="116" t="str">
        <f>$E$155</f>
        <v>t CO2e</v>
      </c>
    </row>
    <row r="351" spans="3:41" x14ac:dyDescent="0.25">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c r="AL351" s="113"/>
      <c r="AM351" s="113"/>
      <c r="AN351" s="113"/>
      <c r="AO351" s="113"/>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0" t="s">
        <v>259</v>
      </c>
      <c r="E355" s="100" t="str" cm="1">
        <f t="array" aca="1" ref="E355" ca="1">Common_InputFunctions.Utility_DisplayFunctionName(H367)</f>
        <v>=Scope3_Equations.VEERG_15_8_1_1__1_EmissionsFromPurchasedPackaging</v>
      </c>
    </row>
    <row r="359" spans="4:13" x14ac:dyDescent="0.25">
      <c r="D359" s="88" t="s">
        <v>261</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2" t="str" cm="1">
        <f t="array" ref="D362:E364">_xlfn.CHOOSECOLS(Scope3_Equations.VEERG_15_8_1_1__1_EmissionsFromPurchasedPackaging_Arguments(),1,2)</f>
        <v>Q_p</v>
      </c>
      <c r="E362" s="102" t="str">
        <v>units of packaging type p</v>
      </c>
      <c r="F362" s="102" t="str" cm="1">
        <f t="array" ref="F362:G364">_xlfn.CHOOSECOLS(Scope3_Equations.VEERG_15_8_1_1__1_EmissionsFromPurchasedPackaging_Arguments(),3,4)</f>
        <v>units</v>
      </c>
      <c r="G362" s="261" t="str">
        <v>Input</v>
      </c>
    </row>
    <row r="363" spans="4:13" x14ac:dyDescent="0.25">
      <c r="D363" s="102" t="str">
        <v>EF_p</v>
      </c>
      <c r="E363" s="102" t="str">
        <v>emission factor for packaging type p</v>
      </c>
      <c r="F363" s="102" t="str">
        <v>kg CO2e/unit</v>
      </c>
      <c r="G363" s="107" t="str">
        <v>Constant</v>
      </c>
    </row>
    <row r="364" spans="4:13" x14ac:dyDescent="0.25">
      <c r="D364" s="102" t="str">
        <v>p</v>
      </c>
      <c r="E364" s="102" t="str">
        <v>packaging type</v>
      </c>
      <c r="F364" s="102" t="str">
        <v/>
      </c>
      <c r="G364" s="261" t="str">
        <v>Input</v>
      </c>
    </row>
    <row r="366" spans="4:13" ht="17.25" x14ac:dyDescent="0.25">
      <c r="D366" s="112" t="s">
        <v>1063</v>
      </c>
      <c r="E366" s="262" t="s">
        <v>1022</v>
      </c>
      <c r="F366" s="262" t="s">
        <v>1157</v>
      </c>
      <c r="G366" s="111" t="s">
        <v>1158</v>
      </c>
      <c r="H366" s="111" t="s">
        <v>1069</v>
      </c>
      <c r="I366" s="112" t="s">
        <v>1159</v>
      </c>
      <c r="J366" s="111" t="s">
        <v>1072</v>
      </c>
      <c r="K366" s="112" t="s">
        <v>1073</v>
      </c>
      <c r="L366" s="112" t="s">
        <v>1074</v>
      </c>
      <c r="M366" s="112" t="s">
        <v>1075</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1069</v>
      </c>
      <c r="E378" s="115">
        <f>SUM(H367:H376)</f>
        <v>7.44</v>
      </c>
      <c r="F378" s="116" t="str">
        <f>$E$155</f>
        <v>t CO2e</v>
      </c>
    </row>
    <row r="379" spans="3:41" ht="20.25" x14ac:dyDescent="0.25">
      <c r="D379" s="264" t="s">
        <v>1072</v>
      </c>
      <c r="E379" s="115">
        <f>SUM(J367:J376)</f>
        <v>6</v>
      </c>
      <c r="F379" s="116" t="str">
        <f>$E$155</f>
        <v>t CO2e</v>
      </c>
    </row>
    <row r="382" spans="3:41" x14ac:dyDescent="0.25">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c r="AL382" s="113"/>
      <c r="AM382" s="113"/>
      <c r="AN382" s="113"/>
      <c r="AO382" s="113"/>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0" t="s">
        <v>259</v>
      </c>
      <c r="E385" s="100" t="str" cm="1">
        <f t="array" aca="1" ref="E385" ca="1">Common_InputFunctions.Utility_DisplayFunctionName(J399)</f>
        <v>=Scope3_Equations.VEERG_15_9_1_1__1_EmissionsFromPurchasedGrowMedia</v>
      </c>
    </row>
    <row r="388" spans="4:14" x14ac:dyDescent="0.25">
      <c r="G388" s="100"/>
    </row>
    <row r="389" spans="4:14" x14ac:dyDescent="0.25">
      <c r="D389" s="88" t="s">
        <v>261</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2" t="str" cm="1">
        <f t="array" ref="D392:E394">_xlfn.CHOOSECOLS(Scope3_Equations.VEERG_15_9_1_1__1_EmissionsFromPurchasedGrowMedia_Arguments(),1,2)</f>
        <v>Q_g</v>
      </c>
      <c r="E392" s="102" t="str">
        <v>total quantity of grow media type g</v>
      </c>
      <c r="F392" s="102" t="str" cm="1">
        <f t="array" ref="F392:G394">_xlfn.CHOOSECOLS(Scope3_Equations.VEERG_15_9_1_1__1_EmissionsFromPurchasedGrowMedia_Arguments(),3,4)</f>
        <v>kg or m3</v>
      </c>
      <c r="G392" s="261" t="str">
        <v>Input</v>
      </c>
    </row>
    <row r="393" spans="4:14" x14ac:dyDescent="0.25">
      <c r="D393" s="102" t="str">
        <v>EF_g</v>
      </c>
      <c r="E393" s="102" t="str">
        <v>emission factor for grow media type g</v>
      </c>
      <c r="F393" s="102" t="str">
        <v>kg CO2e/kg or kg CO2e/m3</v>
      </c>
      <c r="G393" s="107" t="str">
        <v>Constant</v>
      </c>
    </row>
    <row r="394" spans="4:14" x14ac:dyDescent="0.25">
      <c r="D394" s="102" t="str">
        <v>g</v>
      </c>
      <c r="E394" s="102" t="str">
        <v>grow media type</v>
      </c>
      <c r="F394" s="102" t="str">
        <v/>
      </c>
      <c r="G394" s="261" t="str">
        <v>Input</v>
      </c>
    </row>
    <row r="396" spans="4:14" x14ac:dyDescent="0.25">
      <c r="D396" s="36" t="s">
        <v>1150</v>
      </c>
    </row>
    <row r="398" spans="4:14" x14ac:dyDescent="0.25">
      <c r="D398" s="112" t="s">
        <v>1028</v>
      </c>
      <c r="E398" s="112" t="s">
        <v>1012</v>
      </c>
      <c r="F398" s="112" t="s">
        <v>709</v>
      </c>
      <c r="G398" s="111" t="s">
        <v>1151</v>
      </c>
      <c r="H398" s="111" t="s">
        <v>1152</v>
      </c>
      <c r="I398" s="112" t="s">
        <v>1153</v>
      </c>
      <c r="J398" s="111" t="s">
        <v>1154</v>
      </c>
      <c r="K398" s="111" t="s">
        <v>1155</v>
      </c>
      <c r="L398" s="112" t="s">
        <v>1073</v>
      </c>
      <c r="M398" s="112" t="s">
        <v>1074</v>
      </c>
      <c r="N398" s="112" t="s">
        <v>1075</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1156</v>
      </c>
      <c r="H399" s="25" t="s">
        <v>1156</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1156</v>
      </c>
      <c r="H400" s="25" t="s">
        <v>1156</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1156</v>
      </c>
      <c r="H401" s="25" t="s">
        <v>1156</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1156</v>
      </c>
      <c r="H402" s="25" t="s">
        <v>1156</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1156</v>
      </c>
      <c r="H403" s="25" t="s">
        <v>1156</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1156</v>
      </c>
      <c r="H404" s="25" t="s">
        <v>1156</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1156</v>
      </c>
      <c r="H405" s="25" t="s">
        <v>1156</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1156</v>
      </c>
      <c r="H406" s="25" t="s">
        <v>1156</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1156</v>
      </c>
      <c r="H407" s="25" t="s">
        <v>1156</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1156</v>
      </c>
      <c r="H408" s="25" t="s">
        <v>1156</v>
      </c>
      <c r="I408" s="86"/>
      <c r="J408" s="263" cm="1">
        <f t="array" ref="J408">Scope3_Equations.VEERG_15_9_1_1__1_EmissionsFromPurchasedGrowMedia(E408,I408)</f>
        <v>0</v>
      </c>
      <c r="K408" s="25" t="str">
        <f t="shared" si="2"/>
        <v>t CO2e / 0</v>
      </c>
      <c r="L408" s="44"/>
      <c r="M408" s="23"/>
      <c r="N408" s="44"/>
    </row>
    <row r="410" spans="3:41" ht="20.25" x14ac:dyDescent="0.25">
      <c r="D410" s="264" t="s">
        <v>1069</v>
      </c>
      <c r="E410" s="115" t="s">
        <v>1156</v>
      </c>
      <c r="F410" s="116" t="str">
        <f>$E$155</f>
        <v>t CO2e</v>
      </c>
    </row>
    <row r="411" spans="3:41" ht="20.25" x14ac:dyDescent="0.25">
      <c r="D411" s="264" t="s">
        <v>1072</v>
      </c>
      <c r="E411" s="115">
        <f>SUM(J399:J408)</f>
        <v>40.200000000000003</v>
      </c>
      <c r="F411" s="116" t="str">
        <f>$E$155</f>
        <v>t CO2e</v>
      </c>
    </row>
    <row r="414" spans="3:41" x14ac:dyDescent="0.25">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c r="AL414" s="113"/>
      <c r="AM414" s="113"/>
      <c r="AN414" s="113"/>
      <c r="AO414" s="113"/>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1160</v>
      </c>
    </row>
    <row r="418" spans="4:13" x14ac:dyDescent="0.25">
      <c r="D418" s="100" t="s">
        <v>259</v>
      </c>
      <c r="E418" s="100" t="str" cm="1">
        <f t="array" aca="1" ref="E418" ca="1">Common_InputFunctions.Utility_DisplayFunctionName(H430)</f>
        <v>=Scope3_Equations.VEERG_15_10_1_1__1_OtherPurchasedGoodsAndServices</v>
      </c>
    </row>
    <row r="421" spans="4:13" x14ac:dyDescent="0.25">
      <c r="D421" s="88" t="s">
        <v>261</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2" t="str" cm="1">
        <f t="array" ref="D424:E425">_xlfn.CHOOSECOLS(Scope3_Equations.VEERG_15_10_1_1__1_OtherPurchasedGoodsAndServices_Arguments(),1,2)</f>
        <v>activity_data</v>
      </c>
      <c r="E424" s="103" t="str">
        <v>measured activity for the purchased good or service</v>
      </c>
      <c r="F424" s="105"/>
      <c r="G424" s="102" t="str" cm="1">
        <f t="array" ref="G424:H425">_xlfn.CHOOSECOLS(Scope3_Equations.VEERG_15_10_1_1__1_OtherPurchasedGoodsAndServices_Arguments(),3,4)</f>
        <v>varies</v>
      </c>
      <c r="H424" s="261" t="str">
        <v>Input</v>
      </c>
    </row>
    <row r="425" spans="4:13" x14ac:dyDescent="0.25">
      <c r="D425" s="102" t="str">
        <v>emission_factor</v>
      </c>
      <c r="E425" s="103" t="str">
        <v>lifecycle emissions per unit of activity</v>
      </c>
      <c r="F425" s="105"/>
      <c r="G425" s="102" t="str">
        <v>varies</v>
      </c>
      <c r="H425" s="107" t="str">
        <v>Constant</v>
      </c>
    </row>
    <row r="427" spans="4:13" ht="18.75" x14ac:dyDescent="0.25">
      <c r="D427" s="246" t="s">
        <v>1161</v>
      </c>
    </row>
    <row r="429" spans="4:13" x14ac:dyDescent="0.25">
      <c r="D429" s="112" t="s">
        <v>1063</v>
      </c>
      <c r="E429" s="262" t="s">
        <v>1162</v>
      </c>
      <c r="F429" s="262" t="s">
        <v>1163</v>
      </c>
      <c r="G429" s="111" t="s">
        <v>134</v>
      </c>
      <c r="H429" s="111" t="s">
        <v>1069</v>
      </c>
      <c r="I429" s="112" t="s">
        <v>135</v>
      </c>
      <c r="J429" s="111" t="s">
        <v>1072</v>
      </c>
      <c r="K429" s="112" t="s">
        <v>1073</v>
      </c>
      <c r="L429" s="112" t="s">
        <v>1074</v>
      </c>
      <c r="M429" s="112" t="s">
        <v>1075</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1069</v>
      </c>
      <c r="E441" s="115">
        <f>SUM(H430:H439)</f>
        <v>0.50509999999999999</v>
      </c>
      <c r="F441" s="116" t="str">
        <f>$E$155</f>
        <v>t CO2e</v>
      </c>
    </row>
    <row r="442" spans="4:13" ht="20.25" x14ac:dyDescent="0.25">
      <c r="D442" s="264" t="s">
        <v>1072</v>
      </c>
      <c r="E442" s="115">
        <f>SUM(J430:J439)</f>
        <v>2.73</v>
      </c>
      <c r="F442" s="116" t="str">
        <f>$E$155</f>
        <v>t CO2e</v>
      </c>
    </row>
    <row r="445" spans="4:13" ht="18.75" x14ac:dyDescent="0.25">
      <c r="D445" s="246" t="s">
        <v>1164</v>
      </c>
    </row>
    <row r="447" spans="4:13" x14ac:dyDescent="0.25">
      <c r="D447" s="112" t="s">
        <v>1063</v>
      </c>
      <c r="E447" s="262" t="s">
        <v>1162</v>
      </c>
      <c r="F447" s="262" t="s">
        <v>977</v>
      </c>
      <c r="G447" s="111" t="s">
        <v>1165</v>
      </c>
      <c r="H447" s="111" t="s">
        <v>1069</v>
      </c>
      <c r="I447" s="112" t="s">
        <v>1166</v>
      </c>
      <c r="J447" s="111" t="s">
        <v>1072</v>
      </c>
      <c r="K447" s="112" t="s">
        <v>1073</v>
      </c>
      <c r="L447" s="112" t="s">
        <v>1074</v>
      </c>
      <c r="M447" s="112" t="s">
        <v>1075</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1069</v>
      </c>
      <c r="E459" s="115">
        <f>SUM(H448:H457)</f>
        <v>1.5636000000000001E-2</v>
      </c>
      <c r="F459" s="116" t="str">
        <f>$E$155</f>
        <v>t CO2e</v>
      </c>
    </row>
    <row r="460" spans="4:13" ht="20.25" x14ac:dyDescent="0.25">
      <c r="D460" s="264" t="s">
        <v>1072</v>
      </c>
      <c r="E460" s="115">
        <f>SUM(J448:J457)</f>
        <v>1.3400000000000002E-2</v>
      </c>
      <c r="F460" s="116" t="str">
        <f>$E$155</f>
        <v>t CO2e</v>
      </c>
    </row>
    <row r="463" spans="4:13" ht="18.75" x14ac:dyDescent="0.25">
      <c r="D463" s="246" t="s">
        <v>1033</v>
      </c>
    </row>
    <row r="465" spans="4:12" x14ac:dyDescent="0.25">
      <c r="D465" s="112" t="s">
        <v>641</v>
      </c>
      <c r="E465" s="112" t="s">
        <v>1167</v>
      </c>
      <c r="F465" s="111" t="s">
        <v>1165</v>
      </c>
      <c r="G465" s="111" t="s">
        <v>1069</v>
      </c>
      <c r="H465" s="112" t="s">
        <v>1166</v>
      </c>
      <c r="I465" s="111" t="s">
        <v>1072</v>
      </c>
      <c r="J465" s="112" t="s">
        <v>1073</v>
      </c>
      <c r="K465" s="112" t="s">
        <v>1074</v>
      </c>
      <c r="L465" s="112" t="s">
        <v>1075</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1069</v>
      </c>
      <c r="E472" s="115">
        <f>SUM(G466:G470)</f>
        <v>0.84389999999999998</v>
      </c>
      <c r="F472" s="116" t="str">
        <f>$E$155</f>
        <v>t CO2e</v>
      </c>
    </row>
    <row r="473" spans="4:12" ht="20.25" x14ac:dyDescent="0.25">
      <c r="D473" s="264" t="s">
        <v>1072</v>
      </c>
      <c r="E473" s="115">
        <f>SUM(I466:I470)</f>
        <v>0.71420000000000006</v>
      </c>
      <c r="F473" s="116" t="str">
        <f>$E$155</f>
        <v>t CO2e</v>
      </c>
    </row>
    <row r="476" spans="4:12" ht="18.75" x14ac:dyDescent="0.25">
      <c r="D476" s="246" t="s">
        <v>1168</v>
      </c>
    </row>
    <row r="478" spans="4:12" x14ac:dyDescent="0.25">
      <c r="D478" s="112" t="s">
        <v>641</v>
      </c>
      <c r="E478" s="112" t="s">
        <v>1167</v>
      </c>
      <c r="F478" s="111" t="s">
        <v>1165</v>
      </c>
      <c r="G478" s="111" t="s">
        <v>1069</v>
      </c>
      <c r="H478" s="112" t="s">
        <v>1166</v>
      </c>
      <c r="I478" s="111" t="s">
        <v>1072</v>
      </c>
      <c r="J478" s="112" t="s">
        <v>1073</v>
      </c>
      <c r="K478" s="112" t="s">
        <v>1074</v>
      </c>
      <c r="L478" s="112" t="s">
        <v>1075</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1069</v>
      </c>
      <c r="E483" s="115">
        <f>SUM(G479:G481)</f>
        <v>2.9531000000000005</v>
      </c>
      <c r="F483" s="116" t="str">
        <f>$E$155</f>
        <v>t CO2e</v>
      </c>
    </row>
    <row r="484" spans="4:14" ht="20.25" x14ac:dyDescent="0.25">
      <c r="D484" s="264" t="s">
        <v>1072</v>
      </c>
      <c r="E484" s="115">
        <f>SUM(I479:I481)</f>
        <v>8.5860000000000006E-2</v>
      </c>
      <c r="F484" s="116" t="str">
        <f>$E$155</f>
        <v>t CO2e</v>
      </c>
    </row>
    <row r="487" spans="4:14" ht="18.75" x14ac:dyDescent="0.25">
      <c r="D487" s="246" t="s">
        <v>1169</v>
      </c>
    </row>
    <row r="489" spans="4:14" x14ac:dyDescent="0.25">
      <c r="D489" s="112" t="s">
        <v>641</v>
      </c>
      <c r="E489" s="112" t="s">
        <v>801</v>
      </c>
      <c r="F489" s="112" t="s">
        <v>709</v>
      </c>
      <c r="G489" s="111" t="s">
        <v>1151</v>
      </c>
      <c r="H489" s="111" t="s">
        <v>1152</v>
      </c>
      <c r="I489" s="112" t="s">
        <v>1153</v>
      </c>
      <c r="J489" s="112" t="s">
        <v>1170</v>
      </c>
      <c r="K489" s="111" t="s">
        <v>1154</v>
      </c>
      <c r="L489" s="112" t="s">
        <v>1073</v>
      </c>
      <c r="M489" s="112" t="s">
        <v>1074</v>
      </c>
      <c r="N489" s="112" t="s">
        <v>1075</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1156</v>
      </c>
      <c r="H490" s="25" t="s">
        <v>1156</v>
      </c>
      <c r="I490" s="86">
        <v>4</v>
      </c>
      <c r="J490" s="23" t="s">
        <v>1171</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1156</v>
      </c>
      <c r="H491" s="25" t="s">
        <v>1156</v>
      </c>
      <c r="I491" s="86">
        <v>2</v>
      </c>
      <c r="J491" s="23" t="s">
        <v>1171</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1156</v>
      </c>
      <c r="H492" s="25" t="s">
        <v>1156</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1156</v>
      </c>
      <c r="H493" s="25" t="s">
        <v>1156</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1156</v>
      </c>
      <c r="H494" s="25" t="s">
        <v>1156</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1156</v>
      </c>
      <c r="H495" s="25" t="s">
        <v>1156</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1156</v>
      </c>
      <c r="H496" s="25" t="s">
        <v>1156</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1156</v>
      </c>
      <c r="H497" s="25" t="s">
        <v>1156</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1156</v>
      </c>
      <c r="H498" s="25" t="s">
        <v>1156</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1156</v>
      </c>
      <c r="H499" s="25" t="s">
        <v>1156</v>
      </c>
      <c r="I499" s="86"/>
      <c r="J499" s="23"/>
      <c r="K499" s="263" cm="1">
        <f t="array" ref="K499">Scope3_Equations.VEERG_15_10_1_1__1_OtherPurchasedGoodsAndServices(E499,IF(J499="kg / amount unit", I499*10^-3, I499))</f>
        <v>0</v>
      </c>
      <c r="L499" s="44"/>
      <c r="M499" s="23"/>
      <c r="N499" s="44"/>
    </row>
    <row r="501" spans="3:41" ht="20.25" x14ac:dyDescent="0.25">
      <c r="D501" s="264" t="s">
        <v>1069</v>
      </c>
      <c r="E501" s="115" t="s">
        <v>1156</v>
      </c>
      <c r="F501" s="116" t="str">
        <f>$E$155</f>
        <v>t CO2e</v>
      </c>
    </row>
    <row r="502" spans="3:41" ht="20.25" x14ac:dyDescent="0.25">
      <c r="D502" s="264" t="s">
        <v>1072</v>
      </c>
      <c r="E502" s="115">
        <f>SUM(K490:K499)</f>
        <v>4000</v>
      </c>
      <c r="F502" s="116" t="str">
        <f>$E$155</f>
        <v>t CO2e</v>
      </c>
    </row>
    <row r="505" spans="3:41" x14ac:dyDescent="0.25">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c r="AL505" s="113"/>
      <c r="AM505" s="113"/>
      <c r="AN505" s="113"/>
      <c r="AO505" s="113"/>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0" t="s">
        <v>259</v>
      </c>
      <c r="E508" s="100" t="str" cm="1">
        <f t="array" aca="1" ref="E508" ca="1">Common_InputFunctions.Utility_DisplayFunctionName(E518)</f>
        <v>=Scope3_Equations.VEERG_15_11_1_1__1_TotalUpstreamEmissionsFromFuel</v>
      </c>
    </row>
    <row r="512" spans="3:41" x14ac:dyDescent="0.25">
      <c r="D512" s="88" t="s">
        <v>261</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2" t="str" cm="1">
        <f t="array" ref="D515:E516">_xlfn.CHOOSECOLS(Scope3_Equations.VEERG_15_11_1_1__1_TotalUpstreamEmissionsFromFuel_Arguments(),1,2)</f>
        <v>E_WTTtransq</v>
      </c>
      <c r="E515" s="103" t="str">
        <v>upstream emissions from scope 1 transport fuel use</v>
      </c>
      <c r="F515" s="105"/>
      <c r="G515" s="102" t="str" cm="1">
        <f t="array" ref="G515:H516">_xlfn.CHOOSECOLS(Scope3_Equations.VEERG_15_11_1_1__1_TotalUpstreamEmissionsFromFuel_Arguments(),3,4)</f>
        <v>t CO2e</v>
      </c>
      <c r="H515" s="107" t="str">
        <v>Calculated by 15.11.1.1 (2)</v>
      </c>
      <c r="I515" s="102">
        <f>VEERG_8_1_1_1__1_FuelCombustionTransport_Result</f>
        <v>20.5016</v>
      </c>
    </row>
    <row r="516" spans="3:41" x14ac:dyDescent="0.25">
      <c r="D516" s="102" t="str">
        <v>E_WTTSCq</v>
      </c>
      <c r="E516" s="103" t="str">
        <v>upstream emissions from scope 1 stationary combustion fuel use</v>
      </c>
      <c r="F516" s="105"/>
      <c r="G516" s="102" t="str">
        <v>t CO2e</v>
      </c>
      <c r="H516" s="107" t="str">
        <v>Calculated by 15.11.1.1 (3)</v>
      </c>
      <c r="I516" s="102">
        <f>VEERG_8_2_1_1__1_FuelCombustionStationary_Result</f>
        <v>6.2923999999999998</v>
      </c>
    </row>
    <row r="518" spans="3:41" ht="20.25" x14ac:dyDescent="0.25">
      <c r="D518" s="264" t="s">
        <v>1172</v>
      </c>
      <c r="E518" s="115" cm="1">
        <f t="array" ref="E518">Scope3_Equations.VEERG_15_11_1_1__1_TotalUpstreamEmissionsFromFuel(I515,I516)</f>
        <v>26.794</v>
      </c>
      <c r="F518" s="116" t="str">
        <f>$E$155</f>
        <v>t CO2e</v>
      </c>
    </row>
    <row r="520" spans="3:41" x14ac:dyDescent="0.25">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c r="AL520" s="113"/>
      <c r="AM520" s="113"/>
      <c r="AN520" s="113"/>
      <c r="AO520" s="113"/>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0" t="s">
        <v>259</v>
      </c>
      <c r="E523" s="100" t="str" cm="1">
        <f t="array" aca="1" ref="E523" ca="1">Common_InputFunctions.Utility_DisplayFunctionName(E533)</f>
        <v>=Scope3_Equations.VEERG_15_12_1_1__1_UpstreamPurchasedElectricityLocationBased</v>
      </c>
    </row>
    <row r="526" spans="3:41" x14ac:dyDescent="0.25">
      <c r="D526" s="88" t="s">
        <v>261</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2" t="str" cm="1">
        <f t="array" ref="D529:E531">_xlfn.CHOOSECOLS(Scope3_Equations.VEERG_15_12_1_1__1_UpstreamPurchasedElectricityLocationBased_Arguments(),1,2)</f>
        <v>Q_elec</v>
      </c>
      <c r="E529" s="102" t="str">
        <v>amount of electricity purchased from the grid</v>
      </c>
      <c r="F529" s="102"/>
      <c r="G529" s="102" t="str" cm="1">
        <f t="array" ref="G529:H531">_xlfn.CHOOSECOLS(Scope3_Equations.VEERG_15_12_1_1__1_UpstreamPurchasedElectricityLocationBased_Arguments(),3,4)</f>
        <v>kWh</v>
      </c>
      <c r="H529" s="261" t="str">
        <v>Input</v>
      </c>
      <c r="I529" s="103">
        <f>X_Cell_Electricity_Location_AmountPurchasedInkWh</f>
        <v>30000</v>
      </c>
      <c r="J529" s="105"/>
    </row>
    <row r="530" spans="3:41" x14ac:dyDescent="0.25">
      <c r="D530" s="102" t="str">
        <v>EF_3elec</v>
      </c>
      <c r="E530" s="102" t="str">
        <v>scope 3 emission factor for purchased electricity</v>
      </c>
      <c r="F530" s="102"/>
      <c r="G530" s="102" t="str">
        <v>kg CO2e/kWh</v>
      </c>
      <c r="H530" s="107" t="str">
        <v>Constant</v>
      </c>
      <c r="I530" s="103" cm="1">
        <f t="array" ref="I530">Common_InputFunctions.Utility_LookupValueInTableNumber(I531,Table_SourceData_ElectricityEFs[State, Territory or grid description],Table_SourceData_ElectricityEFs[Scope 3 Emission Factors (kg CO2-e/kWh)])</f>
        <v>0.09</v>
      </c>
      <c r="J530" s="105"/>
    </row>
    <row r="531" spans="3:41" x14ac:dyDescent="0.25">
      <c r="D531" s="102" t="str">
        <v>g</v>
      </c>
      <c r="E531" s="103" t="str">
        <v>grid electricity was purchased from</v>
      </c>
      <c r="F531" s="105"/>
      <c r="G531" s="102" t="str">
        <v/>
      </c>
      <c r="H531" s="261" t="str">
        <v>Input</v>
      </c>
      <c r="I531" s="103" t="str">
        <f>X_Cell_Electricity_Location_GridElectricityPurchasedFrom</f>
        <v>Western Australia - North Western Interconnected System (NWIS)</v>
      </c>
      <c r="J531" s="105"/>
    </row>
    <row r="533" spans="3:41" ht="20.25" x14ac:dyDescent="0.25">
      <c r="D533" s="264" t="s">
        <v>1173</v>
      </c>
      <c r="E533" s="115" cm="1">
        <f t="array" ref="E533">Scope3_Equations.VEERG_15_12_1_1__1_UpstreamPurchasedElectricityLocationBased(I529,I530)</f>
        <v>2.7</v>
      </c>
      <c r="F533" s="116" t="str">
        <f>$E$155</f>
        <v>t CO2e</v>
      </c>
    </row>
    <row r="536" spans="3:41" x14ac:dyDescent="0.25">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c r="AL536" s="113"/>
      <c r="AM536" s="113"/>
      <c r="AN536" s="113"/>
      <c r="AO536" s="113"/>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0" t="s">
        <v>259</v>
      </c>
      <c r="E540" s="100" t="str" cm="1">
        <f t="array" aca="1" ref="E540" ca="1">Common_InputFunctions.Utility_DisplayFunctionName(E555)</f>
        <v>=Scope3_Equations.VEERG_15_12_1_2__1_UpstreamPurchasedElectricityMarketBasedVariation</v>
      </c>
    </row>
    <row r="544" spans="3:41" x14ac:dyDescent="0.25">
      <c r="D544" s="88" t="s">
        <v>261</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2" t="str" cm="1">
        <f t="array" ref="D547:E553">_xlfn.CHOOSECOLS(Scope3_Equations.VEERG_15_12_1_2__1_UpstreamPurchasedElectricityMarketBased_Arguments(),1,2)</f>
        <v>Q_elec</v>
      </c>
      <c r="E547" s="103" t="str">
        <v>amount of electricity purchased from the grid</v>
      </c>
      <c r="F547" s="105"/>
      <c r="G547" s="102"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2" t="str">
        <v>RPP</v>
      </c>
      <c r="E548" s="103" t="str">
        <v>renewable power percentage under LRET for the applicable period</v>
      </c>
      <c r="F548" s="105"/>
      <c r="G548" s="102" t="str">
        <v>fraction</v>
      </c>
      <c r="H548" s="261" t="str">
        <v>Input</v>
      </c>
      <c r="I548" s="190">
        <f>X_Cell_Electricity_Market_RenewablePowerPercentage</f>
        <v>0.1</v>
      </c>
    </row>
    <row r="549" spans="3:41" x14ac:dyDescent="0.25">
      <c r="D549" s="102" t="str">
        <v>JRPP</v>
      </c>
      <c r="E549" s="103" t="str">
        <v>jurisdictional renewable power percentage for the applicable period</v>
      </c>
      <c r="F549" s="105"/>
      <c r="G549" s="102" t="str">
        <v>fraction</v>
      </c>
      <c r="H549" s="261" t="str">
        <v>Input</v>
      </c>
      <c r="I549" s="190">
        <f>X_Cell_Electricity_Market_JurisdictionalRenewablePowerPercentage</f>
        <v>0.1</v>
      </c>
    </row>
    <row r="550" spans="3:41" x14ac:dyDescent="0.25">
      <c r="D550" s="102" t="str">
        <v>REC_surrendered</v>
      </c>
      <c r="E550" s="103" t="str">
        <v>eligible renewable energy certificates voluntarily surrendered</v>
      </c>
      <c r="F550" s="105"/>
      <c r="G550" s="102" t="str">
        <v>MWh</v>
      </c>
      <c r="H550" s="261" t="str">
        <v>Input</v>
      </c>
      <c r="I550" s="102">
        <f>(X_Cell_Electricity_Market_AmountPurchasedGreenPower*10^-3)+X_Cell_TotalElegibleVoluntarilySurrenderedRECs</f>
        <v>10</v>
      </c>
    </row>
    <row r="551" spans="3:41" x14ac:dyDescent="0.25">
      <c r="D551" s="102" t="str">
        <v>REC_onsite</v>
      </c>
      <c r="E551" s="103" t="str">
        <v>eligible renewable energy certificates issued for onsite generated electricity</v>
      </c>
      <c r="F551" s="105"/>
      <c r="G551" s="102" t="str">
        <v>MWh</v>
      </c>
      <c r="H551" s="261" t="str">
        <v>Input</v>
      </c>
      <c r="I551" s="102">
        <f>X_Cell_TotalElegibleRECsForElectricityProducedOnSite</f>
        <v>0</v>
      </c>
    </row>
    <row r="552" spans="3:41" x14ac:dyDescent="0.25">
      <c r="D552" s="102" t="str">
        <v>EF_RMF3elec</v>
      </c>
      <c r="E552" s="103" t="str">
        <v>scope 3 residual mix emission factor for electricity</v>
      </c>
      <c r="F552" s="105"/>
      <c r="G552" s="102" t="str">
        <v>kg CO2e/kWh</v>
      </c>
      <c r="H552" s="107" t="str">
        <v>Constant</v>
      </c>
      <c r="I552" s="102" cm="1">
        <f t="array" ref="I552">Table_SourceData_ElectricityEFsMarketBased[Scope 3 EF (kg CO2-e/kWh)]</f>
        <v>0.1</v>
      </c>
    </row>
    <row r="553" spans="3:41" x14ac:dyDescent="0.25">
      <c r="D553" s="102" t="str">
        <v>i</v>
      </c>
      <c r="E553" s="103" t="str">
        <v>state</v>
      </c>
      <c r="F553" s="105"/>
      <c r="G553" s="102" t="str">
        <v/>
      </c>
      <c r="H553" s="261" t="str">
        <v>Input</v>
      </c>
      <c r="I553" s="102" t="str">
        <f>X_Cell_Site_State</f>
        <v>Western Australia</v>
      </c>
    </row>
    <row r="555" spans="3:41" ht="20.25" x14ac:dyDescent="0.25">
      <c r="D555" s="264" t="s">
        <v>1173</v>
      </c>
      <c r="E555" s="115" cm="1">
        <f t="array" ref="E555">Scope3_Equations.VEERG_15_12_1_2__1_UpstreamPurchasedElectricityMarketBasedVariation(I547,I548,I549,I550,I551,I552)</f>
        <v>1.4000000000000001</v>
      </c>
      <c r="F555" s="116" t="str">
        <f>$E$155</f>
        <v>t CO2e</v>
      </c>
    </row>
    <row r="558" spans="3:41" x14ac:dyDescent="0.25">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c r="AL558" s="113"/>
      <c r="AM558" s="113"/>
      <c r="AN558" s="113"/>
      <c r="AO558" s="113"/>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0" t="s">
        <v>259</v>
      </c>
      <c r="E561" s="100" t="str" cm="1">
        <f t="array" aca="1" ref="E561" ca="1">Common_InputFunctions.Utility_DisplayFunctionName(E573)</f>
        <v>=Scope3_Equations.VEERG_15_13_1_1__1_EmissionsFromManureSentOffSite</v>
      </c>
    </row>
    <row r="564" spans="4:18" x14ac:dyDescent="0.25">
      <c r="D564" s="88" t="s">
        <v>261</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2" t="str" cm="1">
        <f t="array" ref="D569:E571">_xlfn.CHOOSECOLS(Scope3_Equations.VEERG_15_13_1_1__1_EmissionsFromManureSentOffSite_Arguments(),1,2)</f>
        <v>E_N2O</v>
      </c>
      <c r="E569" s="103" t="str">
        <v>direct nitrous oxide emissions from application of manure to soils outside of scope 1 boundary</v>
      </c>
      <c r="F569" s="104"/>
      <c r="G569" s="105"/>
      <c r="H569" s="102" t="str" cm="1">
        <f t="array" ref="H569:I571">_xlfn.CHOOSECOLS(Scope3_Equations.VEERG_15_13_1_1__1_EmissionsFromManureSentOffSite_Arguments(),3,4)</f>
        <v>t N2O</v>
      </c>
      <c r="I569" s="107" t="str">
        <v>Calculated</v>
      </c>
      <c r="J569" s="102">
        <f>VEERG_5_2_1_1__1_OrganicFertiliserApplicationN2OEmissions_Result_Method1</f>
        <v>7.8571428571428577E-3</v>
      </c>
      <c r="L569" s="102" t="str" cm="1">
        <f t="array" ref="L569:M571">_xlfn.CHOOSECOLS(Scope3_Equations.VEERG_15_13_1_1__1_EmissionsFromManureSentOffSite_Arguments(),1,2)</f>
        <v>E_N2O</v>
      </c>
      <c r="M569" s="103" t="str">
        <v>direct nitrous oxide emissions from application of manure to soils outside of scope 1 boundary</v>
      </c>
      <c r="N569" s="104"/>
      <c r="O569" s="105"/>
      <c r="P569" s="102" t="str" cm="1">
        <f t="array" ref="P569:Q571">_xlfn.CHOOSECOLS(Scope3_Equations.VEERG_15_13_1_1__1_EmissionsFromManureSentOffSite_Arguments(),3,4)</f>
        <v>t N2O</v>
      </c>
      <c r="Q569" s="107" t="str">
        <v>Calculated</v>
      </c>
      <c r="R569" s="102">
        <f>VEERG_5_2_1_1__1_OrganicFertiliserApplicationN2OEmissions_Result_Method2</f>
        <v>1.5714285714285715E-2</v>
      </c>
    </row>
    <row r="570" spans="4:18" x14ac:dyDescent="0.25">
      <c r="D570" s="102" t="str">
        <v>E_ad</v>
      </c>
      <c r="E570" s="103" t="str">
        <v>nitrous oxide emissions from atmospheric deposition of manure to soils</v>
      </c>
      <c r="F570" s="104"/>
      <c r="G570" s="105"/>
      <c r="H570" s="102" t="str">
        <v>t N2O</v>
      </c>
      <c r="I570" s="107" t="str">
        <v>Calculated</v>
      </c>
      <c r="J570" s="102">
        <f>VEERG_5_4_1_3__1_OrganicFertiliserAtmosphericDepositionN2OEmissions_Result_Method1</f>
        <v>2.31E-3</v>
      </c>
      <c r="L570" s="102" t="str">
        <v>E_ad</v>
      </c>
      <c r="M570" s="103" t="str">
        <v>nitrous oxide emissions from atmospheric deposition of manure to soils</v>
      </c>
      <c r="N570" s="104"/>
      <c r="O570" s="105"/>
      <c r="P570" s="102" t="str">
        <v>t N2O</v>
      </c>
      <c r="Q570" s="107" t="str">
        <v>Calculated</v>
      </c>
      <c r="R570" s="102">
        <f>VEERG_5_4_1_3__1_OrganicFertiliserAtmosphericDepositionN2OEmissions_Result_Method2</f>
        <v>4.62E-3</v>
      </c>
    </row>
    <row r="571" spans="4:18" x14ac:dyDescent="0.25">
      <c r="D571" s="102" t="str">
        <v>E_leach</v>
      </c>
      <c r="E571" s="103" t="str">
        <v>nitrous oxide emissions from nitrogen leaching and runoff of manure to soils</v>
      </c>
      <c r="F571" s="104"/>
      <c r="G571" s="105"/>
      <c r="H571" s="102" t="str">
        <v>t N2O</v>
      </c>
      <c r="I571" s="107" t="str">
        <v>Calculated</v>
      </c>
      <c r="J571" s="102">
        <f>VEERG_5_5_1_1__1_FertiliserLeachingAndRunoffN2OEmissions_Result_Method1</f>
        <v>4.1485714285714277E-3</v>
      </c>
      <c r="L571" s="102" t="str">
        <v>E_leach</v>
      </c>
      <c r="M571" s="103" t="str">
        <v>nitrous oxide emissions from nitrogen leaching and runoff of manure to soils</v>
      </c>
      <c r="N571" s="104"/>
      <c r="O571" s="105"/>
      <c r="P571" s="102" t="str">
        <v>t N2O</v>
      </c>
      <c r="Q571" s="107" t="str">
        <v>Calculated</v>
      </c>
      <c r="R571" s="102">
        <f>VEERG_5_5_1_1__1_FertiliserLeachingAndRunoffN2OEmissions_Result_Method2</f>
        <v>8.2971428571428554E-3</v>
      </c>
    </row>
    <row r="573" spans="4:18" ht="20.25" x14ac:dyDescent="0.25">
      <c r="D573" s="264" t="s">
        <v>1173</v>
      </c>
      <c r="E573" s="115" cm="1">
        <f t="array" ref="E573">Scope3_Equations.VEERG_15_13_1_1__1_EmissionsFromManureSentOffSite(J569,J570,J571)</f>
        <v>1.4315714285714286E-2</v>
      </c>
      <c r="F573" s="116" t="str">
        <f>$E$565</f>
        <v>t N2O</v>
      </c>
      <c r="L573" s="264" t="s">
        <v>1173</v>
      </c>
      <c r="M573" s="115" cm="1">
        <f t="array" ref="M573">Scope3_Equations.VEERG_15_13_1_1__1_EmissionsFromManureSentOffSite(R569,R570,R571)</f>
        <v>2.8631428571428572E-2</v>
      </c>
      <c r="N573" s="116" t="str">
        <f>$E$565</f>
        <v>t N2O</v>
      </c>
    </row>
    <row r="575" spans="4:18" x14ac:dyDescent="0.25">
      <c r="D575" s="117" t="str" cm="1">
        <f t="array" ref="D575:E576">Common_Equations.Common_ConvertN2OToCO2e_Arguments()</f>
        <v>EN2O</v>
      </c>
      <c r="E575" s="118" t="str">
        <v>Nitrous oxide emissions (t N2O)</v>
      </c>
      <c r="F575" s="119"/>
      <c r="G575" s="25">
        <f>E573</f>
        <v>1.4315714285714286E-2</v>
      </c>
      <c r="L575" s="117" t="str" cm="1">
        <f t="array" ref="L575:M576">Common_Equations.Common_ConvertN2OToCO2e_Arguments()</f>
        <v>EN2O</v>
      </c>
      <c r="M575" s="118" t="str">
        <v>Nitrous oxide emissions (t N2O)</v>
      </c>
      <c r="N575" s="119"/>
      <c r="O575" s="25">
        <f>M573</f>
        <v>2.8631428571428572E-2</v>
      </c>
    </row>
    <row r="576" spans="4:18" x14ac:dyDescent="0.25">
      <c r="D576" s="117" t="str">
        <v>GWPN2O</v>
      </c>
      <c r="E576" s="118" t="str">
        <v>Global warming potential for nitrous oxide (t CO2-e / t N2O)</v>
      </c>
      <c r="F576" s="119"/>
      <c r="G576" s="25">
        <f>Common_InputFunctions.Utility_LookupValueInTableNumber("N2O",Table_GWPData[Gas],Table_GWPData[CO2-e factor])</f>
        <v>265</v>
      </c>
      <c r="L576" s="117" t="str">
        <v>GWPN2O</v>
      </c>
      <c r="M576" s="118" t="str">
        <v>Global warming potential for nitrous oxide (t CO2-e / t N2O)</v>
      </c>
      <c r="N576" s="119"/>
      <c r="O576" s="25">
        <f>Common_InputFunctions.Utility_LookupValueInTableNumber("N2O",Table_GWPData[Gas],Table_GWPData[CO2-e factor])</f>
        <v>265</v>
      </c>
    </row>
    <row r="578" spans="3:41" ht="18.75" x14ac:dyDescent="0.25">
      <c r="D578" s="113" t="s">
        <v>299</v>
      </c>
      <c r="E578" s="113" cm="1">
        <f t="array" ref="E578">Common_Equations.Common_ConvertN2OToCO2e(G575,G576)</f>
        <v>3.7936642857142857</v>
      </c>
      <c r="F578" s="120" t="str" cm="1">
        <f t="array" ref="F578">Common_Equations.Common_ConvertN2OToCO2e_Unit()</f>
        <v>t CO2e</v>
      </c>
      <c r="L578" s="113" t="s">
        <v>299</v>
      </c>
      <c r="M578" s="113" cm="1">
        <f t="array" ref="M578">Common_Equations.Common_ConvertN2OToCO2e(O575,O576)</f>
        <v>7.5873285714285714</v>
      </c>
      <c r="N578" s="120" t="str" cm="1">
        <f t="array" ref="N578">Common_Equations.Common_ConvertN2OToCO2e_Unit()</f>
        <v>t CO2e</v>
      </c>
    </row>
    <row r="581" spans="3:41" x14ac:dyDescent="0.25">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c r="AL581" s="113"/>
      <c r="AM581" s="113"/>
      <c r="AN581" s="113"/>
      <c r="AO581" s="113"/>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261</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4" t="s">
        <v>1173</v>
      </c>
      <c r="E588" s="115">
        <f>VEERG_10_1_1_1__1_EmissionsFromWasteManagement_Scope3_Result_Method1</f>
        <v>441.15000000000003</v>
      </c>
      <c r="F588" s="116" t="str">
        <f>E586</f>
        <v>t CO2e</v>
      </c>
    </row>
    <row r="591" spans="3:41" x14ac:dyDescent="0.25">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c r="AL591" s="113"/>
      <c r="AM591" s="113"/>
      <c r="AN591" s="113"/>
      <c r="AO591" s="113"/>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0" t="s">
        <v>259</v>
      </c>
      <c r="E594" s="100" t="str" cm="1">
        <f t="array" aca="1" ref="E594" ca="1">Common_InputFunctions.Utility_DisplayFunctionName(J609)</f>
        <v>=Scope3_Equations.VEERG_15_14_1_1__1_EmbeddedEmissionsFromUpstreamFreight</v>
      </c>
    </row>
    <row r="598" spans="4:13" x14ac:dyDescent="0.25">
      <c r="D598" s="88" t="s">
        <v>261</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2" t="str" cm="1">
        <f t="array" ref="D601:E604">_xlfn.CHOOSECOLS(Scope3_Equations.VEERG_15_14_1_1__1_EmbeddedEmissionsFromUpstreamFreight_Arguments(),1,2)</f>
        <v>W_f</v>
      </c>
      <c r="E601" s="103" t="str">
        <v>total mass of goods transported per freight type f</v>
      </c>
      <c r="F601" s="105"/>
      <c r="G601" s="102" t="str" cm="1">
        <f t="array" ref="G601:H604">_xlfn.CHOOSECOLS(Scope3_Equations.VEERG_15_14_1_1__1_EmbeddedEmissionsFromUpstreamFreight_Arguments(),3,4)</f>
        <v>t</v>
      </c>
      <c r="H601" s="261" t="str">
        <v>Input</v>
      </c>
    </row>
    <row r="602" spans="4:13" x14ac:dyDescent="0.25">
      <c r="D602" s="102" t="str">
        <v>D_f</v>
      </c>
      <c r="E602" s="103" t="str">
        <v>total distance transported per freight type f</v>
      </c>
      <c r="F602" s="105"/>
      <c r="G602" s="102" t="str">
        <v>km</v>
      </c>
      <c r="H602" s="261" t="str">
        <v>Input</v>
      </c>
    </row>
    <row r="603" spans="4:13" x14ac:dyDescent="0.25">
      <c r="D603" s="102" t="str">
        <v>EF_f</v>
      </c>
      <c r="E603" s="103" t="str">
        <v>emission factor for freight type f</v>
      </c>
      <c r="F603" s="105"/>
      <c r="G603" s="102" t="str">
        <v>t CO2e/(t km)</v>
      </c>
      <c r="H603" s="107" t="str">
        <v>Constant</v>
      </c>
    </row>
    <row r="604" spans="4:13" x14ac:dyDescent="0.25">
      <c r="D604" s="102" t="str">
        <v>f</v>
      </c>
      <c r="E604" s="103" t="str">
        <v>freight type</v>
      </c>
      <c r="F604" s="105"/>
      <c r="G604" s="102" t="str">
        <v/>
      </c>
      <c r="H604" s="261" t="str">
        <v>Input</v>
      </c>
    </row>
    <row r="606" spans="4:13" ht="18.75" x14ac:dyDescent="0.25">
      <c r="D606" s="246" t="s">
        <v>1040</v>
      </c>
    </row>
    <row r="608" spans="4:13" ht="17.25" x14ac:dyDescent="0.25">
      <c r="D608" s="112" t="s">
        <v>1174</v>
      </c>
      <c r="E608" s="112" t="s">
        <v>1175</v>
      </c>
      <c r="F608" s="112" t="s">
        <v>1176</v>
      </c>
      <c r="G608" s="111" t="s">
        <v>1177</v>
      </c>
      <c r="H608" s="111" t="s">
        <v>1069</v>
      </c>
      <c r="I608" s="112" t="s">
        <v>1117</v>
      </c>
      <c r="J608" s="111" t="s">
        <v>1072</v>
      </c>
      <c r="K608" s="112" t="s">
        <v>1073</v>
      </c>
      <c r="L608" s="112" t="s">
        <v>1074</v>
      </c>
      <c r="M608" s="112" t="s">
        <v>1075</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1156</v>
      </c>
      <c r="H609" s="25" t="s">
        <v>1156</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1156</v>
      </c>
      <c r="H610" s="25" t="s">
        <v>1156</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1156</v>
      </c>
      <c r="H611" s="25" t="s">
        <v>1156</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1156</v>
      </c>
      <c r="H612" s="25" t="s">
        <v>1156</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1156</v>
      </c>
      <c r="H613" s="25" t="s">
        <v>1156</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1156</v>
      </c>
      <c r="H614" s="25" t="s">
        <v>1156</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1156</v>
      </c>
      <c r="H615" s="25" t="s">
        <v>1156</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1156</v>
      </c>
      <c r="H616" s="25" t="s">
        <v>1156</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1156</v>
      </c>
      <c r="H617" s="25" t="s">
        <v>1156</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1156</v>
      </c>
      <c r="H618" s="25" t="s">
        <v>1156</v>
      </c>
      <c r="I618" s="86"/>
      <c r="J618" s="25" cm="1">
        <f t="array" ref="J618">Scope3_Equations.VEERG_15_14_1_1__1_EmbeddedEmissionsFromUpstreamFreight(E618,F618,I618)</f>
        <v>0</v>
      </c>
      <c r="K618" s="44"/>
      <c r="L618" s="23"/>
      <c r="M618" s="44"/>
    </row>
    <row r="620" spans="4:13" x14ac:dyDescent="0.25">
      <c r="D620" s="125" t="s">
        <v>1178</v>
      </c>
      <c r="E620" s="113" t="s">
        <v>1156</v>
      </c>
      <c r="F620" s="120" t="str">
        <f>$E$104</f>
        <v>t CO2e</v>
      </c>
    </row>
    <row r="621" spans="4:13" x14ac:dyDescent="0.25">
      <c r="D621" s="125" t="s">
        <v>1179</v>
      </c>
      <c r="E621" s="113">
        <f>SUM(J609:J618)</f>
        <v>5146700</v>
      </c>
      <c r="F621" s="120" t="str">
        <f>$E$104</f>
        <v>t CO2e</v>
      </c>
    </row>
    <row r="624" spans="4:13" ht="18.75" x14ac:dyDescent="0.25">
      <c r="D624" s="246" t="s">
        <v>1050</v>
      </c>
    </row>
    <row r="626" spans="4:13" ht="17.25" x14ac:dyDescent="0.25">
      <c r="D626" s="112" t="s">
        <v>1174</v>
      </c>
      <c r="E626" s="112" t="s">
        <v>1175</v>
      </c>
      <c r="F626" s="112" t="s">
        <v>1176</v>
      </c>
      <c r="G626" s="111" t="s">
        <v>1177</v>
      </c>
      <c r="H626" s="111" t="s">
        <v>1069</v>
      </c>
      <c r="I626" s="112" t="s">
        <v>1117</v>
      </c>
      <c r="J626" s="111" t="s">
        <v>1072</v>
      </c>
      <c r="K626" s="112" t="s">
        <v>1073</v>
      </c>
      <c r="L626" s="112" t="s">
        <v>1074</v>
      </c>
      <c r="M626" s="112" t="s">
        <v>1075</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1156</v>
      </c>
      <c r="H627" s="25" t="s">
        <v>1156</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1156</v>
      </c>
      <c r="H628" s="25" t="s">
        <v>1156</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1156</v>
      </c>
      <c r="H629" s="25" t="s">
        <v>1156</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1156</v>
      </c>
      <c r="H630" s="25" t="s">
        <v>1156</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1156</v>
      </c>
      <c r="H631" s="25" t="s">
        <v>1156</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1156</v>
      </c>
      <c r="H632" s="25" t="s">
        <v>1156</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1156</v>
      </c>
      <c r="H633" s="25" t="s">
        <v>1156</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1156</v>
      </c>
      <c r="H634" s="25" t="s">
        <v>1156</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1156</v>
      </c>
      <c r="H635" s="25" t="s">
        <v>1156</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1156</v>
      </c>
      <c r="H636" s="25" t="s">
        <v>1156</v>
      </c>
      <c r="I636" s="86"/>
      <c r="J636" s="25" cm="1">
        <f t="array" ref="J636">Scope3_Equations.VEERG_15_14_1_1__1_EmbeddedEmissionsFromUpstreamFreight(E636,F636,I636)</f>
        <v>0</v>
      </c>
      <c r="K636" s="44"/>
      <c r="L636" s="23"/>
      <c r="M636" s="44"/>
    </row>
    <row r="638" spans="4:13" x14ac:dyDescent="0.25">
      <c r="D638" s="125" t="s">
        <v>1180</v>
      </c>
      <c r="E638" s="113" t="s">
        <v>1156</v>
      </c>
      <c r="F638" s="120" t="str">
        <f>$E$104</f>
        <v>t CO2e</v>
      </c>
    </row>
    <row r="639" spans="4:13" x14ac:dyDescent="0.25">
      <c r="D639" s="125" t="s">
        <v>1181</v>
      </c>
      <c r="E639" s="113">
        <f>SUM(J627:J636)</f>
        <v>432640</v>
      </c>
      <c r="F639" s="120" t="str">
        <f>$E$104</f>
        <v>t CO2e</v>
      </c>
    </row>
    <row r="641" spans="4:6" ht="20.25" x14ac:dyDescent="0.25">
      <c r="D641" s="114" t="s">
        <v>1069</v>
      </c>
      <c r="E641" s="115" t="s">
        <v>1156</v>
      </c>
      <c r="F641" s="116" t="str">
        <f>$E$104</f>
        <v>t CO2e</v>
      </c>
    </row>
    <row r="642" spans="4:6" ht="20.25" x14ac:dyDescent="0.25">
      <c r="D642" s="114" t="s">
        <v>1072</v>
      </c>
      <c r="E642" s="115">
        <f>E621+E639</f>
        <v>5579340</v>
      </c>
      <c r="F642" s="116" t="str">
        <f>$E$104</f>
        <v>t CO2e</v>
      </c>
    </row>
  </sheetData>
  <dataValidations count="2">
    <dataValidation type="list" allowBlank="1" showInputMessage="1" showErrorMessage="1" sqref="J490:J499" xr:uid="{034EAE10-7F02-44AB-96B6-A47B34700C4D}">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C57DC221-BA20-4EE3-A991-29825DA3FA36}">
      <formula1>INDIRECT("Table_SourceData_DataScores_Scope3[Data source]")</formula1>
    </dataValidation>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47AE5-39E6-41CA-9C2C-42B04D155BDA}">
  <sheetPr>
    <tabColor theme="9" tint="-0.249977111117893"/>
  </sheetPr>
  <dimension ref="A1:U160"/>
  <sheetViews>
    <sheetView showGridLines="0" topLeftCell="C61"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2" width="5.28515625" style="244" customWidth="1"/>
    <col min="13" max="13" width="5.28515625" style="1" customWidth="1"/>
    <col min="14" max="20" width="35" style="1" customWidth="1"/>
    <col min="21" max="21" width="5.28515625" style="1" customWidth="1"/>
    <col min="22" max="16384" width="9.140625" style="244"/>
  </cols>
  <sheetData>
    <row r="1" spans="1:21" ht="30" customHeight="1" x14ac:dyDescent="0.35">
      <c r="A1" s="16" t="e" vm="1">
        <v>#VALUE!</v>
      </c>
      <c r="C1" s="31" t="s">
        <v>1182</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0" t="s">
        <v>259</v>
      </c>
      <c r="E7" s="100" t="str" cm="1">
        <f t="array" aca="1" ref="E7" ca="1">Common_InputFunctions.Utility_DisplayFunctionName(E19)</f>
        <v>=Fertiliser_Equations_OrganicN2O.VEERG_5_2_1_1__1_OrganicFertiliserApplicationN2OEmissions</v>
      </c>
      <c r="N7" s="100" t="s">
        <v>259</v>
      </c>
      <c r="O7" s="100"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Fertiliser_Equations_OrganicN2O.VEERG_5_2_1_1__1_OrganicFertiliserApplicationN2OEmissions_Variable()</f>
        <v>E_N2O</v>
      </c>
      <c r="N10" s="88" t="s">
        <v>261</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7">_xlfn.CHOOSECOLS(Fertiliser_Equations_OrganicN2O.VEERG_5_2_1_1__1_OrganicFertiliserApplicationN2OEmissions_Arguments(), 1, 2)</f>
        <v>MNSoil_jf</v>
      </c>
      <c r="E13" s="103" t="str">
        <v>mass of nitrogen in organic fertiliser type f applied to production system j</v>
      </c>
      <c r="F13" s="104"/>
      <c r="G13" s="105"/>
      <c r="H13" s="102" t="str" cm="1">
        <f t="array" ref="H13:I17">_xlfn.CHOOSECOLS(Fertiliser_Equations_OrganicN2O.VEERG_5_2_1_1__1_OrganicFertiliserApplicationN2OEmissions_Arguments(), 3,4)</f>
        <v>kg N</v>
      </c>
      <c r="I13" s="107" t="str">
        <v>Calculated from 5.2.1.1 (2)</v>
      </c>
      <c r="J13" s="102">
        <f>X_Cell_ManureSentOffsite_MassNitrogenManure_Method1</f>
        <v>1000</v>
      </c>
      <c r="N13" s="102" t="str" cm="1">
        <f t="array" ref="N13:O17">_xlfn.CHOOSECOLS(Fertiliser_Equations_OrganicN2O.VEERG_5_2_1_1__1_OrganicFertiliserApplicationN2OEmissions_Arguments(), 1, 2)</f>
        <v>MNSoil_jf</v>
      </c>
      <c r="O13" s="103" t="str">
        <v>mass of nitrogen in organic fertiliser type f applied to production system j</v>
      </c>
      <c r="P13" s="104"/>
      <c r="Q13" s="105"/>
      <c r="R13" s="102" t="str" cm="1">
        <f t="array" ref="R13:S17">_xlfn.CHOOSECOLS(Fertiliser_Equations_OrganicN2O.VEERG_5_2_1_1__1_OrganicFertiliserApplicationN2OEmissions_Arguments(), 3,4)</f>
        <v>kg N</v>
      </c>
      <c r="S13" s="107" t="str">
        <v>Calculated from 5.2.1.1 (2)</v>
      </c>
      <c r="T13" s="102">
        <f>X_Cell_ManureSentOffsite_MassNitrogenManure_Method2</f>
        <v>2000</v>
      </c>
    </row>
    <row r="14" spans="1:21" ht="20.100000000000001" customHeight="1" x14ac:dyDescent="0.25">
      <c r="A14" s="5" t="str">
        <f>HYPERLINK("#'Input - Beef cattle purchases'!A1", "Beef cattle purchases")</f>
        <v>Beef cattle purchases</v>
      </c>
      <c r="D14" s="102" t="str">
        <v>EF_N2Oi</v>
      </c>
      <c r="E14" s="103" t="str">
        <v>emission factor for direct nitrous oxide emissions from organic fertiliser applied to soils and aquatic systems in climate zone i</v>
      </c>
      <c r="F14" s="104"/>
      <c r="G14" s="105"/>
      <c r="H14" s="102" t="str">
        <v>kg N2O-N/kg N</v>
      </c>
      <c r="I14" s="107" t="str">
        <v>Lookup</v>
      </c>
      <c r="J14" s="102">
        <f>Common_InputFunctions.Utility_LookupValueInTableNumber(J17, Table_SourceData_Common_EFOrganicFertCropResidues[Climate Zone],Table_SourceData_Common_EFOrganicFertCropResidues[EFNi &amp; EFN2Oi])</f>
        <v>5.0000000000000001E-3</v>
      </c>
      <c r="N14" s="102" t="str">
        <v>EF_N2Oi</v>
      </c>
      <c r="O14" s="103" t="str">
        <v>emission factor for direct nitrous oxide emissions from organic fertiliser applied to soils and aquatic systems in climate zone i</v>
      </c>
      <c r="P14" s="104"/>
      <c r="Q14" s="105"/>
      <c r="R14" s="102" t="str">
        <v>kg N2O-N/kg N</v>
      </c>
      <c r="S14" s="107" t="str">
        <v>Lookup</v>
      </c>
      <c r="T14" s="102"/>
    </row>
    <row r="15" spans="1:21" ht="20.100000000000001" customHeight="1" x14ac:dyDescent="0.25">
      <c r="A15" s="5" t="str">
        <f>HYPERLINK("#'Input - Pasture'!A1", "Pasture")</f>
        <v>Pasture</v>
      </c>
      <c r="D15" s="102" t="str">
        <v>C_N2O</v>
      </c>
      <c r="E15" s="103" t="str">
        <v>factor to convert elemental mass of nitrous oxide to molecular mass</v>
      </c>
      <c r="F15" s="104"/>
      <c r="G15" s="105"/>
      <c r="H15" s="102" t="str">
        <v/>
      </c>
      <c r="I15" s="107" t="str">
        <v>Constant</v>
      </c>
      <c r="J15" s="102">
        <f>Common_InputFunctions.Utility_LookupValueInTableNumber("N2O",Table_GasToMolecularConversionFactor[Gas],Table_GasToMolecularConversionFactor[Conversion factor combined])</f>
        <v>1.5714285714285714</v>
      </c>
      <c r="N15" s="102" t="str">
        <v>C_N2O</v>
      </c>
      <c r="O15" s="103" t="str">
        <v>factor to convert elemental mass of nitrous oxide to molecular mass</v>
      </c>
      <c r="P15" s="104"/>
      <c r="Q15" s="105"/>
      <c r="R15" s="102" t="str">
        <v/>
      </c>
      <c r="S15" s="107" t="str">
        <v>Constant</v>
      </c>
      <c r="T15" s="102"/>
    </row>
    <row r="16" spans="1:21" ht="20.100000000000001" customHeight="1" x14ac:dyDescent="0.25">
      <c r="A16" s="5" t="str">
        <f>HYPERLINK("#'Input - Fert Prod System'!A1", "Fert Prod System")</f>
        <v>Fert Prod System</v>
      </c>
      <c r="D16" s="102" t="str">
        <v>j</v>
      </c>
      <c r="E16" s="103" t="str">
        <v>Production system</v>
      </c>
      <c r="F16" s="104"/>
      <c r="G16" s="105"/>
      <c r="H16" s="102" t="str">
        <v/>
      </c>
      <c r="I16" s="261" t="str">
        <v>Input</v>
      </c>
      <c r="J16" s="102" t="str">
        <f>X_Cell_ManureSentOffsite_ManureProductionSystem</f>
        <v>Crop</v>
      </c>
      <c r="N16" s="102" t="str">
        <v>j</v>
      </c>
      <c r="O16" s="103" t="str">
        <v>Production system</v>
      </c>
      <c r="P16" s="104"/>
      <c r="Q16" s="105"/>
      <c r="R16" s="102" t="str">
        <v/>
      </c>
      <c r="S16" s="261" t="str">
        <v>Input</v>
      </c>
      <c r="T16" s="102"/>
    </row>
    <row r="17" spans="1:20" ht="20.100000000000001" customHeight="1" x14ac:dyDescent="0.25">
      <c r="A17" s="5" t="str">
        <f>HYPERLINK("#'Input - Fertiliser'!A1", "Fertiliser")</f>
        <v>Fertiliser</v>
      </c>
      <c r="D17" s="102" t="str">
        <v>i</v>
      </c>
      <c r="E17" s="103" t="str">
        <v>Wet or dry climate zone</v>
      </c>
      <c r="F17" s="104"/>
      <c r="G17" s="105"/>
      <c r="H17" s="102" t="str">
        <v/>
      </c>
      <c r="I17" s="261" t="str">
        <v>Input</v>
      </c>
      <c r="J17" s="102" t="str">
        <f>X_Cell_Site_WetOrDryClimateZone</f>
        <v>Dry climate zone</v>
      </c>
      <c r="N17" s="102" t="str">
        <v>i</v>
      </c>
      <c r="O17" s="103" t="str">
        <v>Wet or dry climate zone</v>
      </c>
      <c r="P17" s="104"/>
      <c r="Q17" s="105"/>
      <c r="R17" s="102" t="str">
        <v/>
      </c>
      <c r="S17" s="261" t="str">
        <v>Input</v>
      </c>
      <c r="T17" s="102"/>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4" t="s">
        <v>562</v>
      </c>
      <c r="E19" s="115" cm="1">
        <f t="array" ref="E19">Fertiliser_Equations_OrganicN2O.VEERG_5_2_1_1__1_OrganicFertiliserApplicationN2OEmissions(J13,J14,J15)</f>
        <v>7.8571428571428577E-3</v>
      </c>
      <c r="F19" s="116" t="str">
        <f>$E$11</f>
        <v>t N2O</v>
      </c>
      <c r="N19" s="114" t="s">
        <v>562</v>
      </c>
      <c r="O19" s="115" cm="1">
        <f t="array" ref="O19">Fertiliser_Equations_OrganicN2O.VEERG_5_2_1_1__1_OrganicFertiliserApplicationN2OEmissions(T13,J14,J15)</f>
        <v>1.5714285714285715E-2</v>
      </c>
      <c r="P19" s="116"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00" t="s">
        <v>259</v>
      </c>
      <c r="E26" s="100" t="str" cm="1">
        <f t="array" aca="1" ref="E26" ca="1">Common_InputFunctions.Utility_DisplayFunctionName(E35)</f>
        <v>=Fertiliser_Equations_AtmosphericDeposition.VEERG_5_4_1_3__2_MassOfNitrogenVolatilisedFromOrganicFertiliser</v>
      </c>
      <c r="N26" s="100" t="s">
        <v>259</v>
      </c>
      <c r="O26" s="10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HYPERLINK("#'3.2.1.1-2 Enteric Methane'!A1", "3.2.1.1-2 Enteric methane")</f>
        <v>3.2.1.1-2 Enteric methane</v>
      </c>
    </row>
    <row r="28" spans="1:20" ht="20.100000000000001" customHeight="1" x14ac:dyDescent="0.25">
      <c r="A28" s="5" t="str">
        <f>HYPERLINK("#'4.2.1.1-2 Methane'!A1", "4.2.1.1-2 Manure methane")</f>
        <v>4.2.1.1-2 Manure methane</v>
      </c>
    </row>
    <row r="29" spans="1:20" ht="20.100000000000001" customHeight="1" x14ac:dyDescent="0.25">
      <c r="A29" s="5" t="str">
        <f>HYPERLINK("#'4.2.1.3-4 Soil direct N20'!A1", "4.2.1.3-4 Soil direct N2O")</f>
        <v>4.2.1.3-4 Soil direct N2O</v>
      </c>
      <c r="D29" s="88" t="s">
        <v>261</v>
      </c>
      <c r="E29" s="1" t="str" cm="1">
        <f t="array" ref="E29">Fertiliser_Equations_AtmosphericDeposition.VEERG_5_4_1_3__2_MassOfNitrogenVolatilisedFromOrganicFertiliser_Variable()</f>
        <v>M_volorganicjf</v>
      </c>
      <c r="N29" s="88" t="s">
        <v>261</v>
      </c>
      <c r="O29" s="1" t="str" cm="1">
        <f t="array" ref="O29">Fertiliser_Equations_AtmosphericDeposition.VEERG_5_4_1_3__2_MassOfNitrogenVolatilisedFromOrganicFertiliser_Variable()</f>
        <v>M_volorganicjf</v>
      </c>
    </row>
    <row r="30" spans="1:20" ht="20.100000000000001" customHeight="1" x14ac:dyDescent="0.25">
      <c r="A30" s="5" t="str">
        <f>HYPERLINK("#'4.2.1.5-6 Soil Atmos Dep'!A1", "4.2.1.5-6 Soil atm. deposition")</f>
        <v>4.2.1.5-6 Soil atm. deposition</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HYPERLINK("#'4.2.1.7-8 Soil leach runoff'!A1", "4.2.1.7-8 Soil leach &amp; runoff")</f>
        <v>4.2.1.7-8 Soil leach &amp; runoff</v>
      </c>
    </row>
    <row r="32" spans="1:20" ht="20.100000000000001" customHeight="1" x14ac:dyDescent="0.25">
      <c r="A32" s="5" t="str">
        <f>HYPERLINK("#'5.1.1.1-2 Inorganic fert N2O'!A1", "5.1.1.1-2 Inorganic fert N2O")</f>
        <v>5.1.1.1-2 Inorganic fert N2O</v>
      </c>
      <c r="D32" s="102" t="str" cm="1">
        <f t="array" ref="D32:E33">_xlfn.CHOOSECOLS(Fertiliser_Equations_AtmosphericDeposition.VEERG_5_4_1_3__2_MassOfNitrogenVolatilisedFromOrganicFertiliser_Arguments(), 1, 2)</f>
        <v>MNSoil_jf</v>
      </c>
      <c r="E32" s="102" t="str">
        <v>mass of nitrogen in organic fertiliser type f applied to production system j</v>
      </c>
      <c r="F32" s="102"/>
      <c r="G32" s="102" t="str" cm="1">
        <f t="array" ref="G32:H33">_xlfn.CHOOSECOLS(Fertiliser_Equations_AtmosphericDeposition.VEERG_5_4_1_3__2_MassOfNitrogenVolatilisedFromOrganicFertiliser_Arguments(), 3,4)</f>
        <v>kg N</v>
      </c>
      <c r="H32" s="107" t="str">
        <v>Calculated from 5.2.1.1 (2)</v>
      </c>
      <c r="I32" s="102">
        <f>X_Cell_ManureSentOffsite_MassNitrogenManure_Method1</f>
        <v>1000</v>
      </c>
      <c r="N32" s="102" t="str" cm="1">
        <f t="array" ref="N32:O33">_xlfn.CHOOSECOLS(Fertiliser_Equations_AtmosphericDeposition.VEERG_5_4_1_3__2_MassOfNitrogenVolatilisedFromOrganicFertiliser_Arguments(), 1, 2)</f>
        <v>MNSoil_jf</v>
      </c>
      <c r="O32" s="102" t="str">
        <v>mass of nitrogen in organic fertiliser type f applied to production system j</v>
      </c>
      <c r="P32" s="102"/>
      <c r="Q32" s="102" t="str" cm="1">
        <f t="array" ref="Q32:R33">_xlfn.CHOOSECOLS(Fertiliser_Equations_AtmosphericDeposition.VEERG_5_4_1_3__2_MassOfNitrogenVolatilisedFromOrganicFertiliser_Arguments(), 3,4)</f>
        <v>kg N</v>
      </c>
      <c r="R32" s="107" t="str">
        <v>Calculated from 5.2.1.1 (2)</v>
      </c>
      <c r="S32" s="102">
        <f>X_Cell_ManureSentOffsite_MassNitrogenManure_Method2</f>
        <v>2000</v>
      </c>
    </row>
    <row r="33" spans="1:19" ht="20.100000000000001" customHeight="1" x14ac:dyDescent="0.25">
      <c r="A33" s="5" t="str">
        <f>HYPERLINK("#'5.1.1.3-4 Inorganic fert CO2'!A1", "5.1.1.3-4 Inorganic fert CO2")</f>
        <v>5.1.1.3-4 Inorganic fert CO2</v>
      </c>
      <c r="D33" s="102" t="str">
        <v>FracGASM_soil</v>
      </c>
      <c r="E33" s="102" t="str">
        <v>fraction of organic fertiliser N that volatilises</v>
      </c>
      <c r="F33" s="102"/>
      <c r="G33" s="102" t="str">
        <v>(kg NH3-N + NOx-N)/kg N</v>
      </c>
      <c r="H33" s="107" t="str">
        <v>Constant</v>
      </c>
      <c r="I33" s="102">
        <f>'Constants - Fertiliser'!$E$73</f>
        <v>0.21</v>
      </c>
      <c r="N33" s="102" t="str">
        <v>FracGASM_soil</v>
      </c>
      <c r="O33" s="102" t="str">
        <v>fraction of organic fertiliser N that volatilises</v>
      </c>
      <c r="P33" s="102"/>
      <c r="Q33" s="102" t="str">
        <v>(kg NH3-N + NOx-N)/kg N</v>
      </c>
      <c r="R33" s="107" t="str">
        <v>Constant</v>
      </c>
      <c r="S33" s="102"/>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5" t="s">
        <v>1183</v>
      </c>
      <c r="E35" s="113" cm="1">
        <f t="array" ref="E35">Fertiliser_Equations_AtmosphericDeposition.VEERG_5_4_1_3__2_MassOfNitrogenVolatilisedFromOrganicFertiliser(I32,I33)</f>
        <v>210</v>
      </c>
      <c r="F35" s="120" t="str">
        <f>E30</f>
        <v>kg N</v>
      </c>
      <c r="N35" s="125" t="s">
        <v>1183</v>
      </c>
      <c r="O35" s="113" cm="1">
        <f t="array" ref="O35">Fertiliser_Equations_AtmosphericDeposition.VEERG_5_4_1_3__2_MassOfNitrogenVolatilisedFromOrganicFertiliser(S32,I33)</f>
        <v>420</v>
      </c>
      <c r="P35" s="120" t="str">
        <f>O30</f>
        <v>kg N</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row>
    <row r="38" spans="1:19" ht="20.100000000000001" customHeight="1" x14ac:dyDescent="0.25">
      <c r="A38" s="5" t="str">
        <f>HYPERLINK("#'6.2.1.1-2 Pasture residue N2O'!A1", "6.2.1.1-2 Pasture residue N2O")</f>
        <v>6.2.1.1-2 Pasture residue N2O</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HYPERLINK("#'8.2.1.1-2 Stationary fuel'!A1", "8.2.1.1-2 Stationary fuel")</f>
        <v>8.2.1.1-2 Stationary fuel</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Common_InputFunctions.Utility_DisplayFunctionName(E55)</f>
        <v>=Fertiliser_Equations_AtmosphericDeposition.VEERG_5_4_1_3__1_OrganicFertiliserAtmosphericDepositionN2OEmissions</v>
      </c>
      <c r="N42" s="100" t="s">
        <v>259</v>
      </c>
      <c r="O42" s="100"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HYPERLINK("#'15 Scope 3'!A1", "15 Scope 3")</f>
        <v>15 Scope 3</v>
      </c>
    </row>
    <row r="44" spans="1:19" ht="20.100000000000001" customHeight="1" x14ac:dyDescent="0.25">
      <c r="A44" s="101"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c r="D45" s="88" t="s">
        <v>261</v>
      </c>
      <c r="E45" s="1" t="str" cm="1">
        <f t="array" ref="E45">Fertiliser_Equations_AtmosphericDeposition.VEERG_5_4_1_3__1_OrganicFertiliserAtmosphericDepositionN2OEmissions_Variable()</f>
        <v>E_adorganic</v>
      </c>
      <c r="N45" s="88" t="s">
        <v>261</v>
      </c>
      <c r="O45" s="1" t="str" cm="1">
        <f t="array" ref="O45">Fertiliser_Equations_AtmosphericDeposition.VEERG_5_4_1_3__1_OrganicFertiliserAtmosphericDepositionN2OEmissions_Variable()</f>
        <v>E_adorganic</v>
      </c>
    </row>
    <row r="46" spans="1:19" ht="20.100000000000001" customHeight="1" x14ac:dyDescent="0.25">
      <c r="A46"/>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row>
    <row r="48" spans="1:19" ht="20.100000000000001" customHeight="1" x14ac:dyDescent="0.25">
      <c r="A48" s="96" t="s">
        <v>1</v>
      </c>
      <c r="D48" s="102" t="str" cm="1">
        <f t="array" ref="D48:E53">_xlfn.CHOOSECOLS(Fertiliser_Equations_AtmosphericDeposition.VEERG_5_4_1_3__1_OrganicFertiliserAtmosphericDepositionN2OEmissions_Arguments(), 1, 2)</f>
        <v>M_volorganicjf</v>
      </c>
      <c r="E48" s="103" t="str">
        <v>mass of nitrogen volatilised from organic fertiliser applied to production system</v>
      </c>
      <c r="F48" s="105"/>
      <c r="G48" s="102" t="str" cm="1">
        <f t="array" ref="G48:H53">_xlfn.CHOOSECOLS(Fertiliser_Equations_AtmosphericDeposition.VEERG_5_4_1_3__1_OrganicFertiliserAtmosphericDepositionN2OEmissions_Arguments(), 3,4)</f>
        <v>kg N</v>
      </c>
      <c r="H48" s="107" t="str">
        <v>Calculated from 5.4.1.3 (2)</v>
      </c>
      <c r="I48" s="102">
        <f>E35</f>
        <v>210</v>
      </c>
      <c r="N48" s="102" t="str" cm="1">
        <f t="array" ref="N48:O53">_xlfn.CHOOSECOLS(Fertiliser_Equations_AtmosphericDeposition.VEERG_5_4_1_3__1_OrganicFertiliserAtmosphericDepositionN2OEmissions_Arguments(), 1, 2)</f>
        <v>M_volorganicjf</v>
      </c>
      <c r="O48" s="103" t="str">
        <v>mass of nitrogen volatilised from organic fertiliser applied to production system</v>
      </c>
      <c r="P48" s="105"/>
      <c r="Q48" s="102" t="str" cm="1">
        <f t="array" ref="Q48:R53">_xlfn.CHOOSECOLS(Fertiliser_Equations_AtmosphericDeposition.VEERG_5_4_1_3__1_OrganicFertiliserAtmosphericDepositionN2OEmissions_Arguments(), 3,4)</f>
        <v>kg N</v>
      </c>
      <c r="R48" s="107" t="str">
        <v>Calculated from 5.4.1.3 (2)</v>
      </c>
      <c r="S48" s="102">
        <f>O35</f>
        <v>420</v>
      </c>
    </row>
    <row r="49" spans="1:19" ht="20.100000000000001" customHeight="1" x14ac:dyDescent="0.25">
      <c r="A49" s="5" t="str">
        <f>HYPERLINK("#'Constants - Pasture Beef'!A1", "Constants - Pasture Beef")</f>
        <v>Constants - Pasture Beef</v>
      </c>
      <c r="D49" s="102" t="str">
        <v>EF_N2Oj</v>
      </c>
      <c r="E49" s="103" t="str">
        <v>emission factor for atmospheric deposition in production system j</v>
      </c>
      <c r="F49" s="105"/>
      <c r="G49" s="102" t="str">
        <v>kg N2O-N/kg N</v>
      </c>
      <c r="H49" s="107" t="str">
        <v>Constant</v>
      </c>
      <c r="I49" s="102">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2" t="str">
        <v>EF_N2Oj</v>
      </c>
      <c r="O49" s="103" t="str">
        <v>emission factor for atmospheric deposition in production system j</v>
      </c>
      <c r="P49" s="105"/>
      <c r="Q49" s="102" t="str">
        <v>kg N2O-N/kg N</v>
      </c>
      <c r="R49" s="107" t="str">
        <v>Constant</v>
      </c>
      <c r="S49" s="102"/>
    </row>
    <row r="50" spans="1:19" ht="20.100000000000001" customHeight="1" x14ac:dyDescent="0.25">
      <c r="A50" s="5" t="str">
        <f>HYPERLINK("#'Constants - Ag Residue'!A1", "Constants - Ag residue")</f>
        <v>Constants - Ag residue</v>
      </c>
      <c r="D50" s="102" t="str">
        <v>C_N2O</v>
      </c>
      <c r="E50" s="103" t="str">
        <v>factor to convert elemental mass of nitrous oxide to molecular mass</v>
      </c>
      <c r="F50" s="105"/>
      <c r="G50" s="102" t="str">
        <v/>
      </c>
      <c r="H50" s="107" t="str">
        <v>Constant</v>
      </c>
      <c r="I50" s="117">
        <f>Common_InputFunctions.Utility_LookupValueInTableNumber("N2O",Table_GasToMolecularConversionFactor[Gas],Table_GasToMolecularConversionFactor[Conversion factor combined])</f>
        <v>1.5714285714285714</v>
      </c>
      <c r="N50" s="102" t="str">
        <v>C_N2O</v>
      </c>
      <c r="O50" s="103" t="str">
        <v>factor to convert elemental mass of nitrous oxide to molecular mass</v>
      </c>
      <c r="P50" s="105"/>
      <c r="Q50" s="102" t="str">
        <v/>
      </c>
      <c r="R50" s="107" t="str">
        <v>Constant</v>
      </c>
      <c r="S50" s="117"/>
    </row>
    <row r="51" spans="1:19" ht="20.100000000000001" customHeight="1" x14ac:dyDescent="0.25">
      <c r="A51" s="5" t="str">
        <f>HYPERLINK("#'Constants - Common Livestock'!A1", "Constants - Common Livestock")</f>
        <v>Constants - Common Livestock</v>
      </c>
      <c r="D51" s="102" t="str">
        <v>j</v>
      </c>
      <c r="E51" s="103" t="str">
        <v>Production system</v>
      </c>
      <c r="F51" s="105"/>
      <c r="G51" s="102" t="str">
        <v/>
      </c>
      <c r="H51" s="261" t="str">
        <v>Input</v>
      </c>
      <c r="I51" s="102" t="str">
        <f>X_Cell_ManureSentOffsite_ManureProductionSystem</f>
        <v>Crop</v>
      </c>
      <c r="N51" s="102" t="str">
        <v>j</v>
      </c>
      <c r="O51" s="103" t="str">
        <v>Production system</v>
      </c>
      <c r="P51" s="105"/>
      <c r="Q51" s="102" t="str">
        <v/>
      </c>
      <c r="R51" s="261" t="str">
        <v>Input</v>
      </c>
      <c r="S51" s="102"/>
    </row>
    <row r="52" spans="1:19" ht="20.100000000000001" customHeight="1" x14ac:dyDescent="0.25">
      <c r="A52" s="5" t="str">
        <f>HYPERLINK("#'Constants - Electricity'!A1", "Constants - Electricity")</f>
        <v>Constants - Electricity</v>
      </c>
      <c r="D52" s="102" t="str">
        <v>ir</v>
      </c>
      <c r="E52" s="103" t="str">
        <v>irrigation method</v>
      </c>
      <c r="F52" s="105"/>
      <c r="G52" s="102" t="str">
        <v/>
      </c>
      <c r="H52" s="261" t="str">
        <v>Input</v>
      </c>
      <c r="I52" s="102" t="str">
        <f>X_Cell_ManureSentOffsite_ManureIrrigationMethod</f>
        <v>Sprinkler irrigation</v>
      </c>
      <c r="N52" s="102" t="str">
        <v>ir</v>
      </c>
      <c r="O52" s="103" t="str">
        <v>irrigation method</v>
      </c>
      <c r="P52" s="105"/>
      <c r="Q52" s="102" t="str">
        <v/>
      </c>
      <c r="R52" s="261" t="str">
        <v>Input</v>
      </c>
      <c r="S52" s="102"/>
    </row>
    <row r="53" spans="1:19" ht="20.100000000000001" customHeight="1" x14ac:dyDescent="0.25">
      <c r="A53" s="5" t="str">
        <f>HYPERLINK("#'Constants - Fertiliser'!A1", "Constants - Fertiliser")</f>
        <v>Constants - Fertiliser</v>
      </c>
      <c r="D53" s="102" t="str">
        <v>r</v>
      </c>
      <c r="E53" s="103" t="str">
        <v>rainfall region</v>
      </c>
      <c r="F53" s="105"/>
      <c r="G53" s="102" t="str">
        <v/>
      </c>
      <c r="H53" s="261" t="str">
        <v>Input</v>
      </c>
      <c r="I53" s="102" t="str">
        <f>X_Cell_Site_RainfallZone</f>
        <v>High rainfall</v>
      </c>
      <c r="N53" s="102" t="str">
        <v>r</v>
      </c>
      <c r="O53" s="103" t="str">
        <v>rainfall region</v>
      </c>
      <c r="P53" s="105"/>
      <c r="Q53" s="102" t="str">
        <v/>
      </c>
      <c r="R53" s="261" t="str">
        <v>Input</v>
      </c>
      <c r="S53" s="102"/>
    </row>
    <row r="54" spans="1:19" ht="20.100000000000001" customHeight="1" x14ac:dyDescent="0.25">
      <c r="A54" s="5" t="str">
        <f>HYPERLINK("#'Constants - Fuel'!A1", "Constants - Fuel")</f>
        <v>Constants - Fuel</v>
      </c>
    </row>
    <row r="55" spans="1:19" ht="20.100000000000001" customHeight="1" x14ac:dyDescent="0.25">
      <c r="A55" s="5" t="str">
        <f>HYPERLINK("#'Constants - Scope 3'!A1", "Constants - Scope 3")</f>
        <v>Constants - Scope 3</v>
      </c>
      <c r="D55" s="114" t="s">
        <v>600</v>
      </c>
      <c r="E55" s="115" cm="1">
        <f t="array" ref="E55">Fertiliser_Equations_AtmosphericDeposition.VEERG_5_4_1_3__1_OrganicFertiliserAtmosphericDepositionN2OEmissions(I48,I49,I50)</f>
        <v>2.31E-3</v>
      </c>
      <c r="F55" s="116" t="str">
        <f>$E$46</f>
        <v>t N2O</v>
      </c>
      <c r="N55" s="114" t="s">
        <v>600</v>
      </c>
      <c r="O55" s="115" cm="1">
        <f t="array" ref="O55">Fertiliser_Equations_AtmosphericDeposition.VEERG_5_4_1_3__1_OrganicFertiliserAtmosphericDepositionN2OEmissions(S48,I49,I50)</f>
        <v>4.62E-3</v>
      </c>
      <c r="P55" s="116" t="str">
        <f>$E$46</f>
        <v>t N2O</v>
      </c>
    </row>
    <row r="56" spans="1:19" ht="20.100000000000001" customHeight="1" x14ac:dyDescent="0.25">
      <c r="A56" s="5" t="str">
        <f>HYPERLINK("#'Constants - Common'!A1", "Constants - Common")</f>
        <v>Constants - Common</v>
      </c>
    </row>
    <row r="57" spans="1:19" ht="20.100000000000001" customHeight="1" x14ac:dyDescent="0.25">
      <c r="A57" s="5" t="str">
        <f>HYPERLINK("#'Acknowledgements'!A1", "Acknowledgements")</f>
        <v>Acknowledgements</v>
      </c>
    </row>
    <row r="58" spans="1:19" ht="20.100000000000001" customHeight="1" x14ac:dyDescent="0.25">
      <c r="A58" s="5" t="str">
        <f>HYPERLINK("#'Constants - Solid Waste'!A1", "Constants - Solid Waste")</f>
        <v>Constants - Solid Waste</v>
      </c>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0" t="s">
        <v>259</v>
      </c>
      <c r="E61" s="100" t="str" cm="1">
        <f t="array" aca="1" ref="E61" ca="1">Common_InputFunctions.Utility_DisplayFunctionName(E74)</f>
        <v>=Fertiliser_Equations_LeachingAndRunoff.VEERG_5_5_1_1__3_MassOfNitrogenLeachedFromOrganicFertiliser</v>
      </c>
      <c r="N61" s="100" t="s">
        <v>259</v>
      </c>
      <c r="O61" s="10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261</v>
      </c>
      <c r="E64" s="1" t="str" cm="1">
        <f t="array" ref="E64">Fertiliser_Equations_LeachingAndRunoff.VEERG_5_5_1_1__3_MassOfNitrogenLeachedFromOrganicFertiliser_Variable()</f>
        <v>M_leachorganicj</v>
      </c>
      <c r="N64" s="88" t="s">
        <v>261</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2" t="str" cm="1">
        <f t="array" ref="D67:E72">_xlfn.CHOOSECOLS(Fertiliser_Equations_LeachingAndRunoff.VEERG_5_5_1_1__3_MassOfNitrogenLeachedFromOrganicFertiliser_Arguments(), 1, 2)</f>
        <v>MNSoil_jf</v>
      </c>
      <c r="E67" s="103" t="str">
        <v>mass of nitrogen in organic fertiliser</v>
      </c>
      <c r="F67" s="105"/>
      <c r="G67" s="102" t="str" cm="1">
        <f t="array" ref="G67:H72">_xlfn.CHOOSECOLS(Fertiliser_Equations_LeachingAndRunoff.VEERG_5_5_1_1__3_MassOfNitrogenLeachedFromOrganicFertiliser_Arguments(), 3,4)</f>
        <v>kg N</v>
      </c>
      <c r="H67" s="107" t="str">
        <v>Calculated from 5.2.1.1 (2)</v>
      </c>
      <c r="I67" s="102">
        <f>X_Cell_ManureSentOffsite_MassNitrogenManure_Method1</f>
        <v>1000</v>
      </c>
      <c r="N67" s="102" t="str" cm="1">
        <f t="array" ref="N67:O72">_xlfn.CHOOSECOLS(Fertiliser_Equations_LeachingAndRunoff.VEERG_5_5_1_1__3_MassOfNitrogenLeachedFromOrganicFertiliser_Arguments(), 1, 2)</f>
        <v>MNSoil_jf</v>
      </c>
      <c r="O67" s="103" t="str">
        <v>mass of nitrogen in organic fertiliser</v>
      </c>
      <c r="P67" s="105"/>
      <c r="Q67" s="102" t="str" cm="1">
        <f t="array" ref="Q67:R72">_xlfn.CHOOSECOLS(Fertiliser_Equations_LeachingAndRunoff.VEERG_5_5_1_1__3_MassOfNitrogenLeachedFromOrganicFertiliser_Arguments(), 3,4)</f>
        <v>kg N</v>
      </c>
      <c r="R67" s="107" t="str">
        <v>Calculated from 5.2.1.1 (2)</v>
      </c>
      <c r="S67" s="102">
        <f>X_Cell_ManureSentOffsite_MassNitrogenManure_Method2</f>
        <v>2000</v>
      </c>
    </row>
    <row r="68" spans="1:19" ht="20.100000000000001" customHeight="1" x14ac:dyDescent="0.25">
      <c r="A68"/>
      <c r="D68" s="102" t="str">
        <v>FracWETj</v>
      </c>
      <c r="E68" s="103" t="str">
        <v>fraction of N available for leaching and runoff</v>
      </c>
      <c r="F68" s="105"/>
      <c r="G68" s="102" t="str">
        <v>fraction</v>
      </c>
      <c r="H68" s="107" t="str">
        <v>Constant</v>
      </c>
      <c r="I68" s="102">
        <f>Common_InputFunctions.CommonCropping_GetFracWET(I70,I72,#REF!,#REF!,Table_SourceData_FracWETIrrigation[Irrigation type i],Table_SourceData_FracWETIrrigation[FracWET])</f>
        <v>1</v>
      </c>
      <c r="N68" s="102" t="str">
        <v>FracWETj</v>
      </c>
      <c r="O68" s="103" t="str">
        <v>fraction of N available for leaching and runoff</v>
      </c>
      <c r="P68" s="105"/>
      <c r="Q68" s="102" t="str">
        <v>fraction</v>
      </c>
      <c r="R68" s="107" t="str">
        <v>Constant</v>
      </c>
      <c r="S68" s="102"/>
    </row>
    <row r="69" spans="1:19" ht="20.100000000000001" customHeight="1" x14ac:dyDescent="0.25">
      <c r="A69"/>
      <c r="D69" s="102" t="str">
        <v>FracLEACH</v>
      </c>
      <c r="E69" s="103" t="str">
        <v>fraction of N that is lost through leaching and runoff</v>
      </c>
      <c r="F69" s="105"/>
      <c r="G69" s="102" t="str">
        <v>fraction</v>
      </c>
      <c r="H69" s="107" t="str">
        <v>Constant</v>
      </c>
      <c r="I69" s="102">
        <f>'Constants - Fertiliser'!$E$78</f>
        <v>0.24</v>
      </c>
      <c r="N69" s="102" t="str">
        <v>FracLEACH</v>
      </c>
      <c r="O69" s="103" t="str">
        <v>fraction of N that is lost through leaching and runoff</v>
      </c>
      <c r="P69" s="105"/>
      <c r="Q69" s="102" t="str">
        <v>fraction</v>
      </c>
      <c r="R69" s="107" t="str">
        <v>Constant</v>
      </c>
      <c r="S69" s="102"/>
    </row>
    <row r="70" spans="1:19" ht="20.100000000000001" customHeight="1" x14ac:dyDescent="0.25">
      <c r="A70"/>
      <c r="D70" s="102" t="str">
        <v>z</v>
      </c>
      <c r="E70" s="103" t="str">
        <v>location in leaching zone</v>
      </c>
      <c r="F70" s="105"/>
      <c r="G70" s="102" t="str">
        <v/>
      </c>
      <c r="H70" s="261" t="str">
        <v>Input</v>
      </c>
      <c r="I70" s="102" t="str">
        <f>X_Cell_Site_LeachingZone</f>
        <v>NO - Not in leaching zone</v>
      </c>
      <c r="N70" s="102" t="str">
        <v>z</v>
      </c>
      <c r="O70" s="103" t="str">
        <v>location in leaching zone</v>
      </c>
      <c r="P70" s="105"/>
      <c r="Q70" s="102" t="str">
        <v/>
      </c>
      <c r="R70" s="261" t="str">
        <v>Input</v>
      </c>
      <c r="S70" s="102"/>
    </row>
    <row r="71" spans="1:19" ht="20.100000000000001" customHeight="1" x14ac:dyDescent="0.25">
      <c r="A71"/>
      <c r="D71" s="102" t="str">
        <v>j</v>
      </c>
      <c r="E71" s="103" t="str">
        <v>production system</v>
      </c>
      <c r="F71" s="105"/>
      <c r="G71" s="102" t="str">
        <v/>
      </c>
      <c r="H71" s="261" t="str">
        <v>Input</v>
      </c>
      <c r="I71" s="102" t="str">
        <f>X_Cell_ManureSentOffsite_ManureProductionSystem</f>
        <v>Crop</v>
      </c>
      <c r="N71" s="102" t="str">
        <v>j</v>
      </c>
      <c r="O71" s="103" t="str">
        <v>production system</v>
      </c>
      <c r="P71" s="105"/>
      <c r="Q71" s="102" t="str">
        <v/>
      </c>
      <c r="R71" s="261" t="str">
        <v>Input</v>
      </c>
      <c r="S71" s="102"/>
    </row>
    <row r="72" spans="1:19" ht="20.100000000000001" customHeight="1" x14ac:dyDescent="0.25">
      <c r="A72"/>
      <c r="D72" s="102" t="str">
        <v>ir</v>
      </c>
      <c r="E72" s="103" t="str">
        <v>irrigation method</v>
      </c>
      <c r="F72" s="105"/>
      <c r="G72" s="102" t="str">
        <v/>
      </c>
      <c r="H72" s="261" t="str">
        <v>Input</v>
      </c>
      <c r="I72" s="102" t="str">
        <f>X_Cell_ManureSentOffsite_ManureIrrigationMethod</f>
        <v>Sprinkler irrigation</v>
      </c>
      <c r="N72" s="102" t="str">
        <v>ir</v>
      </c>
      <c r="O72" s="103" t="str">
        <v>irrigation method</v>
      </c>
      <c r="P72" s="105"/>
      <c r="Q72" s="102" t="str">
        <v/>
      </c>
      <c r="R72" s="261" t="str">
        <v>Input</v>
      </c>
      <c r="S72" s="102"/>
    </row>
    <row r="73" spans="1:19" ht="20.100000000000001" customHeight="1" x14ac:dyDescent="0.25">
      <c r="A73"/>
    </row>
    <row r="74" spans="1:19" ht="20.100000000000001" customHeight="1" x14ac:dyDescent="0.25">
      <c r="A74"/>
      <c r="D74" s="125" t="s">
        <v>1184</v>
      </c>
      <c r="E74" s="113" cm="1">
        <f t="array" ref="E74">Fertiliser_Equations_LeachingAndRunoff.VEERG_5_5_1_1__3_MassOfNitrogenLeachedFromOrganicFertiliser(I67,I68,I69)</f>
        <v>240</v>
      </c>
      <c r="F74" s="120" t="str">
        <f>$E$65</f>
        <v>kg N</v>
      </c>
      <c r="N74" s="125" t="s">
        <v>1184</v>
      </c>
      <c r="O74" s="113" cm="1">
        <f t="array" ref="O74">Fertiliser_Equations_LeachingAndRunoff.VEERG_5_5_1_1__3_MassOfNitrogenLeachedFromOrganicFertiliser(S67,I68,I69)</f>
        <v>480</v>
      </c>
      <c r="P74" s="120"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0" t="s">
        <v>259</v>
      </c>
      <c r="E79" s="100" t="str" cm="1">
        <f t="array" aca="1" ref="E79" ca="1">Common_InputFunctions.Utility_DisplayFunctionName(E90)</f>
        <v>=Fertiliser_Equations_LeachingAndRunoff.VEERG_5_5_1_1__1_FertiliserLeachingAndRunoffN2OEmissions</v>
      </c>
      <c r="N79" s="100" t="s">
        <v>259</v>
      </c>
      <c r="O79" s="100"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261</v>
      </c>
      <c r="E82" s="1" t="str" cm="1">
        <f t="array" ref="E82">Fertiliser_Equations_LeachingAndRunoff.VEERG_5_5_1_1__1_FertiliserLeachingAndRunoffN2OEmissions_Variable()</f>
        <v>E_fertleach</v>
      </c>
      <c r="N82" s="88" t="s">
        <v>261</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2" t="str" cm="1">
        <f t="array" ref="D85:E88">_xlfn.CHOOSECOLS(Fertiliser_Equations_LeachingAndRunoff.VEERG_5_5_1_1__1_FertiliserLeachingAndRunoffN2OEmissions_Arguments(), 1, 2)</f>
        <v>M_leachinorganicj</v>
      </c>
      <c r="E85" s="103" t="str">
        <v>mass of nitrogen lost through leaching and runoff from inorganic fertiliser application in production system j</v>
      </c>
      <c r="F85" s="104"/>
      <c r="G85" s="105"/>
      <c r="H85" s="102" t="str" cm="1">
        <f t="array" ref="H85:I88">_xlfn.CHOOSECOLS(Fertiliser_Equations_LeachingAndRunoff.VEERG_5_5_1_1__1_FertiliserLeachingAndRunoffN2OEmissions_Arguments(), 3,4)</f>
        <v>kg N</v>
      </c>
      <c r="I85" s="107" t="str">
        <v>Calculated from 5.5.1.1 (2)</v>
      </c>
      <c r="J85" s="102">
        <v>0</v>
      </c>
      <c r="N85" s="102" t="str" cm="1">
        <f t="array" ref="N85:O88">_xlfn.CHOOSECOLS(Fertiliser_Equations_LeachingAndRunoff.VEERG_5_5_1_1__1_FertiliserLeachingAndRunoffN2OEmissions_Arguments(), 1, 2)</f>
        <v>M_leachinorganicj</v>
      </c>
      <c r="O85" s="103" t="str">
        <v>mass of nitrogen lost through leaching and runoff from inorganic fertiliser application in production system j</v>
      </c>
      <c r="P85" s="104"/>
      <c r="Q85" s="105"/>
      <c r="R85" s="102" t="str" cm="1">
        <f t="array" ref="R85:S88">_xlfn.CHOOSECOLS(Fertiliser_Equations_LeachingAndRunoff.VEERG_5_5_1_1__1_FertiliserLeachingAndRunoffN2OEmissions_Arguments(), 3,4)</f>
        <v>kg N</v>
      </c>
      <c r="S85" s="107" t="str">
        <v>Calculated from 5.5.1.1 (2)</v>
      </c>
      <c r="T85" s="102"/>
    </row>
    <row r="86" spans="1:20" x14ac:dyDescent="0.25">
      <c r="A86"/>
      <c r="D86" s="102" t="str">
        <v>M_leachorganicj</v>
      </c>
      <c r="E86" s="103" t="str">
        <v>mass of nitrogen lost through leaching and runoff from organic fertiliser application</v>
      </c>
      <c r="F86" s="104"/>
      <c r="G86" s="105"/>
      <c r="H86" s="102" t="str">
        <v>kg N</v>
      </c>
      <c r="I86" s="107" t="str">
        <v>Calculated from 5.5.1.1 (3)</v>
      </c>
      <c r="J86" s="102">
        <f>E74</f>
        <v>240</v>
      </c>
      <c r="N86" s="102" t="str">
        <v>M_leachorganicj</v>
      </c>
      <c r="O86" s="103" t="str">
        <v>mass of nitrogen lost through leaching and runoff from organic fertiliser application</v>
      </c>
      <c r="P86" s="104"/>
      <c r="Q86" s="105"/>
      <c r="R86" s="102" t="str">
        <v>kg N</v>
      </c>
      <c r="S86" s="107" t="str">
        <v>Calculated from 5.5.1.1 (3)</v>
      </c>
      <c r="T86" s="102">
        <f>O74</f>
        <v>480</v>
      </c>
    </row>
    <row r="87" spans="1:20" x14ac:dyDescent="0.25">
      <c r="A87"/>
      <c r="D87" s="102" t="str">
        <v>EF_leach</v>
      </c>
      <c r="E87" s="103" t="str">
        <v>emission factor for nitrogen leaching and runoff</v>
      </c>
      <c r="F87" s="104"/>
      <c r="G87" s="105"/>
      <c r="H87" s="102" t="str">
        <v>kg N2O-N/kg N</v>
      </c>
      <c r="I87" s="107" t="str">
        <v>Constant</v>
      </c>
      <c r="J87" s="102">
        <f>'Constants - Fertiliser'!$E$83</f>
        <v>1.0999999999999999E-2</v>
      </c>
      <c r="N87" s="102" t="str">
        <v>EF_leach</v>
      </c>
      <c r="O87" s="103" t="str">
        <v>emission factor for nitrogen leaching and runoff</v>
      </c>
      <c r="P87" s="104"/>
      <c r="Q87" s="105"/>
      <c r="R87" s="102" t="str">
        <v>kg N2O-N/kg N</v>
      </c>
      <c r="S87" s="107" t="str">
        <v>Constant</v>
      </c>
      <c r="T87" s="102"/>
    </row>
    <row r="88" spans="1:20" x14ac:dyDescent="0.25">
      <c r="A88"/>
      <c r="D88" s="102" t="str">
        <v>C_N2O</v>
      </c>
      <c r="E88" s="103" t="str">
        <v>factor to convert elemental mass of nitrous oxide to molecular mass</v>
      </c>
      <c r="F88" s="104"/>
      <c r="G88" s="105"/>
      <c r="H88" s="102" t="str">
        <v/>
      </c>
      <c r="I88" s="107" t="str">
        <v>Constant</v>
      </c>
      <c r="J88" s="117">
        <f>Common_InputFunctions.Utility_LookupValueInTableNumber("N2O",Table_GasToMolecularConversionFactor[Gas],Table_GasToMolecularConversionFactor[Conversion factor combined])</f>
        <v>1.5714285714285714</v>
      </c>
      <c r="N88" s="102" t="str">
        <v>C_N2O</v>
      </c>
      <c r="O88" s="103" t="str">
        <v>factor to convert elemental mass of nitrous oxide to molecular mass</v>
      </c>
      <c r="P88" s="104"/>
      <c r="Q88" s="105"/>
      <c r="R88" s="102" t="str">
        <v/>
      </c>
      <c r="S88" s="107" t="str">
        <v>Constant</v>
      </c>
      <c r="T88" s="117"/>
    </row>
    <row r="89" spans="1:20" x14ac:dyDescent="0.25">
      <c r="A89"/>
    </row>
    <row r="90" spans="1:20" ht="23.25" x14ac:dyDescent="0.25">
      <c r="A90"/>
      <c r="D90" s="114" t="s">
        <v>617</v>
      </c>
      <c r="E90" s="115" cm="1">
        <f t="array" ref="E90">Fertiliser_Equations_LeachingAndRunoff.VEERG_5_5_1_1__1_FertiliserLeachingAndRunoffN2OEmissions(J85,J86,J87,J88)</f>
        <v>4.1485714285714277E-3</v>
      </c>
      <c r="F90" s="116" t="str">
        <f>$E$83</f>
        <v>t N2O</v>
      </c>
      <c r="N90" s="114" t="s">
        <v>617</v>
      </c>
      <c r="O90" s="115" cm="1">
        <f t="array" ref="O90">Fertiliser_Equations_LeachingAndRunoff.VEERG_5_5_1_1__1_FertiliserLeachingAndRunoffN2OEmissions(J85,T86,J87,J88)</f>
        <v>8.2971428571428554E-3</v>
      </c>
      <c r="P90" s="116"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D7EB87-D405-4FCF-BE53-B160F3869645}">
  <dimension ref="A1:V483"/>
  <sheetViews>
    <sheetView showGridLines="0" topLeftCell="J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302</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303</v>
      </c>
      <c r="G5" s="2" t="s">
        <v>304</v>
      </c>
      <c r="M5" s="1" t="s">
        <v>305</v>
      </c>
      <c r="O5" s="1" t="s">
        <v>306</v>
      </c>
      <c r="Q5" s="1" t="s">
        <v>307</v>
      </c>
      <c r="S5" s="1" t="s">
        <v>308</v>
      </c>
    </row>
    <row r="6" spans="1:21" ht="20.100000000000001" customHeight="1" x14ac:dyDescent="0.25">
      <c r="M6" s="1"/>
    </row>
    <row r="7" spans="1:21" ht="20.100000000000001" customHeight="1" x14ac:dyDescent="0.25">
      <c r="D7" s="30" t="s">
        <v>188</v>
      </c>
      <c r="G7" s="30" t="s">
        <v>73</v>
      </c>
      <c r="M7" t="s">
        <v>309</v>
      </c>
      <c r="O7" s="30" t="s">
        <v>309</v>
      </c>
      <c r="Q7" s="30" t="s">
        <v>309</v>
      </c>
      <c r="S7" s="30" t="s">
        <v>309</v>
      </c>
    </row>
    <row r="8" spans="1:21" ht="20.100000000000001" customHeight="1" x14ac:dyDescent="0.25">
      <c r="A8" s="7" t="s">
        <v>0</v>
      </c>
      <c r="D8" s="30" t="str">
        <f>'Constants - Common'!$F$187</f>
        <v>Pasture</v>
      </c>
      <c r="G8" s="30" t="s">
        <v>310</v>
      </c>
      <c r="M8" s="30" t="s">
        <v>205</v>
      </c>
      <c r="O8" s="30" t="s">
        <v>311</v>
      </c>
      <c r="Q8" s="30" t="s">
        <v>312</v>
      </c>
      <c r="S8" s="30" t="s">
        <v>313</v>
      </c>
    </row>
    <row r="9" spans="1:21" ht="20.100000000000001" customHeight="1" x14ac:dyDescent="0.25">
      <c r="A9" s="5" t="str">
        <f>HYPERLINK("#'Input - Enterprise'!A1", "Enterprise")</f>
        <v>Enterprise</v>
      </c>
      <c r="D9" s="1" t="str">
        <f>'Constants - Common'!$F$188</f>
        <v>Crop</v>
      </c>
      <c r="G9" s="30" t="s">
        <v>314</v>
      </c>
      <c r="M9" s="30" t="s">
        <v>315</v>
      </c>
      <c r="O9" s="30" t="s">
        <v>316</v>
      </c>
      <c r="Q9" s="30" t="s">
        <v>317</v>
      </c>
    </row>
    <row r="10" spans="1:21" ht="20.100000000000001" customHeight="1" x14ac:dyDescent="0.25">
      <c r="A10" s="5" t="str">
        <f>HYPERLINK("#'Input - Site'!A1", "Site")</f>
        <v>Site</v>
      </c>
      <c r="G10" s="1" t="s">
        <v>257</v>
      </c>
      <c r="M10" s="30" t="s">
        <v>318</v>
      </c>
      <c r="O10" s="30" t="s">
        <v>319</v>
      </c>
      <c r="Q10" s="30" t="s">
        <v>320</v>
      </c>
      <c r="S10" s="1" t="s">
        <v>321</v>
      </c>
    </row>
    <row r="11" spans="1:21" ht="20.100000000000001" customHeight="1" x14ac:dyDescent="0.25">
      <c r="A11" s="5" t="str">
        <f>HYPERLINK("#'Input - Pasture Beef'!A1", "Pasture Beef")</f>
        <v>Pasture Beef</v>
      </c>
      <c r="G11" s="1" t="s">
        <v>322</v>
      </c>
      <c r="M11" s="1"/>
      <c r="Q11" s="30" t="s">
        <v>323</v>
      </c>
    </row>
    <row r="12" spans="1:21" ht="20.100000000000001" customHeight="1" x14ac:dyDescent="0.25">
      <c r="A12" s="5" t="str">
        <f>HYPERLINK("#'Input - Pasture Beef (Enteric)'!A1", "Pasture Beef (Enteric)")</f>
        <v>Pasture Beef (Enteric)</v>
      </c>
      <c r="G12" s="1" t="s">
        <v>324</v>
      </c>
      <c r="M12" s="1"/>
      <c r="S12" s="30" t="s">
        <v>309</v>
      </c>
    </row>
    <row r="13" spans="1:21" ht="20.100000000000001" customHeight="1" x14ac:dyDescent="0.25">
      <c r="A13" s="5" t="str">
        <f>HYPERLINK("#'Input - Livestock sales'!A1", "Livestock sales")</f>
        <v>Livestock sales</v>
      </c>
      <c r="M13" s="1"/>
      <c r="S13" s="30" t="s">
        <v>313</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325</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326</v>
      </c>
      <c r="S17" s="30" t="s">
        <v>309</v>
      </c>
    </row>
    <row r="18" spans="1:19" ht="20.100000000000001" customHeight="1" x14ac:dyDescent="0.25">
      <c r="A18" s="5" t="str">
        <f>HYPERLINK("#'Input - Fuel'!A1", "Fuel")</f>
        <v>Fuel</v>
      </c>
      <c r="D18" s="30" t="s">
        <v>108</v>
      </c>
      <c r="E18" s="30" t="s">
        <v>309</v>
      </c>
      <c r="F18" s="30" t="s">
        <v>77</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HYPERLINK("#'Input - Farm Inputs'!A1", "Farm Inputs")</f>
        <v>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A21" s="5" t="str">
        <f>HYPERLINK("#'Input - Freight'!A1", "Freight")</f>
        <v>Freight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HYPERLINK("#'Input - Manure sent off-site'!A1", "Manure sent off-site")</f>
        <v>Manure sent off-site</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6" t="s">
        <v>2</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HYPERLINK("#'3.2.1.1-2 Enteric Methane'!A1", "3.2.1.1-2 Enteric methane")</f>
        <v>3.2.1.1-2 Enteric methane</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HYPERLINK("#'4.2.1.1-2 Methane'!A1", "4.2.1.1-2 Manure methane")</f>
        <v>4.2.1.1-2 Manure methane</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HYPERLINK("#'4.2.1.3-4 Soil direct N20'!A1", "4.2.1.3-4 Soil direct N2O")</f>
        <v>4.2.1.3-4 Soil direct N2O</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HYPERLINK("#'4.2.1.5-6 Soil Atmos Dep'!A1", "4.2.1.5-6 Soil atm. deposition")</f>
        <v>4.2.1.5-6 Soil atm. deposition</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HYPERLINK("#'4.2.1.7-8 Soil leach runoff'!A1", "4.2.1.7-8 Soil leach &amp; runoff")</f>
        <v>4.2.1.7-8 Soil leach &amp; runoff</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HYPERLINK("#'5.1.1.1-2 Inorganic fert N2O'!A1", "5.1.1.1-2 Inorganic fert N2O")</f>
        <v>5.1.1.1-2 Inorganic fert N2O</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HYPERLINK("#'5.1.1.3-4 Inorganic fert CO2'!A1", "5.1.1.3-4 Inorganic fert CO2")</f>
        <v>5.1.1.3-4 Inorganic fert CO2</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HYPERLINK("#'5.2.1.1-2 Organic Fert N2O'!A1", "5.2.1.1-2 Organic fert N2O")</f>
        <v>5.2.1.1-2 Organic fert N2O</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A35" s="5" t="str">
        <f>HYPERLINK("#'5.3.1.1-2 Lime CO2'!A1", "5.3.1.1-2 Lime CO2")</f>
        <v>5.3.1.1-2 Lime CO2</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A36" s="5" t="str">
        <f>HYPERLINK("#'5.4.1.1-4 Atmos deposition'!A1", "5.4.1.1-4 Atmos. deposition")</f>
        <v>5.4.1.1-4 Atmos. deposition</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5" t="str">
        <f>HYPERLINK("#'5.5.1.1-2 Leaching and runoff'!A1", "5.5.1.1-2 Leaching &amp; runoff")</f>
        <v>5.5.1.1-2 Leaching &amp; runoff</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5" t="str">
        <f>HYPERLINK("#'6.2.1.1-2 Pasture residue N2O'!A1", "6.2.1.1-2 Pasture residue N2O")</f>
        <v>6.2.1.1-2 Pasture residue N2O</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HYPERLINK("#'6.3.1.1-2 Leach runoff pasture'!A1", "6.3.1.1-2 Leach &amp; runoff (pasture)")</f>
        <v>6.3.1.1-2 Leach &amp; runoff (pasture)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HYPERLINK("#'8.1.1.1-2 Transport fuel'!A1", "8.1.1.1-2 Transport fuel")</f>
        <v>8.1.1.1-2 Transport fuel</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347</v>
      </c>
      <c r="P40" s="30" t="s">
        <v>345</v>
      </c>
    </row>
    <row r="41" spans="1:16" ht="20.100000000000001" customHeight="1" x14ac:dyDescent="0.25">
      <c r="A41" s="5" t="str">
        <f>HYPERLINK("#'8.2.1.1-2 Stationary fuel'!A1", "8.2.1.1-2 Stationary fuel")</f>
        <v>8.2.1.1-2 Stationary fuel</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348</v>
      </c>
      <c r="P41" s="30" t="s">
        <v>349</v>
      </c>
    </row>
    <row r="42" spans="1:16" ht="20.100000000000001" customHeight="1" x14ac:dyDescent="0.25">
      <c r="A42" s="5" t="str">
        <f>HYPERLINK("#'14.1.1-2 Purchased electricity'!A1", "14.1.1-2 Purchased electricity")</f>
        <v>14.1.1-2 Purchased electricity</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350</v>
      </c>
      <c r="P42" s="30" t="s">
        <v>349</v>
      </c>
    </row>
    <row r="43" spans="1:16" ht="20.100000000000001" customHeight="1" x14ac:dyDescent="0.25">
      <c r="A43" s="5" t="str">
        <f>HYPERLINK("#'15 Scope 3'!A1", "15 Scope 3")</f>
        <v>15 Scope 3</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351</v>
      </c>
      <c r="P43" s="30" t="s">
        <v>349</v>
      </c>
    </row>
    <row r="44" spans="1:16" ht="20.100000000000001" customHeight="1" x14ac:dyDescent="0.25">
      <c r="A44" s="5" t="str">
        <f>HYPERLINK("#'Calcs - Manure sent off-site'!A1", "Calcs - Manure sent off-site")</f>
        <v>Calcs - Manure sent off-site</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352</v>
      </c>
      <c r="P44" s="30" t="s">
        <v>353</v>
      </c>
    </row>
    <row r="45" spans="1:16" ht="20.100000000000001" customHeight="1" x14ac:dyDescent="0.25">
      <c r="A45" s="5" t="str">
        <f>HYPERLINK("#'10.1.1-2 Solid waste treatment'!A1", "10.1.1-2 Solid waste treatment")</f>
        <v>10.1.1-2 Solid waste treatment</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354</v>
      </c>
      <c r="P45" s="30" t="s">
        <v>353</v>
      </c>
    </row>
    <row r="46" spans="1: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355</v>
      </c>
      <c r="P46" s="30" t="s">
        <v>353</v>
      </c>
    </row>
    <row r="47" spans="1:16" ht="20.100000000000001" customHeight="1" x14ac:dyDescent="0.25">
      <c r="M47" s="1"/>
      <c r="O47" s="30" t="s">
        <v>356</v>
      </c>
      <c r="P47" s="30" t="s">
        <v>353</v>
      </c>
    </row>
    <row r="48" spans="1:16" ht="20.100000000000001" customHeight="1" x14ac:dyDescent="0.25">
      <c r="A48" s="96" t="s">
        <v>1</v>
      </c>
      <c r="M48" s="1"/>
      <c r="O48" s="1" t="s">
        <v>357</v>
      </c>
      <c r="P48" s="1" t="s">
        <v>357</v>
      </c>
    </row>
    <row r="49" spans="1:16" ht="20.100000000000001" customHeight="1" x14ac:dyDescent="0.25">
      <c r="A49" s="121" t="str">
        <f>HYPERLINK("#'Constants - Pasture Beef'!A1", "Constants - Pasture Beef")</f>
        <v>Constants - Pasture Beef</v>
      </c>
      <c r="D49" s="2" t="str" cm="1">
        <f t="array" ref="D49">SourceData_PastureBeef.SourceData_PastureBeef_LiveweightNTQLD_Title()</f>
        <v>Beef pasture cattle - Liveweight (kg) (Wjkl) for NT and QLD</v>
      </c>
      <c r="M49" s="1"/>
    </row>
    <row r="50" spans="1:16" ht="20.100000000000001" customHeight="1" x14ac:dyDescent="0.25">
      <c r="A50" s="5" t="str">
        <f>HYPERLINK("#'Constants - Ag Residue'!A1", "Constants - Ag residue")</f>
        <v>Constants - Ag residue</v>
      </c>
      <c r="D50" s="27" t="str" cm="1">
        <f t="array" ref="D50">SourceData_PastureBeef.SourceData_PastureBeef_LiveweightNTQLD_Source()</f>
        <v>VEERG 2026: Table A.1.2.2</v>
      </c>
      <c r="M50" s="1"/>
    </row>
    <row r="51" spans="1:16" ht="20.100000000000001" customHeight="1" x14ac:dyDescent="0.25">
      <c r="A51" s="5" t="str">
        <f>HYPERLINK("#'Constants - Common Livestock'!A1", "Constants - Common Livestock")</f>
        <v>Constants - Common Livestock</v>
      </c>
      <c r="D51" s="1" t="str" cm="1">
        <f t="array" ref="D51">SourceData_PastureBeef.SourceData_PastureBeef_LiveweightNTQLD_Variable()</f>
        <v>Wjkl</v>
      </c>
      <c r="M51" s="1"/>
    </row>
    <row r="52" spans="1:16" ht="20.100000000000001" customHeight="1" x14ac:dyDescent="0.25">
      <c r="A52" s="5" t="str">
        <f>HYPERLINK("#'Constants - Electricity'!A1", "Constants - Electricity")</f>
        <v>Constants - Electricity</v>
      </c>
      <c r="D52" s="15" t="str" cm="1">
        <f t="array" ref="D52">SourceData_PastureBeef.SourceData_PastureBeef_LiveweightNTQLD_Unit()</f>
        <v>kg</v>
      </c>
      <c r="M52" s="1"/>
    </row>
    <row r="53" spans="1:16" ht="20.100000000000001" customHeight="1" x14ac:dyDescent="0.25">
      <c r="A53" s="5" t="str">
        <f>HYPERLINK("#'Constants - Fertiliser'!A1", "Constants - Fertiliser")</f>
        <v>Constants - Fertiliser</v>
      </c>
      <c r="D53" s="30" t="s">
        <v>108</v>
      </c>
      <c r="E53" s="30" t="s">
        <v>309</v>
      </c>
      <c r="F53" s="30" t="s">
        <v>77</v>
      </c>
      <c r="G53" s="30" t="s">
        <v>358</v>
      </c>
      <c r="H53" s="30" t="s">
        <v>359</v>
      </c>
      <c r="I53" s="30" t="s">
        <v>360</v>
      </c>
      <c r="J53" s="30" t="s">
        <v>361</v>
      </c>
      <c r="K53" s="30" t="s">
        <v>362</v>
      </c>
      <c r="L53" s="30" t="s">
        <v>363</v>
      </c>
      <c r="M53" s="30" t="s">
        <v>364</v>
      </c>
      <c r="N53" s="30" t="s">
        <v>365</v>
      </c>
      <c r="O53" s="30" t="s">
        <v>366</v>
      </c>
      <c r="P53" s="30" t="s">
        <v>367</v>
      </c>
    </row>
    <row r="54" spans="1:16" ht="20.100000000000001" customHeight="1" x14ac:dyDescent="0.25">
      <c r="A54" s="5" t="str">
        <f>HYPERLINK("#'Constants - Fuel'!A1", "Constants - Fuel")</f>
        <v>Constants - Fuel</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Scope 3'!A1", "Constants - Scope 3")</f>
        <v>Constants - Scope 3</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Common'!A1", "Constants - Common")</f>
        <v>Constants - Common</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HYPERLINK("#'Acknowledgements'!A1", "Acknowledgements")</f>
        <v>Acknowledgements</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368</v>
      </c>
      <c r="M84" s="1"/>
    </row>
    <row r="85" spans="4:22" ht="20.100000000000001" customHeight="1" x14ac:dyDescent="0.25">
      <c r="D85" s="30" t="s">
        <v>108</v>
      </c>
      <c r="E85" s="30" t="s">
        <v>309</v>
      </c>
      <c r="F85" s="30" t="s">
        <v>77</v>
      </c>
      <c r="G85" s="122" t="s">
        <v>211</v>
      </c>
      <c r="H85" s="122" t="s">
        <v>201</v>
      </c>
      <c r="I85" s="122" t="s">
        <v>212</v>
      </c>
      <c r="J85" s="122" t="s">
        <v>213</v>
      </c>
      <c r="K85" s="122" t="s">
        <v>214</v>
      </c>
      <c r="L85" s="122" t="s">
        <v>215</v>
      </c>
      <c r="M85" s="122" t="s">
        <v>216</v>
      </c>
      <c r="N85" s="122" t="s">
        <v>217</v>
      </c>
      <c r="O85" s="122" t="s">
        <v>218</v>
      </c>
      <c r="P85" s="122" t="s">
        <v>219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221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222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223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221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222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223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221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222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223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221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222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223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221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222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223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349</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349</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349</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349</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349</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349</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349</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349</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349</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349</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349</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349</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353</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353</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353</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353</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353</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353</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353</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353</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353</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353</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353</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353</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353</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353</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353</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353</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357</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357</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357</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357</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309</v>
      </c>
      <c r="F154" s="30" t="s">
        <v>77</v>
      </c>
      <c r="G154" s="30" t="s">
        <v>358</v>
      </c>
      <c r="H154" s="30" t="s">
        <v>359</v>
      </c>
      <c r="I154" s="30" t="s">
        <v>369</v>
      </c>
      <c r="J154" s="30" t="s">
        <v>330</v>
      </c>
      <c r="K154" s="30" t="s">
        <v>370</v>
      </c>
      <c r="L154" s="30" t="s">
        <v>364</v>
      </c>
      <c r="M154" s="30" t="s">
        <v>371</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309</v>
      </c>
      <c r="F189" s="30" t="s">
        <v>77</v>
      </c>
      <c r="G189" s="30" t="s">
        <v>358</v>
      </c>
      <c r="H189" s="30" t="s">
        <v>359</v>
      </c>
      <c r="I189" s="30" t="s">
        <v>369</v>
      </c>
      <c r="J189" s="30" t="s">
        <v>330</v>
      </c>
      <c r="K189" s="30" t="s">
        <v>372</v>
      </c>
      <c r="L189" s="30" t="s">
        <v>373</v>
      </c>
      <c r="M189" s="30" t="s">
        <v>364</v>
      </c>
      <c r="N189" s="30" t="s">
        <v>365</v>
      </c>
      <c r="O189" s="30" t="s">
        <v>366</v>
      </c>
      <c r="P189" s="30" t="s">
        <v>367</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368</v>
      </c>
      <c r="M220" s="1"/>
    </row>
    <row r="221" spans="4:16" x14ac:dyDescent="0.25">
      <c r="M221" s="1"/>
    </row>
    <row r="222" spans="4:16" x14ac:dyDescent="0.25">
      <c r="D222" s="30" t="s">
        <v>108</v>
      </c>
      <c r="E222" s="30" t="s">
        <v>309</v>
      </c>
      <c r="F222" s="30" t="s">
        <v>77</v>
      </c>
      <c r="G222" s="122" t="s">
        <v>211</v>
      </c>
      <c r="H222" s="122" t="s">
        <v>201</v>
      </c>
      <c r="I222" s="122" t="s">
        <v>212</v>
      </c>
      <c r="J222" s="122" t="s">
        <v>213</v>
      </c>
      <c r="K222" s="122" t="s">
        <v>214</v>
      </c>
      <c r="L222" s="122" t="s">
        <v>215</v>
      </c>
      <c r="M222" s="122" t="s">
        <v>216</v>
      </c>
      <c r="N222" s="122" t="s">
        <v>217</v>
      </c>
      <c r="O222" s="122" t="s">
        <v>218</v>
      </c>
      <c r="P222" s="122" t="s">
        <v>219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349</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349</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349</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349</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349</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349</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349</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349</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349</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349</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349</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349</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353</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353</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353</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353</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353</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353</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353</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353</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353</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353</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353</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353</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353</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353</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353</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353</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309</v>
      </c>
      <c r="F290" s="30" t="s">
        <v>220</v>
      </c>
      <c r="G290" s="30" t="s">
        <v>221</v>
      </c>
      <c r="H290" s="30" t="s">
        <v>222</v>
      </c>
      <c r="I290" s="30" t="s">
        <v>223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309</v>
      </c>
      <c r="F313" s="30" t="s">
        <v>220</v>
      </c>
      <c r="G313" s="30" t="s">
        <v>221</v>
      </c>
      <c r="H313" s="30" t="s">
        <v>222</v>
      </c>
      <c r="I313" s="30" t="s">
        <v>223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374</v>
      </c>
      <c r="M333" s="1"/>
    </row>
    <row r="334" spans="4:13" x14ac:dyDescent="0.25">
      <c r="D334" s="30" t="s">
        <v>375</v>
      </c>
      <c r="E334" s="30" t="s">
        <v>77</v>
      </c>
      <c r="F334" s="30" t="s">
        <v>376</v>
      </c>
      <c r="G334" s="30" t="s">
        <v>377</v>
      </c>
      <c r="I334" s="30" t="s">
        <v>375</v>
      </c>
      <c r="J334" s="30" t="s">
        <v>77</v>
      </c>
      <c r="K334" s="30" t="s">
        <v>376</v>
      </c>
      <c r="L334" s="30" t="s">
        <v>377</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233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378</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233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378</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379</v>
      </c>
      <c r="F350" s="30" t="s">
        <v>380</v>
      </c>
      <c r="G350" s="30" t="s">
        <v>360</v>
      </c>
      <c r="H350" s="30" t="s">
        <v>361</v>
      </c>
      <c r="I350" s="30" t="s">
        <v>381</v>
      </c>
      <c r="J350" s="30" t="s">
        <v>364</v>
      </c>
      <c r="K350" s="30" t="s">
        <v>371</v>
      </c>
      <c r="L350" s="30" t="s">
        <v>382</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2" t="s">
        <v>211</v>
      </c>
      <c r="F361" s="122" t="s">
        <v>201</v>
      </c>
      <c r="G361" s="122" t="s">
        <v>212</v>
      </c>
      <c r="H361" s="122" t="s">
        <v>213</v>
      </c>
      <c r="I361" s="122" t="s">
        <v>214</v>
      </c>
      <c r="J361" s="122" t="s">
        <v>215</v>
      </c>
      <c r="K361" s="122" t="s">
        <v>216</v>
      </c>
      <c r="L361" s="122" t="s">
        <v>217</v>
      </c>
      <c r="M361" s="122" t="s">
        <v>218</v>
      </c>
      <c r="N361" s="122" t="s">
        <v>219</v>
      </c>
      <c r="O361" s="30" t="s">
        <v>382</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3" t="s">
        <v>383</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309</v>
      </c>
      <c r="F377" s="30" t="s">
        <v>92</v>
      </c>
      <c r="G377" s="30" t="s">
        <v>384</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309</v>
      </c>
      <c r="F400" s="30" t="s">
        <v>92</v>
      </c>
      <c r="G400" s="30" t="s">
        <v>384</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385</v>
      </c>
      <c r="E442" s="30" t="s">
        <v>152</v>
      </c>
      <c r="F442" s="30" t="s">
        <v>386</v>
      </c>
      <c r="G442" s="30" t="s">
        <v>387</v>
      </c>
      <c r="H442" s="30" t="s">
        <v>388</v>
      </c>
      <c r="I442" s="30" t="s">
        <v>389</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D0E93-51A9-4C0A-9C93-F97CEAC23873}">
  <dimension ref="A1:AI235"/>
  <sheetViews>
    <sheetView showGridLines="0" topLeftCell="B1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3" t="s">
        <v>898</v>
      </c>
      <c r="E7" s="243" t="s">
        <v>899</v>
      </c>
      <c r="F7" s="243" t="s">
        <v>900</v>
      </c>
      <c r="G7" s="243" t="s">
        <v>901</v>
      </c>
      <c r="H7" s="243" t="s">
        <v>902</v>
      </c>
      <c r="I7" s="243" t="s">
        <v>903</v>
      </c>
      <c r="J7" s="243" t="s">
        <v>904</v>
      </c>
      <c r="K7" s="243" t="s">
        <v>905</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906</v>
      </c>
      <c r="F19" t="s">
        <v>907</v>
      </c>
      <c r="G19" t="s">
        <v>908</v>
      </c>
      <c r="H19" t="s">
        <v>909</v>
      </c>
      <c r="I19" t="s">
        <v>910</v>
      </c>
      <c r="J19" t="s">
        <v>911</v>
      </c>
      <c r="K19" t="s">
        <v>912</v>
      </c>
      <c r="L19" t="s">
        <v>913</v>
      </c>
      <c r="N19" s="2" t="s">
        <v>304</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257</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HYPERLINK("#'3.2.1.1-2 Enteric Methane'!A1", "3.2.1.1-2 Enteric methane")</f>
        <v>3.2.1.1-2 Enteric methane</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HYPERLINK("#'4.2.1.1-2 Methane'!A1", "4.2.1.1-2 Manure methane")</f>
        <v>4.2.1.1-2 Manure methane</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HYPERLINK("#'4.2.1.3-4 Soil direct N20'!A1", "4.2.1.3-4 Soil direct N2O")</f>
        <v>4.2.1.3-4 Soil direct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HYPERLINK("#'4.2.1.5-6 Soil Atmos Dep'!A1", "4.2.1.5-6 Soil atm. deposition")</f>
        <v>4.2.1.5-6 Soil atm. deposition</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HYPERLINK("#'4.2.1.7-8 Soil leach runoff'!A1", "4.2.1.7-8 Soil leach &amp; runoff")</f>
        <v>4.2.1.7-8 Soil leach &amp; runoff</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HYPERLINK("#'5.1.1.1-2 Inorganic fert N2O'!A1", "5.1.1.1-2 Inorganic fert N2O")</f>
        <v>5.1.1.1-2 Inorganic fert N2O</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HYPERLINK("#'5.1.1.3-4 Inorganic fert CO2'!A1", "5.1.1.3-4 Inorganic fert CO2")</f>
        <v>5.1.1.3-4 Inorganic fert CO2</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HYPERLINK("#'5.2.1.1-2 Organic Fert N2O'!A1", "5.2.1.1-2 Organic fert N2O")</f>
        <v>5.2.1.1-2 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HYPERLINK("#'5.3.1.1-2 Lime CO2'!A1", "5.3.1.1-2 Lime CO2")</f>
        <v>5.3.1.1-2 Lime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HYPERLINK("#'5.4.1.1-4 Atmos deposition'!A1", "5.4.1.1-4 Atmos. deposition")</f>
        <v>5.4.1.1-4 Atmos. deposition</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HYPERLINK("#'5.5.1.1-2 Leaching and runoff'!A1", "5.5.1.1-2 Leaching &amp; runoff")</f>
        <v>5.5.1.1-2 Leaching &amp; runoff</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HYPERLINK("#'6.2.1.1-2 Pasture residue N2O'!A1", "6.2.1.1-2 Pasture residue N2O")</f>
        <v>6.2.1.1-2 Pasture residue N2O</v>
      </c>
      <c r="D38" s="8"/>
      <c r="E38" s="8"/>
      <c r="F38" s="8"/>
      <c r="G38" s="8"/>
      <c r="H38" s="8"/>
      <c r="I38" s="8"/>
      <c r="J38" s="8"/>
      <c r="K38" s="8"/>
      <c r="L38" s="8"/>
    </row>
    <row r="39" spans="1:13" ht="20.100000000000001" customHeight="1" x14ac:dyDescent="0.25">
      <c r="A39" s="5" t="str">
        <f>HYPERLINK("#'6.3.1.1-2 Leach runoff pasture'!A1", "6.3.1.1-2 Leach &amp; runoff (pasture)")</f>
        <v>6.3.1.1-2 Leach &amp; runoff (pasture)</v>
      </c>
      <c r="D39" s="8"/>
      <c r="E39" s="8"/>
      <c r="F39" s="8"/>
      <c r="G39" s="8"/>
      <c r="H39" s="8"/>
      <c r="I39" s="8"/>
      <c r="J39" s="8"/>
      <c r="K39" s="8"/>
      <c r="L39" s="8"/>
    </row>
    <row r="40" spans="1:13" ht="20.100000000000001" customHeight="1" x14ac:dyDescent="0.25">
      <c r="A40" s="5" t="str">
        <f>HYPERLINK("#'8.1.1.1-2 Transport fuel'!A1", "8.1.1.1-2 Transport fuel")</f>
        <v>8.1.1.1-2 Transport fuel</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HYPERLINK("#'8.2.1.1-2 Stationary fuel'!A1", "8.2.1.1-2 Stationary fuel")</f>
        <v>8.2.1.1-2 Stationary fuel</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HYPERLINK("#'14.1.1-2 Purchased electricity'!A1", "14.1.1-2 Purchased electricity")</f>
        <v>14.1.1-2 Purchased electricity</v>
      </c>
      <c r="D42" s="27"/>
      <c r="E42" s="35"/>
      <c r="F42" s="35"/>
      <c r="H42" s="8"/>
      <c r="I42" s="8"/>
      <c r="M42" s="35"/>
    </row>
    <row r="43" spans="1:13" ht="20.100000000000001" customHeight="1" x14ac:dyDescent="0.25">
      <c r="A43" s="5" t="str">
        <f>HYPERLINK("#'15 Scope 3'!A1", "15 Scope 3")</f>
        <v>15 Scope 3</v>
      </c>
      <c r="D43" s="182" t="s">
        <v>914</v>
      </c>
      <c r="E43" s="182" t="s">
        <v>915</v>
      </c>
      <c r="F43" s="35"/>
      <c r="H43" s="8"/>
      <c r="I43" s="8"/>
      <c r="M43" s="35"/>
    </row>
    <row r="44" spans="1:13" ht="20.100000000000001" customHeight="1" x14ac:dyDescent="0.25">
      <c r="A44" s="5" t="str">
        <f>HYPERLINK("#'Calcs - Manure sent off-site'!A1", "Calcs - Manure sent off-site")</f>
        <v>Calcs - Manure sent off-site</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HYPERLINK("#'10.1.1-2 Solid waste treatment'!A1", "10.1.1-2 Solid waste treatment")</f>
        <v>10.1.1-2 Solid waste treatment</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H46" s="8"/>
      <c r="I46" s="8"/>
      <c r="M46" s="35"/>
    </row>
    <row r="47" spans="1:13" ht="20.100000000000001" customHeight="1" x14ac:dyDescent="0.25">
      <c r="M47" s="35"/>
    </row>
    <row r="48" spans="1:13" ht="20.100000000000001" customHeight="1" x14ac:dyDescent="0.25">
      <c r="A48" s="96" t="s">
        <v>1</v>
      </c>
      <c r="D48" s="2" t="str" cm="1">
        <f t="array" ref="D48">Agresidue_SourceData.PastureAttributes_Title()</f>
        <v>Table A.2.1.3 Pasture attributes</v>
      </c>
      <c r="K48" s="8"/>
      <c r="L48" s="8"/>
    </row>
    <row r="49" spans="1:12" ht="20.100000000000001" customHeight="1" x14ac:dyDescent="0.25">
      <c r="A49" s="5" t="str">
        <f>HYPERLINK("#'Constants - Pasture Beef'!A1", "Constants - Pasture Beef")</f>
        <v>Constants - Pasture Beef</v>
      </c>
      <c r="D49" s="27" t="str" cm="1">
        <f t="array" ref="D49">Agresidue_SourceData.PastureAttributes_Source()</f>
        <v>VEERG 2026: Table A.2.1.3: Pasture attributes</v>
      </c>
      <c r="K49" s="8"/>
      <c r="L49" s="8"/>
    </row>
    <row r="50" spans="1:12" ht="20.100000000000001" customHeight="1" x14ac:dyDescent="0.25">
      <c r="A50" s="121" t="str">
        <f>HYPERLINK("#'Constants - Ag Residue'!A1", "Constants - Ag residue")</f>
        <v>Constants - Ag residue</v>
      </c>
      <c r="K50" s="8"/>
      <c r="L50" s="8"/>
    </row>
    <row r="51" spans="1:12" ht="20.100000000000001" customHeight="1" x14ac:dyDescent="0.25">
      <c r="A51" s="5" t="str">
        <f>HYPERLINK("#'Constants - Common Livestock'!A1", "Constants - Common Livestock")</f>
        <v>Constants - Common Livestock</v>
      </c>
      <c r="D51" s="30" t="s">
        <v>867</v>
      </c>
      <c r="E51" s="30" t="s">
        <v>916</v>
      </c>
      <c r="F51" s="30" t="s">
        <v>917</v>
      </c>
      <c r="G51" s="30" t="s">
        <v>918</v>
      </c>
      <c r="H51" s="30" t="s">
        <v>919</v>
      </c>
      <c r="I51" s="30" t="s">
        <v>920</v>
      </c>
      <c r="K51" s="8"/>
      <c r="L51" s="8"/>
    </row>
    <row r="52" spans="1:12" ht="20.100000000000001" customHeight="1" x14ac:dyDescent="0.25">
      <c r="A52" s="5" t="str">
        <f>HYPERLINK("#'Constants - Electricity'!A1", "Constants - Electricity")</f>
        <v>Constants - Electricity</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Fertiliser'!A1", "Constants - Fertiliser")</f>
        <v>Constants - Fertiliser</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Fuel'!A1", "Constants - Fuel")</f>
        <v>Constants - Fuel</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Scope 3'!A1", "Constants - Scope 3")</f>
        <v>Constants - Scope 3</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Common'!A1", "Constants - Common")</f>
        <v>Constants - Common</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HYPERLINK("#'Acknowledgements'!A1", "Acknowledgements")</f>
        <v>Acknowledgements</v>
      </c>
      <c r="H57" s="8"/>
    </row>
    <row r="58" spans="1:12" ht="20.100000000000001" customHeight="1" x14ac:dyDescent="0.25">
      <c r="A58" s="5" t="str">
        <f>HYPERLINK("#'Constants - Solid Waste'!A1", "Constants - Solid Waste")</f>
        <v>Constants - Solid Waste</v>
      </c>
    </row>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921</v>
      </c>
      <c r="E62" s="30" t="s">
        <v>922</v>
      </c>
      <c r="F62" s="30" t="s">
        <v>923</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924</v>
      </c>
      <c r="E73" t="s">
        <v>108</v>
      </c>
      <c r="F73" t="s">
        <v>925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924</v>
      </c>
      <c r="E92" t="s">
        <v>108</v>
      </c>
      <c r="F92" t="s">
        <v>925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C20B-99AF-4805-9B70-84613D09D1B5}">
  <dimension ref="A1:M65"/>
  <sheetViews>
    <sheetView showGridLines="0" topLeftCell="A1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1191</v>
      </c>
      <c r="E9" s="30" t="s">
        <v>254</v>
      </c>
      <c r="F9" s="30" t="s">
        <v>1192</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HYPERLINK("#'3.2.1.1-2 Enteric Methane'!A1", "3.2.1.1-2 Enteric methane")</f>
        <v>3.2.1.1-2 Enteric methane</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HYPERLINK("#'4.2.1.1-2 Methane'!A1", "4.2.1.1-2 Manure methane")</f>
        <v>4.2.1.1-2 Manure methane</v>
      </c>
      <c r="G28" s="35"/>
      <c r="H28" s="35"/>
    </row>
    <row r="29" spans="1:8" ht="20.100000000000001" customHeight="1" x14ac:dyDescent="0.25">
      <c r="A29" s="5" t="str">
        <f>HYPERLINK("#'4.2.1.3-4 Soil direct N20'!A1", "4.2.1.3-4 Soil direct N2O")</f>
        <v>4.2.1.3-4 Soil direct N2O</v>
      </c>
      <c r="D29" s="2" t="str" cm="1">
        <f t="array" ref="D29">CommonLivestock_SourceData.SourceData_Livestock_Product_BeefCattle_Title()</f>
        <v>Beef cattle products for scope 3</v>
      </c>
    </row>
    <row r="30" spans="1:8" ht="20.100000000000001" customHeight="1" x14ac:dyDescent="0.25">
      <c r="A30" s="5" t="str">
        <f>HYPERLINK("#'4.2.1.5-6 Soil Atmos Dep'!A1", "4.2.1.5-6 Soil atm. deposition")</f>
        <v>4.2.1.5-6 Soil atm. deposition</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HYPERLINK("#'4.2.1.7-8 Soil leach runoff'!A1", "4.2.1.7-8 Soil leach &amp; runoff")</f>
        <v>4.2.1.7-8 Soil leach &amp; runoff</v>
      </c>
      <c r="D31" s="30" t="s">
        <v>152</v>
      </c>
      <c r="E31" s="30" t="s">
        <v>1193</v>
      </c>
      <c r="F31" s="1" t="s">
        <v>1194</v>
      </c>
    </row>
    <row r="32" spans="1:8" ht="20.100000000000001" customHeight="1" x14ac:dyDescent="0.25">
      <c r="A32" s="5" t="str">
        <f>HYPERLINK("#'5.1.1.1-2 Inorganic fert N2O'!A1", "5.1.1.1-2 Inorganic fert N2O")</f>
        <v>5.1.1.1-2 Inorganic fert N2O</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HYPERLINK("#'5.1.1.3-4 Inorganic fert CO2'!A1", "5.1.1.3-4 Inorganic fert CO2")</f>
        <v>5.1.1.3-4 Inorganic fert CO2</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HYPERLINK("#'5.2.1.1-2 Organic Fert N2O'!A1", "5.2.1.1-2 Organic fert N2O")</f>
        <v>5.2.1.1-2 Organic fert N2O</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HYPERLINK("#'5.3.1.1-2 Lime CO2'!A1", "5.3.1.1-2 Lime CO2")</f>
        <v>5.3.1.1-2 Lime CO2</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HYPERLINK("#'5.4.1.1-4 Atmos deposition'!A1", "5.4.1.1-4 Atmos. deposition")</f>
        <v>5.4.1.1-4 Atmos. deposition</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HYPERLINK("#'5.5.1.1-2 Leaching and runoff'!A1", "5.5.1.1-2 Leaching &amp; runoff")</f>
        <v>5.5.1.1-2 Leaching &amp; runoff</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HYPERLINK("#'6.2.1.1-2 Pasture residue N2O'!A1", "6.2.1.1-2 Pasture residue N2O")</f>
        <v>6.2.1.1-2 Pasture residue N2O</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HYPERLINK("#'6.3.1.1-2 Leach runoff pasture'!A1", "6.3.1.1-2 Leach &amp; runoff (pasture)")</f>
        <v>6.3.1.1-2 Leach &amp; runoff (pasture)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HYPERLINK("#'8.1.1.1-2 Transport fuel'!A1", "8.1.1.1-2 Transport fuel")</f>
        <v>8.1.1.1-2 Transport fuel</v>
      </c>
    </row>
    <row r="41" spans="1:6" ht="20.100000000000001" customHeight="1" x14ac:dyDescent="0.25">
      <c r="A41" s="5" t="str">
        <f>HYPERLINK("#'8.2.1.1-2 Stationary fuel'!A1", "8.2.1.1-2 Stationary fuel")</f>
        <v>8.2.1.1-2 Stationary fuel</v>
      </c>
      <c r="D41" s="2" t="str" cm="1">
        <f t="array" ref="D41">CommonLivestock_SourceData.SourceData_Livestock_Product_Sheep_Title()</f>
        <v>Sheep products for scope 3</v>
      </c>
    </row>
    <row r="42" spans="1:6" ht="20.100000000000001" customHeight="1" x14ac:dyDescent="0.25">
      <c r="A42" s="5" t="str">
        <f>HYPERLINK("#'14.1.1-2 Purchased electricity'!A1", "14.1.1-2 Purchased electricity")</f>
        <v>14.1.1-2 Purchased electricity</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HYPERLINK("#'15 Scope 3'!A1", "15 Scope 3")</f>
        <v>15 Scope 3</v>
      </c>
      <c r="D43" s="30" t="s">
        <v>152</v>
      </c>
      <c r="E43" s="30" t="s">
        <v>1193</v>
      </c>
      <c r="F43" s="1" t="s">
        <v>1195</v>
      </c>
    </row>
    <row r="44" spans="1:6" ht="20.100000000000001" customHeight="1" x14ac:dyDescent="0.25">
      <c r="A44" s="5" t="str">
        <f>HYPERLINK("#'Calcs - Manure sent off-site'!A1", "Calcs - Manure sent off-site")</f>
        <v>Calcs - Manure sent off-site</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HYPERLINK("#'10.1.1-2 Solid waste treatment'!A1", "10.1.1-2 Solid waste treatment")</f>
        <v>10.1.1-2 Solid waste treatment</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96" t="s">
        <v>1</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Pasture Beef'!A1", "Constants - Pasture Beef")</f>
        <v>Constants - Pasture Beef</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Ag Residue'!A1", "Constants - Ag residue")</f>
        <v>Constants - Ag residue</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121"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c r="D52" s="2" t="str" cm="1">
        <f t="array" ref="D52">CommonLivestock_SourceData.SourceData_Livestock_Product_Chickens_Title()</f>
        <v>Chickens products for scope 3</v>
      </c>
    </row>
    <row r="53" spans="1:6" ht="20.100000000000001" customHeight="1" x14ac:dyDescent="0.25">
      <c r="A53" s="5" t="str">
        <f>HYPERLINK("#'Constants - Fertiliser'!A1", "Constants - Fertiliser")</f>
        <v>Constants - Fertiliser</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Fuel'!A1", "Constants - Fuel")</f>
        <v>Constants - Fuel</v>
      </c>
      <c r="D54" s="30" t="s">
        <v>152</v>
      </c>
      <c r="E54" s="30" t="s">
        <v>1193</v>
      </c>
      <c r="F54" s="1" t="s">
        <v>1196</v>
      </c>
    </row>
    <row r="55" spans="1:6" ht="20.100000000000001" customHeight="1" x14ac:dyDescent="0.25">
      <c r="A55" s="5" t="str">
        <f>HYPERLINK("#'Constants - Scope 3'!A1", "Constants - Scope 3")</f>
        <v>Constants - Scope 3</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Common'!A1", "Constants - Common")</f>
        <v>Constants - Common</v>
      </c>
    </row>
    <row r="57" spans="1:6" ht="20.100000000000001" customHeight="1" x14ac:dyDescent="0.25">
      <c r="A57" s="5" t="str">
        <f>HYPERLINK("#'Acknowledgements'!A1", "Acknowledgements")</f>
        <v>Acknowledgements</v>
      </c>
      <c r="D57" s="2" t="str" cm="1">
        <f t="array" ref="D57">CommonLivestock_SourceData.SourceData_Livestock_Product_Dairycattle_Title()</f>
        <v>Dairy cattle products for scope 3</v>
      </c>
    </row>
    <row r="58" spans="1:6" ht="20.100000000000001" customHeight="1" x14ac:dyDescent="0.25">
      <c r="A58" s="5" t="str">
        <f>HYPERLINK("#'Constants - Solid Waste'!A1", "Constants - Solid Waste")</f>
        <v>Constants - Solid Waste</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D59" s="30" t="s">
        <v>152</v>
      </c>
      <c r="E59" s="30" t="s">
        <v>1193</v>
      </c>
      <c r="F59" s="1" t="s">
        <v>1197</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1193</v>
      </c>
      <c r="F64" s="1" t="s">
        <v>1198</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AE11-0273-4C44-9A6E-7EA60573C424}">
  <dimension ref="A1:AI165"/>
  <sheetViews>
    <sheetView showGridLines="0" topLeftCell="A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1" t="s">
        <v>691</v>
      </c>
      <c r="E9" s="191" t="s">
        <v>692</v>
      </c>
      <c r="F9" s="191" t="s">
        <v>693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82" t="s">
        <v>691</v>
      </c>
      <c r="E24" s="182" t="s">
        <v>694</v>
      </c>
      <c r="F24" s="182" t="s">
        <v>695</v>
      </c>
      <c r="G24" s="182" t="s">
        <v>696</v>
      </c>
      <c r="H24" s="182" t="s">
        <v>697</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HYPERLINK("#'3.2.1.1-2 Enteric Methane'!A1", "3.2.1.1-2 Enteric methane")</f>
        <v>3.2.1.1-2 Enteric methane</v>
      </c>
    </row>
    <row r="28" spans="1:8" ht="20.100000000000001" customHeight="1" x14ac:dyDescent="0.25">
      <c r="A28" s="5" t="str">
        <f>HYPERLINK("#'4.2.1.1-2 Methane'!A1", "4.2.1.1-2 Manure methane")</f>
        <v>4.2.1.1-2 Manure methane</v>
      </c>
    </row>
    <row r="29" spans="1:8" ht="20.100000000000001" customHeight="1" x14ac:dyDescent="0.25">
      <c r="A29" s="5" t="str">
        <f>HYPERLINK("#'4.2.1.3-4 Soil direct N20'!A1", "4.2.1.3-4 Soil direct N2O")</f>
        <v>4.2.1.3-4 Soil direct N2O</v>
      </c>
    </row>
    <row r="30" spans="1:8" ht="20.100000000000001" customHeight="1" x14ac:dyDescent="0.25">
      <c r="A30" s="5" t="str">
        <f>HYPERLINK("#'4.2.1.5-6 Soil Atmos Dep'!A1", "4.2.1.5-6 Soil atm. deposition")</f>
        <v>4.2.1.5-6 Soil atm. deposition</v>
      </c>
    </row>
    <row r="31" spans="1:8" ht="20.100000000000001" customHeight="1" x14ac:dyDescent="0.25">
      <c r="A31" s="5" t="str">
        <f>HYPERLINK("#'4.2.1.7-8 Soil leach runoff'!A1", "4.2.1.7-8 Soil leach &amp; runoff")</f>
        <v>4.2.1.7-8 Soil leach &amp; runoff</v>
      </c>
    </row>
    <row r="32" spans="1:8"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121"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145C3-4AA0-4751-8273-E98DC24E5B9A}">
  <dimension ref="A1:AI165"/>
  <sheetViews>
    <sheetView showGridLines="0" topLeftCell="A1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618</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3"/>
      <c r="F5" s="173"/>
      <c r="G5" s="173"/>
      <c r="H5" s="173"/>
      <c r="I5" s="173"/>
      <c r="J5" s="173"/>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Beef cattle purchases'!A1", "Beef cattle purchases")</f>
        <v>Beef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536</v>
      </c>
      <c r="E19" t="s">
        <v>619</v>
      </c>
      <c r="F19" t="s">
        <v>620</v>
      </c>
      <c r="G19" t="s">
        <v>594</v>
      </c>
      <c r="H19" t="s">
        <v>621</v>
      </c>
      <c r="I19" t="s">
        <v>622</v>
      </c>
      <c r="K19" s="30" t="s">
        <v>536</v>
      </c>
      <c r="L19" s="30" t="s">
        <v>619</v>
      </c>
      <c r="Q19" s="30" t="s">
        <v>536</v>
      </c>
      <c r="R19" s="30" t="s">
        <v>619</v>
      </c>
      <c r="V19" s="30" t="s">
        <v>622</v>
      </c>
    </row>
    <row r="20" spans="1:22" ht="20.100000000000001" customHeight="1" x14ac:dyDescent="0.25">
      <c r="A20" s="5" t="str">
        <f>HYPERLINK("#'Input - Farm Inputs'!A1", "Farm Inputs")</f>
        <v>Farm Inputs</v>
      </c>
      <c r="D20" s="182" t="str" cm="1">
        <f t="array" ref="D20">Common_InputFunctions.Utility_DisplayArrayInTable(Fertiliser_SourceData.Fertiliser_ChemicalCompoundElements_Data(),Table_Fertiliser_ChemicalCompounds[[#Headers],[Fertiliser type f]], 0)</f>
        <v>Monoammonium phosphate (MAP)</v>
      </c>
      <c r="E20" s="182" cm="1">
        <f t="array" ref="E20">Common_InputFunctions.Utility_DisplayArrayInTable(Fertiliser_SourceData.Fertiliser_ChemicalCompoundElements_Data(),Table_Fertiliser_ChemicalCompounds[[#Headers],[Fertiliser type f]], 0)</f>
        <v>0.1</v>
      </c>
      <c r="F20" s="182" cm="1">
        <f t="array" ref="F20">Common_InputFunctions.Utility_DisplayArrayInTable(Fertiliser_SourceData.Fertiliser_ChemicalCompoundElements_Data(),Table_Fertiliser_ChemicalCompounds[[#Headers],[Fertiliser type f]], 0)</f>
        <v>0</v>
      </c>
      <c r="G20" s="182" t="str" cm="1">
        <f t="array" ref="G20">Common_InputFunctions.Utility_DisplayArrayInTable(Fertiliser_SourceData.Fertiliser_ChemicalCompoundElements_Data(),Table_Fertiliser_ChemicalCompounds[[#Headers],[Fertiliser type f]], 0)</f>
        <v>Ammonium-based fertilisers</v>
      </c>
      <c r="H20" s="182" t="str" cm="1">
        <f t="array" ref="H20">Common_InputFunctions.Utility_DisplayArrayInTable(Fertiliser_SourceData.Fertiliser_ChemicalCompoundElements_Data(),Table_Fertiliser_ChemicalCompounds[[#Headers],[Fertiliser type f]], 0)</f>
        <v>Monoammonium phosphate (MAP)</v>
      </c>
      <c r="I20" s="182"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82" t="str" cm="1">
        <f t="array" ref="D21">Common_InputFunctions.Utility_DisplayArrayInTable(Fertiliser_SourceData.Fertiliser_ChemicalCompoundElements_Data(),Table_Fertiliser_ChemicalCompounds[[#Headers],[Fertiliser type f]], 0)</f>
        <v>Diammonium phosphate (DAP)</v>
      </c>
      <c r="E21" s="182" cm="1">
        <f t="array" ref="E21">Common_InputFunctions.Utility_DisplayArrayInTable(Fertiliser_SourceData.Fertiliser_ChemicalCompoundElements_Data(),Table_Fertiliser_ChemicalCompounds[[#Headers],[Fertiliser type f]], 0)</f>
        <v>0.18</v>
      </c>
      <c r="F21" s="182" cm="1">
        <f t="array" ref="F21">Common_InputFunctions.Utility_DisplayArrayInTable(Fertiliser_SourceData.Fertiliser_ChemicalCompoundElements_Data(),Table_Fertiliser_ChemicalCompounds[[#Headers],[Fertiliser type f]], 0)</f>
        <v>0</v>
      </c>
      <c r="G21" s="182" t="str" cm="1">
        <f t="array" ref="G21">Common_InputFunctions.Utility_DisplayArrayInTable(Fertiliser_SourceData.Fertiliser_ChemicalCompoundElements_Data(),Table_Fertiliser_ChemicalCompounds[[#Headers],[Fertiliser type f]], 0)</f>
        <v>Ammonium-based fertilisers</v>
      </c>
      <c r="H21" s="182" t="str" cm="1">
        <f t="array" ref="H21">Common_InputFunctions.Utility_DisplayArrayInTable(Fertiliser_SourceData.Fertiliser_ChemicalCompoundElements_Data(),Table_Fertiliser_ChemicalCompounds[[#Headers],[Fertiliser type f]], 0)</f>
        <v>Diammonium phosphate (DAP)</v>
      </c>
      <c r="I21" s="182"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82" t="str" cm="1">
        <f t="array" ref="D22">Common_InputFunctions.Utility_DisplayArrayInTable(Fertiliser_SourceData.Fertiliser_ChemicalCompoundElements_Data(),Table_Fertiliser_ChemicalCompounds[[#Headers],[Fertiliser type f]], 0)</f>
        <v>Urea</v>
      </c>
      <c r="E22" s="182" cm="1">
        <f t="array" ref="E22">Common_InputFunctions.Utility_DisplayArrayInTable(Fertiliser_SourceData.Fertiliser_ChemicalCompoundElements_Data(),Table_Fertiliser_ChemicalCompounds[[#Headers],[Fertiliser type f]], 0)</f>
        <v>0.46</v>
      </c>
      <c r="F22" s="182" cm="1">
        <f t="array" ref="F22">Common_InputFunctions.Utility_DisplayArrayInTable(Fertiliser_SourceData.Fertiliser_ChemicalCompoundElements_Data(),Table_Fertiliser_ChemicalCompounds[[#Headers],[Fertiliser type f]], 0)</f>
        <v>1</v>
      </c>
      <c r="G22" s="182" t="str" cm="1">
        <f t="array" ref="G22">Common_InputFunctions.Utility_DisplayArrayInTable(Fertiliser_SourceData.Fertiliser_ChemicalCompoundElements_Data(),Table_Fertiliser_ChemicalCompounds[[#Headers],[Fertiliser type f]], 0)</f>
        <v>Urea-based fertilisers</v>
      </c>
      <c r="H22" s="182" t="str" cm="1">
        <f t="array" ref="H22">Common_InputFunctions.Utility_DisplayArrayInTable(Fertiliser_SourceData.Fertiliser_ChemicalCompoundElements_Data(),Table_Fertiliser_ChemicalCompounds[[#Headers],[Fertiliser type f]], 0)</f>
        <v>Urea</v>
      </c>
      <c r="I22" s="182"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82" t="str" cm="1">
        <f t="array" ref="D23">Common_InputFunctions.Utility_DisplayArrayInTable(Fertiliser_SourceData.Fertiliser_ChemicalCompoundElements_Data(),Table_Fertiliser_ChemicalCompounds[[#Headers],[Fertiliser type f]], 0)</f>
        <v>Sulphate of ammonia (SOA)</v>
      </c>
      <c r="E23" s="182" cm="1">
        <f t="array" ref="E23">Common_InputFunctions.Utility_DisplayArrayInTable(Fertiliser_SourceData.Fertiliser_ChemicalCompoundElements_Data(),Table_Fertiliser_ChemicalCompounds[[#Headers],[Fertiliser type f]], 0)</f>
        <v>0.21</v>
      </c>
      <c r="F23" s="182" cm="1">
        <f t="array" ref="F23">Common_InputFunctions.Utility_DisplayArrayInTable(Fertiliser_SourceData.Fertiliser_ChemicalCompoundElements_Data(),Table_Fertiliser_ChemicalCompounds[[#Headers],[Fertiliser type f]], 0)</f>
        <v>0</v>
      </c>
      <c r="G23" s="182" t="str" cm="1">
        <f t="array" ref="G23">Common_InputFunctions.Utility_DisplayArrayInTable(Fertiliser_SourceData.Fertiliser_ChemicalCompoundElements_Data(),Table_Fertiliser_ChemicalCompounds[[#Headers],[Fertiliser type f]], 0)</f>
        <v>Ammonium-based fertilisers</v>
      </c>
      <c r="H23" s="182" t="str" cm="1">
        <f t="array" ref="H23">Common_InputFunctions.Utility_DisplayArrayInTable(Fertiliser_SourceData.Fertiliser_ChemicalCompoundElements_Data(),Table_Fertiliser_ChemicalCompounds[[#Headers],[Fertiliser type f]], 0)</f>
        <v>Sulphate of ammonia (SOA)</v>
      </c>
      <c r="I23" s="182"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82" t="str" cm="1">
        <f t="array" ref="D24">Common_InputFunctions.Utility_DisplayArrayInTable(Fertiliser_SourceData.Fertiliser_ChemicalCompoundElements_Data(),Table_Fertiliser_ChemicalCompounds[[#Headers],[Fertiliser type f]], 0)</f>
        <v>Urea-ammonium nitrate (UAN)</v>
      </c>
      <c r="E24" s="182" cm="1">
        <f t="array" ref="E24">Common_InputFunctions.Utility_DisplayArrayInTable(Fertiliser_SourceData.Fertiliser_ChemicalCompoundElements_Data(),Table_Fertiliser_ChemicalCompounds[[#Headers],[Fertiliser type f]], 0)</f>
        <v>0.32</v>
      </c>
      <c r="F24" s="182" cm="1">
        <f t="array" ref="F24">Common_InputFunctions.Utility_DisplayArrayInTable(Fertiliser_SourceData.Fertiliser_ChemicalCompoundElements_Data(),Table_Fertiliser_ChemicalCompounds[[#Headers],[Fertiliser type f]], 0)</f>
        <v>0.35</v>
      </c>
      <c r="G24" s="182" t="str" cm="1">
        <f t="array" ref="G24">Common_InputFunctions.Utility_DisplayArrayInTable(Fertiliser_SourceData.Fertiliser_ChemicalCompoundElements_Data(),Table_Fertiliser_ChemicalCompounds[[#Headers],[Fertiliser type f]], 0)</f>
        <v>Urea-based fertilisers</v>
      </c>
      <c r="H24" s="182" t="str" cm="1">
        <f t="array" ref="H24">Common_InputFunctions.Utility_DisplayArrayInTable(Fertiliser_SourceData.Fertiliser_ChemicalCompoundElements_Data(),Table_Fertiliser_ChemicalCompounds[[#Headers],[Fertiliser type f]], 0)</f>
        <v>Urea-ammonium nitrate (UAN)</v>
      </c>
      <c r="I24" s="182"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82" t="str" cm="1">
        <f t="array" ref="D25">Common_InputFunctions.Utility_DisplayArrayInTable(Fertiliser_SourceData.Fertiliser_ChemicalCompoundElements_Data(),Table_Fertiliser_ChemicalCompounds[[#Headers],[Fertiliser type f]], 0)</f>
        <v>Ammonium nitrate (AN)</v>
      </c>
      <c r="E25" s="182" cm="1">
        <f t="array" ref="E25">Common_InputFunctions.Utility_DisplayArrayInTable(Fertiliser_SourceData.Fertiliser_ChemicalCompoundElements_Data(),Table_Fertiliser_ChemicalCompounds[[#Headers],[Fertiliser type f]], 0)</f>
        <v>0.33700000000000002</v>
      </c>
      <c r="F25" s="182" cm="1">
        <f t="array" ref="F25">Common_InputFunctions.Utility_DisplayArrayInTable(Fertiliser_SourceData.Fertiliser_ChemicalCompoundElements_Data(),Table_Fertiliser_ChemicalCompounds[[#Headers],[Fertiliser type f]], 0)</f>
        <v>0</v>
      </c>
      <c r="G25" s="182" t="str" cm="1">
        <f t="array" ref="G25">Common_InputFunctions.Utility_DisplayArrayInTable(Fertiliser_SourceData.Fertiliser_ChemicalCompoundElements_Data(),Table_Fertiliser_ChemicalCompounds[[#Headers],[Fertiliser type f]], 0)</f>
        <v>Ammonium-nitrate based fertilisers</v>
      </c>
      <c r="H25" s="182" t="str" cm="1">
        <f t="array" ref="H25">Common_InputFunctions.Utility_DisplayArrayInTable(Fertiliser_SourceData.Fertiliser_ChemicalCompoundElements_Data(),Table_Fertiliser_ChemicalCompounds[[#Headers],[Fertiliser type f]], 0)</f>
        <v>Ammonium nitrate (AN)</v>
      </c>
      <c r="I25" s="182"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82" t="str" cm="1">
        <f t="array" ref="D26">Common_InputFunctions.Utility_DisplayArrayInTable(Fertiliser_SourceData.Fertiliser_ChemicalCompoundElements_Data(),Table_Fertiliser_ChemicalCompounds[[#Headers],[Fertiliser type f]], 0)</f>
        <v>Calcium ammonium nitrate (CAN)</v>
      </c>
      <c r="E26" s="182" cm="1">
        <f t="array" ref="E26">Common_InputFunctions.Utility_DisplayArrayInTable(Fertiliser_SourceData.Fertiliser_ChemicalCompoundElements_Data(),Table_Fertiliser_ChemicalCompounds[[#Headers],[Fertiliser type f]], 0)</f>
        <v>0.27</v>
      </c>
      <c r="F26" s="182" cm="1">
        <f t="array" ref="F26">Common_InputFunctions.Utility_DisplayArrayInTable(Fertiliser_SourceData.Fertiliser_ChemicalCompoundElements_Data(),Table_Fertiliser_ChemicalCompounds[[#Headers],[Fertiliser type f]], 0)</f>
        <v>0</v>
      </c>
      <c r="G26" s="182" t="str" cm="1">
        <f t="array" ref="G26">Common_InputFunctions.Utility_DisplayArrayInTable(Fertiliser_SourceData.Fertiliser_ChemicalCompoundElements_Data(),Table_Fertiliser_ChemicalCompounds[[#Headers],[Fertiliser type f]], 0)</f>
        <v>Ammonium-nitrate based fertilisers</v>
      </c>
      <c r="H26" s="182" t="str" cm="1">
        <f t="array" ref="H26">Common_InputFunctions.Utility_DisplayArrayInTable(Fertiliser_SourceData.Fertiliser_ChemicalCompoundElements_Data(),Table_Fertiliser_ChemicalCompounds[[#Headers],[Fertiliser type f]], 0)</f>
        <v>Calcium ammonium nitrate (CAN)</v>
      </c>
      <c r="I26" s="182"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HYPERLINK("#'3.2.1.1-2 Enteric Methane'!A1", "3.2.1.1-2 Enteric methane")</f>
        <v>3.2.1.1-2 Enteric methane</v>
      </c>
      <c r="D27" s="182" t="str" cm="1">
        <f t="array" ref="D27">Common_InputFunctions.Utility_DisplayArrayInTable(Fertiliser_SourceData.Fertiliser_ChemicalCompoundElements_Data(),Table_Fertiliser_ChemicalCompounds[[#Headers],[Fertiliser type f]], 0)</f>
        <v>Nitrogen - Ammoniacal</v>
      </c>
      <c r="E27" s="182" cm="1">
        <f t="array" ref="E27">Common_InputFunctions.Utility_DisplayArrayInTable(Fertiliser_SourceData.Fertiliser_ChemicalCompoundElements_Data(),Table_Fertiliser_ChemicalCompounds[[#Headers],[Fertiliser type f]], 0)</f>
        <v>1</v>
      </c>
      <c r="F27" s="182" cm="1">
        <f t="array" ref="F27">Common_InputFunctions.Utility_DisplayArrayInTable(Fertiliser_SourceData.Fertiliser_ChemicalCompoundElements_Data(),Table_Fertiliser_ChemicalCompounds[[#Headers],[Fertiliser type f]], 0)</f>
        <v>0</v>
      </c>
      <c r="G27" s="182" t="str" cm="1">
        <f t="array" ref="G27">Common_InputFunctions.Utility_DisplayArrayInTable(Fertiliser_SourceData.Fertiliser_ChemicalCompoundElements_Data(),Table_Fertiliser_ChemicalCompounds[[#Headers],[Fertiliser type f]], 0)</f>
        <v>Ammonium-based fertilisers</v>
      </c>
      <c r="H27" s="182" t="str" cm="1">
        <f t="array" ref="H27">Common_InputFunctions.Utility_DisplayArrayInTable(Fertiliser_SourceData.Fertiliser_ChemicalCompoundElements_Data(),Table_Fertiliser_ChemicalCompounds[[#Headers],[Fertiliser type f]], 0)</f>
        <v>Nitrogen - Ammoniacal</v>
      </c>
      <c r="I27" s="182"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HYPERLINK("#'4.2.1.1-2 Methane'!A1", "4.2.1.1-2 Manure methane")</f>
        <v>4.2.1.1-2 Manure methane</v>
      </c>
      <c r="D28" s="182" t="str" cm="1">
        <f t="array" ref="D28">Common_InputFunctions.Utility_DisplayArrayInTable(Fertiliser_SourceData.Fertiliser_ChemicalCompoundElements_Data(),Table_Fertiliser_ChemicalCompounds[[#Headers],[Fertiliser type f]], 0)</f>
        <v>Nitrogen - Nitrate</v>
      </c>
      <c r="E28" s="182" cm="1">
        <f t="array" ref="E28">Common_InputFunctions.Utility_DisplayArrayInTable(Fertiliser_SourceData.Fertiliser_ChemicalCompoundElements_Data(),Table_Fertiliser_ChemicalCompounds[[#Headers],[Fertiliser type f]], 0)</f>
        <v>1</v>
      </c>
      <c r="F28" s="182" cm="1">
        <f t="array" ref="F28">Common_InputFunctions.Utility_DisplayArrayInTable(Fertiliser_SourceData.Fertiliser_ChemicalCompoundElements_Data(),Table_Fertiliser_ChemicalCompounds[[#Headers],[Fertiliser type f]], 0)</f>
        <v>0</v>
      </c>
      <c r="G28" s="182" t="str" cm="1">
        <f t="array" ref="G28">Common_InputFunctions.Utility_DisplayArrayInTable(Fertiliser_SourceData.Fertiliser_ChemicalCompoundElements_Data(),Table_Fertiliser_ChemicalCompounds[[#Headers],[Fertiliser type f]], 0)</f>
        <v>Nitrate-based fertilisers</v>
      </c>
      <c r="H28" s="182" t="str" cm="1">
        <f t="array" ref="H28">Common_InputFunctions.Utility_DisplayArrayInTable(Fertiliser_SourceData.Fertiliser_ChemicalCompoundElements_Data(),Table_Fertiliser_ChemicalCompounds[[#Headers],[Fertiliser type f]], 0)</f>
        <v>Nitrogen from Nitrate</v>
      </c>
      <c r="I28" s="182"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HYPERLINK("#'4.2.1.3-4 Soil direct N20'!A1", "4.2.1.3-4 Soil direct N2O")</f>
        <v>4.2.1.3-4 Soil direct N2O</v>
      </c>
      <c r="D29" s="182" t="str" cm="1">
        <f t="array" ref="D29">Common_InputFunctions.Utility_DisplayArrayInTable(Fertiliser_SourceData.Fertiliser_ChemicalCompoundElements_Data(),Table_Fertiliser_ChemicalCompounds[[#Headers],[Fertiliser type f]], 0)</f>
        <v>Nitrogen - Generic</v>
      </c>
      <c r="E29" s="182" cm="1">
        <f t="array" ref="E29">Common_InputFunctions.Utility_DisplayArrayInTable(Fertiliser_SourceData.Fertiliser_ChemicalCompoundElements_Data(),Table_Fertiliser_ChemicalCompounds[[#Headers],[Fertiliser type f]], 0)</f>
        <v>1</v>
      </c>
      <c r="F29" s="182" cm="1">
        <f t="array" ref="F29">Common_InputFunctions.Utility_DisplayArrayInTable(Fertiliser_SourceData.Fertiliser_ChemicalCompoundElements_Data(),Table_Fertiliser_ChemicalCompounds[[#Headers],[Fertiliser type f]], 0)</f>
        <v>0</v>
      </c>
      <c r="G29" s="182" t="str" cm="1">
        <f t="array" ref="G29">Common_InputFunctions.Utility_DisplayArrayInTable(Fertiliser_SourceData.Fertiliser_ChemicalCompoundElements_Data(),Table_Fertiliser_ChemicalCompounds[[#Headers],[Fertiliser type f]], 0)</f>
        <v>Urea-based fertilisers</v>
      </c>
      <c r="H29" s="182" t="str" cm="1">
        <f t="array" ref="H29">Common_InputFunctions.Utility_DisplayArrayInTable(Fertiliser_SourceData.Fertiliser_ChemicalCompoundElements_Data(),Table_Fertiliser_ChemicalCompounds[[#Headers],[Fertiliser type f]], 0)</f>
        <v>Nitrogen from fertiliser</v>
      </c>
      <c r="I29" s="18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HYPERLINK("#'4.2.1.5-6 Soil Atmos Dep'!A1", "4.2.1.5-6 Soil atm. deposition")</f>
        <v>4.2.1.5-6 Soil atm. deposition</v>
      </c>
      <c r="D30" s="182" t="str" cm="1">
        <f t="array" ref="D30">Common_InputFunctions.Utility_DisplayArrayInTable(Fertiliser_SourceData.Fertiliser_ChemicalCompoundElements_Data(),Table_Fertiliser_ChemicalCompounds[[#Headers],[Fertiliser type f]], 0)</f>
        <v>Phosphorus - Generic</v>
      </c>
      <c r="E30" s="182" cm="1">
        <f t="array" ref="E30">Common_InputFunctions.Utility_DisplayArrayInTable(Fertiliser_SourceData.Fertiliser_ChemicalCompoundElements_Data(),Table_Fertiliser_ChemicalCompounds[[#Headers],[Fertiliser type f]], 0)</f>
        <v>0</v>
      </c>
      <c r="F30" s="182" cm="1">
        <f t="array" ref="F30">Common_InputFunctions.Utility_DisplayArrayInTable(Fertiliser_SourceData.Fertiliser_ChemicalCompoundElements_Data(),Table_Fertiliser_ChemicalCompounds[[#Headers],[Fertiliser type f]], 0)</f>
        <v>0</v>
      </c>
      <c r="G30" s="182" t="str" cm="1">
        <f t="array" ref="G30">Common_InputFunctions.Utility_DisplayArrayInTable(Fertiliser_SourceData.Fertiliser_ChemicalCompoundElements_Data(),Table_Fertiliser_ChemicalCompounds[[#Headers],[Fertiliser type f]], 0)</f>
        <v>Other fertilisers</v>
      </c>
      <c r="H30" s="182" t="str" cm="1">
        <f t="array" ref="H30">Common_InputFunctions.Utility_DisplayArrayInTable(Fertiliser_SourceData.Fertiliser_ChemicalCompoundElements_Data(),Table_Fertiliser_ChemicalCompounds[[#Headers],[Fertiliser type f]], 0)</f>
        <v>Phosphorus from fertiliser</v>
      </c>
      <c r="I30" s="18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HYPERLINK("#'4.2.1.7-8 Soil leach runoff'!A1", "4.2.1.7-8 Soil leach &amp; runoff")</f>
        <v>4.2.1.7-8 Soil leach &amp; runoff</v>
      </c>
      <c r="D31" s="182" t="str" cm="1">
        <f t="array" ref="D31">Common_InputFunctions.Utility_DisplayArrayInTable(Fertiliser_SourceData.Fertiliser_ChemicalCompoundElements_Data(),Table_Fertiliser_ChemicalCompounds[[#Headers],[Fertiliser type f]], 0)</f>
        <v>Potassium - Generic</v>
      </c>
      <c r="E31" s="182" cm="1">
        <f t="array" ref="E31">Common_InputFunctions.Utility_DisplayArrayInTable(Fertiliser_SourceData.Fertiliser_ChemicalCompoundElements_Data(),Table_Fertiliser_ChemicalCompounds[[#Headers],[Fertiliser type f]], 0)</f>
        <v>0</v>
      </c>
      <c r="F31" s="182" cm="1">
        <f t="array" ref="F31">Common_InputFunctions.Utility_DisplayArrayInTable(Fertiliser_SourceData.Fertiliser_ChemicalCompoundElements_Data(),Table_Fertiliser_ChemicalCompounds[[#Headers],[Fertiliser type f]], 0)</f>
        <v>0</v>
      </c>
      <c r="G31" s="182" t="str" cm="1">
        <f t="array" ref="G31">Common_InputFunctions.Utility_DisplayArrayInTable(Fertiliser_SourceData.Fertiliser_ChemicalCompoundElements_Data(),Table_Fertiliser_ChemicalCompounds[[#Headers],[Fertiliser type f]], 0)</f>
        <v>Other fertilisers</v>
      </c>
      <c r="H31" s="182" t="str" cm="1">
        <f t="array" ref="H31">Common_InputFunctions.Utility_DisplayArrayInTable(Fertiliser_SourceData.Fertiliser_ChemicalCompoundElements_Data(),Table_Fertiliser_ChemicalCompounds[[#Headers],[Fertiliser type f]], 0)</f>
        <v>Potassium from fertiliser</v>
      </c>
      <c r="I31" s="18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HYPERLINK("#'5.1.1.1-2 Inorganic fert N2O'!A1", "5.1.1.1-2 Inorganic fert N2O")</f>
        <v>5.1.1.1-2 Inorganic fert N2O</v>
      </c>
      <c r="D32" s="182" t="str" cm="1">
        <f t="array" ref="D32">Common_InputFunctions.Utility_DisplayArrayInTable(Fertiliser_SourceData.Fertiliser_ChemicalCompoundElements_Data(),Table_Fertiliser_ChemicalCompounds[[#Headers],[Fertiliser type f]], 0)</f>
        <v>Sulfur - Generic</v>
      </c>
      <c r="E32" s="182" cm="1">
        <f t="array" ref="E32">Common_InputFunctions.Utility_DisplayArrayInTable(Fertiliser_SourceData.Fertiliser_ChemicalCompoundElements_Data(),Table_Fertiliser_ChemicalCompounds[[#Headers],[Fertiliser type f]], 0)</f>
        <v>0</v>
      </c>
      <c r="F32" s="182" cm="1">
        <f t="array" ref="F32">Common_InputFunctions.Utility_DisplayArrayInTable(Fertiliser_SourceData.Fertiliser_ChemicalCompoundElements_Data(),Table_Fertiliser_ChemicalCompounds[[#Headers],[Fertiliser type f]], 0)</f>
        <v>0</v>
      </c>
      <c r="G32" s="182" t="str" cm="1">
        <f t="array" ref="G32">Common_InputFunctions.Utility_DisplayArrayInTable(Fertiliser_SourceData.Fertiliser_ChemicalCompoundElements_Data(),Table_Fertiliser_ChemicalCompounds[[#Headers],[Fertiliser type f]], 0)</f>
        <v>Other fertilisers</v>
      </c>
      <c r="H32" s="182" t="str" cm="1">
        <f t="array" ref="H32">Common_InputFunctions.Utility_DisplayArrayInTable(Fertiliser_SourceData.Fertiliser_ChemicalCompoundElements_Data(),Table_Fertiliser_ChemicalCompounds[[#Headers],[Fertiliser type f]], 0)</f>
        <v>Sulfur from fertiliser</v>
      </c>
      <c r="I32" s="18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HYPERLINK("#'5.1.1.3-4 Inorganic fert CO2'!A1", "5.1.1.3-4 Inorganic fert CO2")</f>
        <v>5.1.1.3-4 Inorganic fert CO2</v>
      </c>
      <c r="D33" s="182" t="str" cm="1">
        <f t="array" ref="D33">Common_InputFunctions.Utility_DisplayArrayInTable(Fertiliser_SourceData.Fertiliser_ChemicalCompoundElements_Data(),Table_Fertiliser_ChemicalCompounds[[#Headers],[Fertiliser type f]], 0)</f>
        <v>Zinc - Generic</v>
      </c>
      <c r="E33" s="182" cm="1">
        <f t="array" ref="E33">Common_InputFunctions.Utility_DisplayArrayInTable(Fertiliser_SourceData.Fertiliser_ChemicalCompoundElements_Data(),Table_Fertiliser_ChemicalCompounds[[#Headers],[Fertiliser type f]], 0)</f>
        <v>0</v>
      </c>
      <c r="F33" s="182" cm="1">
        <f t="array" ref="F33">Common_InputFunctions.Utility_DisplayArrayInTable(Fertiliser_SourceData.Fertiliser_ChemicalCompoundElements_Data(),Table_Fertiliser_ChemicalCompounds[[#Headers],[Fertiliser type f]], 0)</f>
        <v>0</v>
      </c>
      <c r="G33" s="182" t="str" cm="1">
        <f t="array" ref="G33">Common_InputFunctions.Utility_DisplayArrayInTable(Fertiliser_SourceData.Fertiliser_ChemicalCompoundElements_Data(),Table_Fertiliser_ChemicalCompounds[[#Headers],[Fertiliser type f]], 0)</f>
        <v>Other fertilisers</v>
      </c>
      <c r="H33" s="182" t="str" cm="1">
        <f t="array" ref="H33">Common_InputFunctions.Utility_DisplayArrayInTable(Fertiliser_SourceData.Fertiliser_ChemicalCompoundElements_Data(),Table_Fertiliser_ChemicalCompounds[[#Headers],[Fertiliser type f]], 0)</f>
        <v>Zinc from fertiliser</v>
      </c>
      <c r="I33" s="18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HYPERLINK("#'5.2.1.1-2 Organic Fert N2O'!A1", "5.2.1.1-2 Organic fert N2O")</f>
        <v>5.2.1.1-2 Organic fert N2O</v>
      </c>
      <c r="D34" s="182" t="str" cm="1">
        <f t="array" ref="D34">Common_InputFunctions.Utility_DisplayArrayInTable(Fertiliser_SourceData.Fertiliser_ChemicalCompoundElements_Data(),Table_Fertiliser_ChemicalCompounds[[#Headers],[Fertiliser type f]], 0)</f>
        <v>Muriate of potash (MOP)</v>
      </c>
      <c r="E34" s="182" cm="1">
        <f t="array" ref="E34">Common_InputFunctions.Utility_DisplayArrayInTable(Fertiliser_SourceData.Fertiliser_ChemicalCompoundElements_Data(),Table_Fertiliser_ChemicalCompounds[[#Headers],[Fertiliser type f]], 0)</f>
        <v>0</v>
      </c>
      <c r="F34" s="182" cm="1">
        <f t="array" ref="F34">Common_InputFunctions.Utility_DisplayArrayInTable(Fertiliser_SourceData.Fertiliser_ChemicalCompoundElements_Data(),Table_Fertiliser_ChemicalCompounds[[#Headers],[Fertiliser type f]], 0)</f>
        <v>0</v>
      </c>
      <c r="G34" s="182" t="str" cm="1">
        <f t="array" ref="G34">Common_InputFunctions.Utility_DisplayArrayInTable(Fertiliser_SourceData.Fertiliser_ChemicalCompoundElements_Data(),Table_Fertiliser_ChemicalCompounds[[#Headers],[Fertiliser type f]], 0)</f>
        <v>Other fertilisers</v>
      </c>
      <c r="H34" s="182" t="str" cm="1">
        <f t="array" ref="H34">Common_InputFunctions.Utility_DisplayArrayInTable(Fertiliser_SourceData.Fertiliser_ChemicalCompoundElements_Data(),Table_Fertiliser_ChemicalCompounds[[#Headers],[Fertiliser type f]], 0)</f>
        <v>Muriate of potash (MOP)</v>
      </c>
      <c r="I34" s="18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HYPERLINK("#'5.3.1.1-2 Lime CO2'!A1", "5.3.1.1-2 Lime CO2")</f>
        <v>5.3.1.1-2 Lime CO2</v>
      </c>
      <c r="D35" s="182" t="str" cm="1">
        <f t="array" ref="D35">Common_InputFunctions.Utility_DisplayArrayInTable(Fertiliser_SourceData.Fertiliser_ChemicalCompoundElements_Data(),Table_Fertiliser_ChemicalCompounds[[#Headers],[Fertiliser type f]], 0)</f>
        <v>Double superphosphate</v>
      </c>
      <c r="E35" s="182" cm="1">
        <f t="array" ref="E35">Common_InputFunctions.Utility_DisplayArrayInTable(Fertiliser_SourceData.Fertiliser_ChemicalCompoundElements_Data(),Table_Fertiliser_ChemicalCompounds[[#Headers],[Fertiliser type f]], 0)</f>
        <v>0</v>
      </c>
      <c r="F35" s="182" cm="1">
        <f t="array" ref="F35">Common_InputFunctions.Utility_DisplayArrayInTable(Fertiliser_SourceData.Fertiliser_ChemicalCompoundElements_Data(),Table_Fertiliser_ChemicalCompounds[[#Headers],[Fertiliser type f]], 0)</f>
        <v>0</v>
      </c>
      <c r="G35" s="182" t="str" cm="1">
        <f t="array" ref="G35">Common_InputFunctions.Utility_DisplayArrayInTable(Fertiliser_SourceData.Fertiliser_ChemicalCompoundElements_Data(),Table_Fertiliser_ChemicalCompounds[[#Headers],[Fertiliser type f]], 0)</f>
        <v>Other fertilisers</v>
      </c>
      <c r="H35" s="182" t="str" cm="1">
        <f t="array" ref="H35">Common_InputFunctions.Utility_DisplayArrayInTable(Fertiliser_SourceData.Fertiliser_ChemicalCompoundElements_Data(),Table_Fertiliser_ChemicalCompounds[[#Headers],[Fertiliser type f]], 0)</f>
        <v>Double superphosphate</v>
      </c>
      <c r="I35" s="18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HYPERLINK("#'5.4.1.1-4 Atmos deposition'!A1", "5.4.1.1-4 Atmos. deposition")</f>
        <v>5.4.1.1-4 Atmos. deposition</v>
      </c>
      <c r="D36" s="182" t="str" cm="1">
        <f t="array" ref="D36">Common_InputFunctions.Utility_DisplayArrayInTable(Fertiliser_SourceData.Fertiliser_ChemicalCompoundElements_Data(),Table_Fertiliser_ChemicalCompounds[[#Headers],[Fertiliser type f]], 0)</f>
        <v>Single superphosphate (SSP)</v>
      </c>
      <c r="E36" s="182" cm="1">
        <f t="array" ref="E36">Common_InputFunctions.Utility_DisplayArrayInTable(Fertiliser_SourceData.Fertiliser_ChemicalCompoundElements_Data(),Table_Fertiliser_ChemicalCompounds[[#Headers],[Fertiliser type f]], 0)</f>
        <v>0</v>
      </c>
      <c r="F36" s="182" cm="1">
        <f t="array" ref="F36">Common_InputFunctions.Utility_DisplayArrayInTable(Fertiliser_SourceData.Fertiliser_ChemicalCompoundElements_Data(),Table_Fertiliser_ChemicalCompounds[[#Headers],[Fertiliser type f]], 0)</f>
        <v>0</v>
      </c>
      <c r="G36" s="182" t="str" cm="1">
        <f t="array" ref="G36">Common_InputFunctions.Utility_DisplayArrayInTable(Fertiliser_SourceData.Fertiliser_ChemicalCompoundElements_Data(),Table_Fertiliser_ChemicalCompounds[[#Headers],[Fertiliser type f]], 0)</f>
        <v>Other fertilisers</v>
      </c>
      <c r="H36" s="182" t="str" cm="1">
        <f t="array" ref="H36">Common_InputFunctions.Utility_DisplayArrayInTable(Fertiliser_SourceData.Fertiliser_ChemicalCompoundElements_Data(),Table_Fertiliser_ChemicalCompounds[[#Headers],[Fertiliser type f]], 0)</f>
        <v>Single superphosphate (SSP)</v>
      </c>
      <c r="I36" s="18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HYPERLINK("#'5.5.1.1-2 Leaching and runoff'!A1", "5.5.1.1-2 Leaching &amp; runoff")</f>
        <v>5.5.1.1-2 Leaching &amp; runoff</v>
      </c>
      <c r="D37" s="182" t="str" cm="1">
        <f t="array" ref="D37">Common_InputFunctions.Utility_DisplayArrayInTable(Fertiliser_SourceData.Fertiliser_ChemicalCompoundElements_Data(),Table_Fertiliser_ChemicalCompounds[[#Headers],[Fertiliser type f]], 0)</f>
        <v>Ammonia</v>
      </c>
      <c r="E37" s="182" cm="1">
        <f t="array" ref="E37">Common_InputFunctions.Utility_DisplayArrayInTable(Fertiliser_SourceData.Fertiliser_ChemicalCompoundElements_Data(),Table_Fertiliser_ChemicalCompounds[[#Headers],[Fertiliser type f]], 0)</f>
        <v>0.82350000000000001</v>
      </c>
      <c r="F37" s="182" cm="1">
        <f t="array" ref="F37">Common_InputFunctions.Utility_DisplayArrayInTable(Fertiliser_SourceData.Fertiliser_ChemicalCompoundElements_Data(),Table_Fertiliser_ChemicalCompounds[[#Headers],[Fertiliser type f]], 0)</f>
        <v>0</v>
      </c>
      <c r="G37" s="182" t="str" cm="1">
        <f t="array" ref="G37">Common_InputFunctions.Utility_DisplayArrayInTable(Fertiliser_SourceData.Fertiliser_ChemicalCompoundElements_Data(),Table_Fertiliser_ChemicalCompounds[[#Headers],[Fertiliser type f]], 0)</f>
        <v>Ammonium-based fertilisers</v>
      </c>
      <c r="H37" s="182" t="str" cm="1">
        <f t="array" ref="H37">Common_InputFunctions.Utility_DisplayArrayInTable(Fertiliser_SourceData.Fertiliser_ChemicalCompoundElements_Data(),Table_Fertiliser_ChemicalCompounds[[#Headers],[Fertiliser type f]], 0)</f>
        <v>Ammonia</v>
      </c>
      <c r="I37" s="18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HYPERLINK("#'6.2.1.1-2 Pasture residue N2O'!A1", "6.2.1.1-2 Pasture residue N2O")</f>
        <v>6.2.1.1-2 Pasture residue N2O</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HYPERLINK("#'6.3.1.1-2 Leach runoff pasture'!A1", "6.3.1.1-2 Leach &amp; runoff (pasture)")</f>
        <v>6.3.1.1-2 Leach &amp; runoff (pasture)</v>
      </c>
    </row>
    <row r="40" spans="1:10" ht="20.100000000000001" customHeight="1" x14ac:dyDescent="0.25">
      <c r="A40" s="5" t="str">
        <f>HYPERLINK("#'8.1.1.1-2 Transport fuel'!A1", "8.1.1.1-2 Transport fuel")</f>
        <v>8.1.1.1-2 Transport fuel</v>
      </c>
      <c r="D40" s="2" t="s">
        <v>623</v>
      </c>
      <c r="F40" s="2" t="s">
        <v>624</v>
      </c>
      <c r="H40" s="2" t="s">
        <v>304</v>
      </c>
      <c r="J40" s="2" t="s">
        <v>625</v>
      </c>
    </row>
    <row r="41" spans="1:10" ht="20.100000000000001" customHeight="1" x14ac:dyDescent="0.25">
      <c r="A41" s="5" t="str">
        <f>HYPERLINK("#'8.2.1.1-2 Stationary fuel'!A1", "8.2.1.1-2 Stationary fuel")</f>
        <v>8.2.1.1-2 Stationary fuel</v>
      </c>
      <c r="D41" s="30" t="s">
        <v>188</v>
      </c>
      <c r="F41" s="30" t="s">
        <v>188</v>
      </c>
      <c r="H41" s="30" t="s">
        <v>73</v>
      </c>
      <c r="J41" s="30" t="s">
        <v>626</v>
      </c>
    </row>
    <row r="42" spans="1:10" ht="20.100000000000001" customHeight="1" x14ac:dyDescent="0.25">
      <c r="A42" s="5" t="str">
        <f>HYPERLINK("#'14.1.1-2 Purchased electricity'!A1", "14.1.1-2 Purchased electricity")</f>
        <v>14.1.1-2 Purchased electricity</v>
      </c>
      <c r="D42" s="30" t="s">
        <v>191</v>
      </c>
      <c r="F42" s="30" t="s">
        <v>191</v>
      </c>
      <c r="H42" s="30" t="s">
        <v>310</v>
      </c>
      <c r="J42" s="30" t="s">
        <v>627</v>
      </c>
    </row>
    <row r="43" spans="1:10" ht="20.100000000000001" customHeight="1" x14ac:dyDescent="0.25">
      <c r="A43" s="5" t="str">
        <f>HYPERLINK("#'15 Scope 3'!A1", "15 Scope 3")</f>
        <v>15 Scope 3</v>
      </c>
      <c r="D43" s="1" t="s">
        <v>628</v>
      </c>
      <c r="F43" s="1" t="s">
        <v>629</v>
      </c>
      <c r="H43" s="30" t="s">
        <v>314</v>
      </c>
      <c r="J43" s="1" t="s">
        <v>530</v>
      </c>
    </row>
    <row r="44" spans="1:10" ht="20.100000000000001" customHeight="1" x14ac:dyDescent="0.25">
      <c r="A44" s="5" t="str">
        <f>HYPERLINK("#'Calcs - Manure sent off-site'!A1", "Calcs - Manure sent off-site")</f>
        <v>Calcs - Manure sent off-site</v>
      </c>
      <c r="F44" s="1" t="s">
        <v>630</v>
      </c>
      <c r="H44" s="1" t="s">
        <v>257</v>
      </c>
      <c r="J44" s="1" t="s">
        <v>631</v>
      </c>
    </row>
    <row r="45" spans="1:10" ht="20.100000000000001" customHeight="1" x14ac:dyDescent="0.25">
      <c r="A45" s="5" t="str">
        <f>HYPERLINK("#'10.1.1-2 Solid waste treatment'!A1", "10.1.1-2 Solid waste treatment")</f>
        <v>10.1.1-2 Solid waste treatment</v>
      </c>
      <c r="F45" s="1" t="s">
        <v>632</v>
      </c>
      <c r="H45" s="1" t="s">
        <v>322</v>
      </c>
      <c r="J45" s="1" t="s">
        <v>529</v>
      </c>
    </row>
    <row r="46" spans="1:10" ht="20.100000000000001" customHeight="1" x14ac:dyDescent="0.25">
      <c r="H46" s="1" t="s">
        <v>324</v>
      </c>
      <c r="J46" s="1" t="s">
        <v>531</v>
      </c>
    </row>
    <row r="47" spans="1:10" ht="20.100000000000001" customHeight="1" x14ac:dyDescent="0.25"/>
    <row r="48" spans="1:10" ht="20.100000000000001" customHeight="1" x14ac:dyDescent="0.25">
      <c r="A48" s="96" t="s">
        <v>1</v>
      </c>
      <c r="D48" s="2" t="str" cm="1">
        <f t="array" ref="D48">Fertiliser_SourceData.Fertiliser_FracGASF_Title()</f>
        <v>Fraction of inorganic fertiliser that volatilises as NH3 and NOx</v>
      </c>
      <c r="G48" s="173"/>
    </row>
    <row r="49" spans="1:8" ht="20.100000000000001" customHeight="1" x14ac:dyDescent="0.25">
      <c r="A49" s="5" t="str">
        <f>HYPERLINK("#'Constants - Pasture Beef'!A1", "Constants - Pasture Beef")</f>
        <v>Constants - Pasture Beef</v>
      </c>
      <c r="D49" s="27" t="str" cm="1">
        <f t="array" ref="D49">Fertiliser_SourceData.Fertiliser_FracGASF_Source()</f>
        <v>Table A.2.2.6: Fraction of inorganic fertiliser f that volatilises as NH3 and NOx ((kg NH3-N + NOx-N)/kg N) (FracGASFf)</v>
      </c>
      <c r="G49" s="173"/>
    </row>
    <row r="50" spans="1:8" ht="20.100000000000001" customHeight="1" x14ac:dyDescent="0.25">
      <c r="A50" s="5" t="str">
        <f>HYPERLINK("#'Constants - Ag Residue'!A1", "Constants - Ag residue")</f>
        <v>Constants - Ag residue</v>
      </c>
      <c r="D50" s="30" t="s">
        <v>536</v>
      </c>
      <c r="E50" s="30" t="s">
        <v>633</v>
      </c>
      <c r="G50" s="173"/>
    </row>
    <row r="51" spans="1:8" ht="20.100000000000001" customHeight="1" x14ac:dyDescent="0.25">
      <c r="A51" s="5" t="str">
        <f>HYPERLINK("#'Constants - Common Livestock'!A1", "Constants - Common Livestock")</f>
        <v>Constants - Common Livestock</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3"/>
    </row>
    <row r="52" spans="1:8" ht="20.100000000000001" customHeight="1" x14ac:dyDescent="0.25">
      <c r="A52" s="5" t="str">
        <f>HYPERLINK("#'Constants - Electricity'!A1", "Constants - Electricity")</f>
        <v>Constants - Electricity</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3"/>
    </row>
    <row r="53" spans="1:8" ht="20.100000000000001" customHeight="1" x14ac:dyDescent="0.25">
      <c r="A53" s="121" t="str">
        <f>HYPERLINK("#'Constants - Fertiliser'!A1", "Constants - Fertiliser")</f>
        <v>Constants - Fertiliser</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3"/>
    </row>
    <row r="54" spans="1:8" ht="20.100000000000001" customHeight="1" x14ac:dyDescent="0.25">
      <c r="A54" s="5" t="str">
        <f>HYPERLINK("#'Constants - Fuel'!A1", "Constants - Fuel")</f>
        <v>Constants - Fuel</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3"/>
      <c r="H54" s="173"/>
    </row>
    <row r="55" spans="1:8" ht="20.100000000000001" customHeight="1" x14ac:dyDescent="0.25">
      <c r="A55" s="5" t="str">
        <f>HYPERLINK("#'Constants - Scope 3'!A1", "Constants - Scope 3")</f>
        <v>Constants - Scope 3</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3"/>
      <c r="H55" s="173"/>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row>
    <row r="58" spans="1:8" ht="20.100000000000001"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583</v>
      </c>
      <c r="E65" s="30" t="s">
        <v>634</v>
      </c>
      <c r="F65" s="30" t="s">
        <v>635</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636</v>
      </c>
    </row>
    <row r="87" spans="4:31" ht="20.100000000000001" customHeight="1" x14ac:dyDescent="0.25">
      <c r="D87" s="2" t="s">
        <v>637</v>
      </c>
      <c r="E87" s="173"/>
      <c r="F87" s="173"/>
      <c r="G87" s="173"/>
      <c r="H87" s="173"/>
      <c r="I87" s="173"/>
      <c r="J87" s="173"/>
      <c r="K87" s="173"/>
      <c r="L87" s="173"/>
      <c r="N87" s="173" t="s">
        <v>636</v>
      </c>
      <c r="O87" s="173"/>
      <c r="P87" s="173"/>
      <c r="Q87" s="173"/>
      <c r="R87" s="173"/>
      <c r="S87" s="173"/>
      <c r="T87" s="173"/>
      <c r="U87" s="173"/>
    </row>
    <row r="88" spans="4:31" ht="20.100000000000001" customHeight="1" x14ac:dyDescent="0.25">
      <c r="D88" s="173"/>
    </row>
    <row r="89" spans="4:31" ht="20.100000000000001" customHeight="1" x14ac:dyDescent="0.25">
      <c r="D89" s="183" t="s">
        <v>638</v>
      </c>
      <c r="E89" s="30" t="s">
        <v>639</v>
      </c>
      <c r="F89" s="30" t="s">
        <v>640</v>
      </c>
      <c r="G89" s="136" t="s">
        <v>641</v>
      </c>
      <c r="H89" s="136" t="s">
        <v>131</v>
      </c>
      <c r="I89" s="136" t="s">
        <v>642</v>
      </c>
      <c r="J89" s="136" t="s">
        <v>490</v>
      </c>
      <c r="K89" s="136" t="s">
        <v>491</v>
      </c>
      <c r="L89" s="136" t="s">
        <v>477</v>
      </c>
      <c r="M89" s="136" t="s">
        <v>478</v>
      </c>
      <c r="N89" s="136" t="s">
        <v>479</v>
      </c>
      <c r="O89" s="30" t="s">
        <v>480</v>
      </c>
      <c r="P89" s="30" t="s">
        <v>481</v>
      </c>
      <c r="Q89" s="30" t="s">
        <v>482</v>
      </c>
      <c r="R89" s="136" t="s">
        <v>483</v>
      </c>
      <c r="S89" s="136" t="s">
        <v>484</v>
      </c>
      <c r="T89" s="30" t="s">
        <v>485</v>
      </c>
      <c r="U89" s="136" t="s">
        <v>486</v>
      </c>
      <c r="V89" s="136" t="s">
        <v>487</v>
      </c>
      <c r="W89" s="136" t="s">
        <v>488</v>
      </c>
      <c r="X89" s="136" t="s">
        <v>643</v>
      </c>
      <c r="Y89" s="136" t="s">
        <v>644</v>
      </c>
      <c r="Z89" s="30" t="s">
        <v>645</v>
      </c>
      <c r="AA89" s="30" t="s">
        <v>646</v>
      </c>
      <c r="AB89" s="30" t="s">
        <v>647</v>
      </c>
      <c r="AC89" s="30" t="s">
        <v>648</v>
      </c>
      <c r="AD89" s="30" t="s">
        <v>649</v>
      </c>
      <c r="AE89" s="30" t="s">
        <v>650</v>
      </c>
    </row>
    <row r="90" spans="4:31" ht="20.100000000000001" customHeight="1" x14ac:dyDescent="0.25">
      <c r="D90" s="182" t="str" cm="1">
        <f t="array" ref="D90">Common_InputFunctions.Utility_DisplayArrayInTable(Fertiliser_SourceData.Fertiliser_Products_Data1(),FertiliserProducts[[#Headers],[Include or Exclude]], -1)</f>
        <v>Include</v>
      </c>
      <c r="E90" s="182" t="str" cm="1">
        <f t="array" ref="E90">Common_InputFunctions.Utility_DisplayArrayInTable(Fertiliser_SourceData.Fertiliser_Products_Data1(),FertiliserProducts[[#Headers],[Include or Exclude]], 0)</f>
        <v/>
      </c>
      <c r="F90" s="182" t="str" cm="1">
        <f t="array" ref="F90">Common_InputFunctions.Utility_DisplayArrayInTable(Fertiliser_SourceData.Fertiliser_Products_Data1(),FertiliserProducts[[#Headers],[Include or Exclude]], 0)</f>
        <v>Campbells fertilisers Australia</v>
      </c>
      <c r="G90" s="182" t="str" cm="1">
        <f t="array" ref="G90">Common_InputFunctions.Utility_DisplayArrayInTable(Fertiliser_SourceData.Fertiliser_Products_Data1(),FertiliserProducts[[#Headers],[Include or Exclude]], 0)</f>
        <v>Aqua Finish</v>
      </c>
      <c r="H90" s="182" t="str" cm="1">
        <f t="array" ref="H90">Common_InputFunctions.Utility_DisplayArrayInTable(Fertiliser_SourceData.Fertiliser_Products_Data1(),FertiliserProducts[[#Headers],[Include or Exclude]], 0,4)</f>
        <v>L</v>
      </c>
      <c r="I90" s="182" cm="1">
        <f t="array" ref="I90">Common_InputFunctions.Utility_DisplayArrayInTable(Fertiliser_SourceData.Fertiliser_Products_Data1(),FertiliserProducts[[#Headers],[Include or Exclude]], 0,4)</f>
        <v>1.26</v>
      </c>
      <c r="J90" s="182" t="str" cm="1">
        <f t="array" ref="J90">Common_InputFunctions.Utility_DisplayArrayInTable(Fertiliser_SourceData.Fertiliser_Products_Data1(),FertiliserProducts[[#Headers],[Include or Exclude]], 0,4)</f>
        <v/>
      </c>
      <c r="K90" s="182" t="str" cm="1">
        <f t="array" ref="K90">Common_InputFunctions.Utility_DisplayArrayInTable(Fertiliser_SourceData.Fertiliser_Products_Data1(),FertiliserProducts[[#Headers],[Include or Exclude]], 0,4)</f>
        <v/>
      </c>
      <c r="L90" s="182" t="str" cm="1">
        <f t="array" ref="L90">Common_InputFunctions.Utility_DisplayArrayInTable(Fertiliser_SourceData.Fertiliser_Products_Data1(),FertiliserProducts[[#Headers],[Include or Exclude]], 0,4)</f>
        <v>Potassium - Generic</v>
      </c>
      <c r="M90" s="182" cm="1">
        <f t="array" ref="M90">Common_InputFunctions.Utility_DisplayArrayInTable(Fertiliser_SourceData.Fertiliser_Products_Data1(),FertiliserProducts[[#Headers],[Include or Exclude]], 0,4)</f>
        <v>0.22500000000000001</v>
      </c>
      <c r="N90" s="182" t="str" cm="1">
        <f t="array" ref="N90">Common_InputFunctions.Utility_DisplayArrayInTable(Fertiliser_SourceData.Fertiliser_Products_Data1(),FertiliserProducts[[#Headers],[Include or Exclude]], 0,4)</f>
        <v>Phosphorus - Generic</v>
      </c>
      <c r="O90" s="182" cm="1">
        <f t="array" ref="O90">Common_InputFunctions.Utility_DisplayArrayInTable(Fertiliser_SourceData.Fertiliser_Products_Data1(),FertiliserProducts[[#Headers],[Include or Exclude]], 0,4)</f>
        <v>0.04</v>
      </c>
      <c r="P90" s="182" t="str" cm="1">
        <f t="array" ref="P90">Common_InputFunctions.Utility_DisplayArrayInTable(Fertiliser_SourceData.Fertiliser_Products_Data1(),FertiliserProducts[[#Headers],[Include or Exclude]], 0,4)</f>
        <v>Nitrogen - Generic</v>
      </c>
      <c r="Q90" s="182" cm="1">
        <f t="array" ref="Q90">Common_InputFunctions.Utility_DisplayArrayInTable(Fertiliser_SourceData.Fertiliser_Products_Data1(),FertiliserProducts[[#Headers],[Include or Exclude]], 0,4)</f>
        <v>2.5999999999999999E-2</v>
      </c>
      <c r="R90" s="182" t="str" cm="1">
        <f t="array" ref="R90">Common_InputFunctions.Utility_DisplayArrayInTable(Fertiliser_SourceData.Fertiliser_Products_Data1(),FertiliserProducts[[#Headers],[Include or Exclude]], 0,4)</f>
        <v/>
      </c>
      <c r="S90" s="182" t="str" cm="1">
        <f t="array" ref="S90">Common_InputFunctions.Utility_DisplayArrayInTable(Fertiliser_SourceData.Fertiliser_Products_Data1(),FertiliserProducts[[#Headers],[Include or Exclude]], 0,4)</f>
        <v/>
      </c>
      <c r="T90" s="182" t="str" cm="1">
        <f t="array" ref="T90">Common_InputFunctions.Utility_DisplayArrayInTable(Fertiliser_SourceData.Fertiliser_Products_Data1(),FertiliserProducts[[#Headers],[Include or Exclude]], 0,4)</f>
        <v/>
      </c>
      <c r="U90" s="182" t="str" cm="1">
        <f t="array" ref="U90">Common_InputFunctions.Utility_DisplayArrayInTable(Fertiliser_SourceData.Fertiliser_Products_Data1(),FertiliserProducts[[#Headers],[Include or Exclude]], 0,4)</f>
        <v/>
      </c>
      <c r="V90" s="182" t="str" cm="1">
        <f t="array" ref="V90">Common_InputFunctions.Utility_DisplayArrayInTable(Fertiliser_SourceData.Fertiliser_Products_Data1(),FertiliserProducts[[#Headers],[Include or Exclude]], 0,4)</f>
        <v/>
      </c>
      <c r="W90" s="182" t="str" cm="1">
        <f t="array" ref="W90">Common_InputFunctions.Utility_DisplayArrayInTable(Fertiliser_SourceData.Fertiliser_Products_Data1(),FertiliserProducts[[#Headers],[Include or Exclude]], 0,4)</f>
        <v/>
      </c>
      <c r="X90" s="182" t="str" cm="1">
        <f t="array" ref="X90">Common_InputFunctions.Utility_DisplayArrayInTable(Fertiliser_SourceData.Fertiliser_Products_Data1(),FertiliserProducts[[#Headers],[Include or Exclude]], 0,4)</f>
        <v/>
      </c>
      <c r="Y90" s="182" t="str" cm="1">
        <f t="array" ref="Y90">Common_InputFunctions.Utility_DisplayArrayInTable(Fertiliser_SourceData.Fertiliser_Products_Data1(),FertiliserProducts[[#Headers],[Include or Exclude]], 0,4)</f>
        <v/>
      </c>
      <c r="Z90" s="182" t="str" cm="1">
        <f t="array" ref="Z90">Common_InputFunctions.Utility_DisplayArrayInTable(Fertiliser_SourceData.Fertiliser_Products_Data1(),FertiliserProducts[[#Headers],[Include or Exclude]], 0,4)</f>
        <v/>
      </c>
      <c r="AA90" s="182" t="str" cm="1">
        <f t="array" ref="AA90">Common_InputFunctions.Utility_DisplayArrayInTable(Fertiliser_SourceData.Fertiliser_Products_Data1(),FertiliserProducts[[#Headers],[Include or Exclude]], 0,4)</f>
        <v/>
      </c>
      <c r="AB90" s="182" t="str" cm="1">
        <f t="array" ref="AB90">Common_InputFunctions.Utility_DisplayArrayInTable(Fertiliser_SourceData.Fertiliser_Products_Data1(),FertiliserProducts[[#Headers],[Include or Exclude]], 0,4)</f>
        <v/>
      </c>
      <c r="AC90" s="182" t="str" cm="1">
        <f t="array" ref="AC90">Common_InputFunctions.Utility_DisplayArrayInTable(Fertiliser_SourceData.Fertiliser_Products_Data1(),FertiliserProducts[[#Headers],[Include or Exclude]], 0,4)</f>
        <v/>
      </c>
      <c r="AD90" s="182" t="str" cm="1">
        <f t="array" ref="AD90">Common_InputFunctions.Utility_DisplayArrayInTable(Fertiliser_SourceData.Fertiliser_Products_Data1(),FertiliserProducts[[#Headers],[Include or Exclude]], 0,4)</f>
        <v/>
      </c>
      <c r="AE90" s="182" t="str" cm="1">
        <f t="array" ref="AE90">Common_InputFunctions.Utility_DisplayArrayInTable(Fertiliser_SourceData.Fertiliser_Products_Data1(),FertiliserProducts[[#Headers],[Include or Exclude]], 0,4)</f>
        <v/>
      </c>
    </row>
    <row r="91" spans="4:31" ht="20.100000000000001" customHeight="1" x14ac:dyDescent="0.25">
      <c r="D91" s="182" t="str" cm="1">
        <f t="array" ref="D91">Common_InputFunctions.Utility_DisplayArrayInTable(Fertiliser_SourceData.Fertiliser_Products_Data1(),FertiliserProducts[[#Headers],[Include or Exclude]], -1)</f>
        <v>Include</v>
      </c>
      <c r="E91" s="182" t="str" cm="1">
        <f t="array" ref="E91">Common_InputFunctions.Utility_DisplayArrayInTable(Fertiliser_SourceData.Fertiliser_Products_Data1(),FertiliserProducts[[#Headers],[Include or Exclude]], 0)</f>
        <v/>
      </c>
      <c r="F91" s="182" t="str" cm="1">
        <f t="array" ref="F91">Common_InputFunctions.Utility_DisplayArrayInTable(Fertiliser_SourceData.Fertiliser_Products_Data1(),FertiliserProducts[[#Headers],[Include or Exclude]], 0)</f>
        <v>Campbells fertilisers Australia</v>
      </c>
      <c r="G91" s="182" t="str" cm="1">
        <f t="array" ref="G91">Common_InputFunctions.Utility_DisplayArrayInTable(Fertiliser_SourceData.Fertiliser_Products_Data1(),FertiliserProducts[[#Headers],[Include or Exclude]], 0)</f>
        <v>Aqua Grow</v>
      </c>
      <c r="H91" s="182" t="str" cm="1">
        <f t="array" ref="H91">Common_InputFunctions.Utility_DisplayArrayInTable(Fertiliser_SourceData.Fertiliser_Products_Data1(),FertiliserProducts[[#Headers],[Include or Exclude]], 0,4)</f>
        <v>L</v>
      </c>
      <c r="I91" s="182" cm="1">
        <f t="array" ref="I91">Common_InputFunctions.Utility_DisplayArrayInTable(Fertiliser_SourceData.Fertiliser_Products_Data1(),FertiliserProducts[[#Headers],[Include or Exclude]], 0,4)</f>
        <v>1.26</v>
      </c>
      <c r="J91" s="182" t="str" cm="1">
        <f t="array" ref="J91">Common_InputFunctions.Utility_DisplayArrayInTable(Fertiliser_SourceData.Fertiliser_Products_Data1(),FertiliserProducts[[#Headers],[Include or Exclude]], 0,4)</f>
        <v/>
      </c>
      <c r="K91" s="182" t="str" cm="1">
        <f t="array" ref="K91">Common_InputFunctions.Utility_DisplayArrayInTable(Fertiliser_SourceData.Fertiliser_Products_Data1(),FertiliserProducts[[#Headers],[Include or Exclude]], 0,4)</f>
        <v/>
      </c>
      <c r="L91" s="182" t="str" cm="1">
        <f t="array" ref="L91">Common_InputFunctions.Utility_DisplayArrayInTable(Fertiliser_SourceData.Fertiliser_Products_Data1(),FertiliserProducts[[#Headers],[Include or Exclude]], 0,4)</f>
        <v>Potassium - Generic</v>
      </c>
      <c r="M91" s="182" cm="1">
        <f t="array" ref="M91">Common_InputFunctions.Utility_DisplayArrayInTable(Fertiliser_SourceData.Fertiliser_Products_Data1(),FertiliserProducts[[#Headers],[Include or Exclude]], 0,4)</f>
        <v>0.105</v>
      </c>
      <c r="N91" s="182" t="str" cm="1">
        <f t="array" ref="N91">Common_InputFunctions.Utility_DisplayArrayInTable(Fertiliser_SourceData.Fertiliser_Products_Data1(),FertiliserProducts[[#Headers],[Include or Exclude]], 0,4)</f>
        <v>Nitrogen - Generic</v>
      </c>
      <c r="O91" s="182" cm="1">
        <f t="array" ref="O91">Common_InputFunctions.Utility_DisplayArrayInTable(Fertiliser_SourceData.Fertiliser_Products_Data1(),FertiliserProducts[[#Headers],[Include or Exclude]], 0,4)</f>
        <v>9.6000000000000002E-2</v>
      </c>
      <c r="P91" s="182" t="str" cm="1">
        <f t="array" ref="P91">Common_InputFunctions.Utility_DisplayArrayInTable(Fertiliser_SourceData.Fertiliser_Products_Data1(),FertiliserProducts[[#Headers],[Include or Exclude]], 0,4)</f>
        <v>Phosphorus - Generic</v>
      </c>
      <c r="Q91" s="182" cm="1">
        <f t="array" ref="Q91">Common_InputFunctions.Utility_DisplayArrayInTable(Fertiliser_SourceData.Fertiliser_Products_Data1(),FertiliserProducts[[#Headers],[Include or Exclude]], 0,4)</f>
        <v>0.05</v>
      </c>
      <c r="R91" s="182" t="str" cm="1">
        <f t="array" ref="R91">Common_InputFunctions.Utility_DisplayArrayInTable(Fertiliser_SourceData.Fertiliser_Products_Data1(),FertiliserProducts[[#Headers],[Include or Exclude]], 0,4)</f>
        <v/>
      </c>
      <c r="S91" s="182" t="str" cm="1">
        <f t="array" ref="S91">Common_InputFunctions.Utility_DisplayArrayInTable(Fertiliser_SourceData.Fertiliser_Products_Data1(),FertiliserProducts[[#Headers],[Include or Exclude]], 0,4)</f>
        <v/>
      </c>
      <c r="T91" s="182" t="str" cm="1">
        <f t="array" ref="T91">Common_InputFunctions.Utility_DisplayArrayInTable(Fertiliser_SourceData.Fertiliser_Products_Data1(),FertiliserProducts[[#Headers],[Include or Exclude]], 0,4)</f>
        <v/>
      </c>
      <c r="U91" s="182" t="str" cm="1">
        <f t="array" ref="U91">Common_InputFunctions.Utility_DisplayArrayInTable(Fertiliser_SourceData.Fertiliser_Products_Data1(),FertiliserProducts[[#Headers],[Include or Exclude]], 0,4)</f>
        <v/>
      </c>
      <c r="V91" s="182" t="str" cm="1">
        <f t="array" ref="V91">Common_InputFunctions.Utility_DisplayArrayInTable(Fertiliser_SourceData.Fertiliser_Products_Data1(),FertiliserProducts[[#Headers],[Include or Exclude]], 0,4)</f>
        <v/>
      </c>
      <c r="W91" s="182" t="str" cm="1">
        <f t="array" ref="W91">Common_InputFunctions.Utility_DisplayArrayInTable(Fertiliser_SourceData.Fertiliser_Products_Data1(),FertiliserProducts[[#Headers],[Include or Exclude]], 0,4)</f>
        <v/>
      </c>
      <c r="X91" s="182" t="str" cm="1">
        <f t="array" ref="X91">Common_InputFunctions.Utility_DisplayArrayInTable(Fertiliser_SourceData.Fertiliser_Products_Data1(),FertiliserProducts[[#Headers],[Include or Exclude]], 0,4)</f>
        <v/>
      </c>
      <c r="Y91" s="182" t="str" cm="1">
        <f t="array" ref="Y91">Common_InputFunctions.Utility_DisplayArrayInTable(Fertiliser_SourceData.Fertiliser_Products_Data1(),FertiliserProducts[[#Headers],[Include or Exclude]], 0,4)</f>
        <v/>
      </c>
      <c r="Z91" s="182" t="str" cm="1">
        <f t="array" ref="Z91">Common_InputFunctions.Utility_DisplayArrayInTable(Fertiliser_SourceData.Fertiliser_Products_Data1(),FertiliserProducts[[#Headers],[Include or Exclude]], 0,4)</f>
        <v/>
      </c>
      <c r="AA91" s="182" t="str" cm="1">
        <f t="array" ref="AA91">Common_InputFunctions.Utility_DisplayArrayInTable(Fertiliser_SourceData.Fertiliser_Products_Data1(),FertiliserProducts[[#Headers],[Include or Exclude]], 0,4)</f>
        <v/>
      </c>
      <c r="AB91" s="182" t="str" cm="1">
        <f t="array" ref="AB91">Common_InputFunctions.Utility_DisplayArrayInTable(Fertiliser_SourceData.Fertiliser_Products_Data1(),FertiliserProducts[[#Headers],[Include or Exclude]], 0,4)</f>
        <v/>
      </c>
      <c r="AC91" s="182" t="str" cm="1">
        <f t="array" ref="AC91">Common_InputFunctions.Utility_DisplayArrayInTable(Fertiliser_SourceData.Fertiliser_Products_Data1(),FertiliserProducts[[#Headers],[Include or Exclude]], 0,4)</f>
        <v/>
      </c>
      <c r="AD91" s="182" t="str" cm="1">
        <f t="array" ref="AD91">Common_InputFunctions.Utility_DisplayArrayInTable(Fertiliser_SourceData.Fertiliser_Products_Data1(),FertiliserProducts[[#Headers],[Include or Exclude]], 0,4)</f>
        <v/>
      </c>
      <c r="AE91" s="182" t="str" cm="1">
        <f t="array" ref="AE91">Common_InputFunctions.Utility_DisplayArrayInTable(Fertiliser_SourceData.Fertiliser_Products_Data1(),FertiliserProducts[[#Headers],[Include or Exclude]], 0,4)</f>
        <v/>
      </c>
    </row>
    <row r="92" spans="4:31" ht="20.100000000000001" customHeight="1" x14ac:dyDescent="0.25">
      <c r="D92" s="182" t="str" cm="1">
        <f t="array" ref="D92">Common_InputFunctions.Utility_DisplayArrayInTable(Fertiliser_SourceData.Fertiliser_Products_Data1(),FertiliserProducts[[#Headers],[Include or Exclude]], -1)</f>
        <v>Include</v>
      </c>
      <c r="E92" s="182" t="str" cm="1">
        <f t="array" ref="E92">Common_InputFunctions.Utility_DisplayArrayInTable(Fertiliser_SourceData.Fertiliser_Products_Data1(),FertiliserProducts[[#Headers],[Include or Exclude]], 0)</f>
        <v/>
      </c>
      <c r="F92" s="182" t="str" cm="1">
        <f t="array" ref="F92">Common_InputFunctions.Utility_DisplayArrayInTable(Fertiliser_SourceData.Fertiliser_Products_Data1(),FertiliserProducts[[#Headers],[Include or Exclude]], 0)</f>
        <v>Campbells fertilisers Australia</v>
      </c>
      <c r="G92" s="182" t="str" cm="1">
        <f t="array" ref="G92">Common_InputFunctions.Utility_DisplayArrayInTable(Fertiliser_SourceData.Fertiliser_Products_Data1(),FertiliserProducts[[#Headers],[Include or Exclude]], 0)</f>
        <v>Aqua Nitro AN</v>
      </c>
      <c r="H92" s="182" t="str" cm="1">
        <f t="array" ref="H92">Common_InputFunctions.Utility_DisplayArrayInTable(Fertiliser_SourceData.Fertiliser_Products_Data1(),FertiliserProducts[[#Headers],[Include or Exclude]], 0,4)</f>
        <v>L</v>
      </c>
      <c r="I92" s="182" cm="1">
        <f t="array" ref="I92">Common_InputFunctions.Utility_DisplayArrayInTable(Fertiliser_SourceData.Fertiliser_Products_Data1(),FertiliserProducts[[#Headers],[Include or Exclude]], 0,4)</f>
        <v>1.24</v>
      </c>
      <c r="J92" s="182" t="str" cm="1">
        <f t="array" ref="J92">Common_InputFunctions.Utility_DisplayArrayInTable(Fertiliser_SourceData.Fertiliser_Products_Data1(),FertiliserProducts[[#Headers],[Include or Exclude]], 0,4)</f>
        <v/>
      </c>
      <c r="K92" s="182" t="str" cm="1">
        <f t="array" ref="K92">Common_InputFunctions.Utility_DisplayArrayInTable(Fertiliser_SourceData.Fertiliser_Products_Data1(),FertiliserProducts[[#Headers],[Include or Exclude]], 0,4)</f>
        <v/>
      </c>
      <c r="L92" s="182" t="str" cm="1">
        <f t="array" ref="L92">Common_InputFunctions.Utility_DisplayArrayInTable(Fertiliser_SourceData.Fertiliser_Products_Data1(),FertiliserProducts[[#Headers],[Include or Exclude]], 0,4)</f>
        <v>Nitrogen - Ammoniacal</v>
      </c>
      <c r="M92" s="182" cm="1">
        <f t="array" ref="M92">Common_InputFunctions.Utility_DisplayArrayInTable(Fertiliser_SourceData.Fertiliser_Products_Data1(),FertiliserProducts[[#Headers],[Include or Exclude]], 0,4)</f>
        <v>0.223</v>
      </c>
      <c r="N92" s="182" t="str" cm="1">
        <f t="array" ref="N92">Common_InputFunctions.Utility_DisplayArrayInTable(Fertiliser_SourceData.Fertiliser_Products_Data1(),FertiliserProducts[[#Headers],[Include or Exclude]], 0,4)</f>
        <v/>
      </c>
      <c r="O92" s="182" t="str" cm="1">
        <f t="array" ref="O92">Common_InputFunctions.Utility_DisplayArrayInTable(Fertiliser_SourceData.Fertiliser_Products_Data1(),FertiliserProducts[[#Headers],[Include or Exclude]], 0,4)</f>
        <v/>
      </c>
      <c r="P92" s="182" t="str" cm="1">
        <f t="array" ref="P92">Common_InputFunctions.Utility_DisplayArrayInTable(Fertiliser_SourceData.Fertiliser_Products_Data1(),FertiliserProducts[[#Headers],[Include or Exclude]], 0,4)</f>
        <v/>
      </c>
      <c r="Q92" s="182" t="str" cm="1">
        <f t="array" ref="Q92">Common_InputFunctions.Utility_DisplayArrayInTable(Fertiliser_SourceData.Fertiliser_Products_Data1(),FertiliserProducts[[#Headers],[Include or Exclude]], 0,4)</f>
        <v/>
      </c>
      <c r="R92" s="182" t="str" cm="1">
        <f t="array" ref="R92">Common_InputFunctions.Utility_DisplayArrayInTable(Fertiliser_SourceData.Fertiliser_Products_Data1(),FertiliserProducts[[#Headers],[Include or Exclude]], 0,4)</f>
        <v/>
      </c>
      <c r="S92" s="182" t="str" cm="1">
        <f t="array" ref="S92">Common_InputFunctions.Utility_DisplayArrayInTable(Fertiliser_SourceData.Fertiliser_Products_Data1(),FertiliserProducts[[#Headers],[Include or Exclude]], 0,4)</f>
        <v/>
      </c>
      <c r="T92" s="182" t="str" cm="1">
        <f t="array" ref="T92">Common_InputFunctions.Utility_DisplayArrayInTable(Fertiliser_SourceData.Fertiliser_Products_Data1(),FertiliserProducts[[#Headers],[Include or Exclude]], 0,4)</f>
        <v/>
      </c>
      <c r="U92" s="182" t="str" cm="1">
        <f t="array" ref="U92">Common_InputFunctions.Utility_DisplayArrayInTable(Fertiliser_SourceData.Fertiliser_Products_Data1(),FertiliserProducts[[#Headers],[Include or Exclude]], 0,4)</f>
        <v/>
      </c>
      <c r="V92" s="182" t="str" cm="1">
        <f t="array" ref="V92">Common_InputFunctions.Utility_DisplayArrayInTable(Fertiliser_SourceData.Fertiliser_Products_Data1(),FertiliserProducts[[#Headers],[Include or Exclude]], 0,4)</f>
        <v/>
      </c>
      <c r="W92" s="182" t="str" cm="1">
        <f t="array" ref="W92">Common_InputFunctions.Utility_DisplayArrayInTable(Fertiliser_SourceData.Fertiliser_Products_Data1(),FertiliserProducts[[#Headers],[Include or Exclude]], 0,4)</f>
        <v/>
      </c>
      <c r="X92" s="182" t="str" cm="1">
        <f t="array" ref="X92">Common_InputFunctions.Utility_DisplayArrayInTable(Fertiliser_SourceData.Fertiliser_Products_Data1(),FertiliserProducts[[#Headers],[Include or Exclude]], 0,4)</f>
        <v/>
      </c>
      <c r="Y92" s="182" t="str" cm="1">
        <f t="array" ref="Y92">Common_InputFunctions.Utility_DisplayArrayInTable(Fertiliser_SourceData.Fertiliser_Products_Data1(),FertiliserProducts[[#Headers],[Include or Exclude]], 0,4)</f>
        <v/>
      </c>
      <c r="Z92" s="182" t="str" cm="1">
        <f t="array" ref="Z92">Common_InputFunctions.Utility_DisplayArrayInTable(Fertiliser_SourceData.Fertiliser_Products_Data1(),FertiliserProducts[[#Headers],[Include or Exclude]], 0,4)</f>
        <v/>
      </c>
      <c r="AA92" s="182" t="str" cm="1">
        <f t="array" ref="AA92">Common_InputFunctions.Utility_DisplayArrayInTable(Fertiliser_SourceData.Fertiliser_Products_Data1(),FertiliserProducts[[#Headers],[Include or Exclude]], 0,4)</f>
        <v/>
      </c>
      <c r="AB92" s="182" t="str" cm="1">
        <f t="array" ref="AB92">Common_InputFunctions.Utility_DisplayArrayInTable(Fertiliser_SourceData.Fertiliser_Products_Data1(),FertiliserProducts[[#Headers],[Include or Exclude]], 0,4)</f>
        <v/>
      </c>
      <c r="AC92" s="182" t="str" cm="1">
        <f t="array" ref="AC92">Common_InputFunctions.Utility_DisplayArrayInTable(Fertiliser_SourceData.Fertiliser_Products_Data1(),FertiliserProducts[[#Headers],[Include or Exclude]], 0,4)</f>
        <v/>
      </c>
      <c r="AD92" s="182" t="str" cm="1">
        <f t="array" ref="AD92">Common_InputFunctions.Utility_DisplayArrayInTable(Fertiliser_SourceData.Fertiliser_Products_Data1(),FertiliserProducts[[#Headers],[Include or Exclude]], 0,4)</f>
        <v/>
      </c>
      <c r="AE92" s="182" t="str" cm="1">
        <f t="array" ref="AE92">Common_InputFunctions.Utility_DisplayArrayInTable(Fertiliser_SourceData.Fertiliser_Products_Data1(),FertiliserProducts[[#Headers],[Include or Exclude]], 0,4)</f>
        <v/>
      </c>
    </row>
    <row r="93" spans="4:31" ht="20.100000000000001" customHeight="1" x14ac:dyDescent="0.25">
      <c r="D93" s="182" t="str" cm="1">
        <f t="array" ref="D93">Common_InputFunctions.Utility_DisplayArrayInTable(Fertiliser_SourceData.Fertiliser_Products_Data1(),FertiliserProducts[[#Headers],[Include or Exclude]], -1)</f>
        <v>Include</v>
      </c>
      <c r="E93" s="182" t="str" cm="1">
        <f t="array" ref="E93">Common_InputFunctions.Utility_DisplayArrayInTable(Fertiliser_SourceData.Fertiliser_Products_Data1(),FertiliserProducts[[#Headers],[Include or Exclude]], 0)</f>
        <v>Use Lime EF for calcium</v>
      </c>
      <c r="F93" s="182" t="str" cm="1">
        <f t="array" ref="F93">Common_InputFunctions.Utility_DisplayArrayInTable(Fertiliser_SourceData.Fertiliser_Products_Data1(),FertiliserProducts[[#Headers],[Include or Exclude]], 0)</f>
        <v>Campbells fertilisers Australia</v>
      </c>
      <c r="G93" s="182" t="str" cm="1">
        <f t="array" ref="G93">Common_InputFunctions.Utility_DisplayArrayInTable(Fertiliser_SourceData.Fertiliser_Products_Data1(),FertiliserProducts[[#Headers],[Include or Exclude]], 0)</f>
        <v>Aqua NitroCal</v>
      </c>
      <c r="H93" s="182" t="str" cm="1">
        <f t="array" ref="H93">Common_InputFunctions.Utility_DisplayArrayInTable(Fertiliser_SourceData.Fertiliser_Products_Data1(),FertiliserProducts[[#Headers],[Include or Exclude]], 0,4)</f>
        <v>L</v>
      </c>
      <c r="I93" s="182" cm="1">
        <f t="array" ref="I93">Common_InputFunctions.Utility_DisplayArrayInTable(Fertiliser_SourceData.Fertiliser_Products_Data1(),FertiliserProducts[[#Headers],[Include or Exclude]], 0,4)</f>
        <v>1.5</v>
      </c>
      <c r="J93" s="182" t="str" cm="1">
        <f t="array" ref="J93">Common_InputFunctions.Utility_DisplayArrayInTable(Fertiliser_SourceData.Fertiliser_Products_Data1(),FertiliserProducts[[#Headers],[Include or Exclude]], 0,4)</f>
        <v/>
      </c>
      <c r="K93" s="182" t="str" cm="1">
        <f t="array" ref="K93">Common_InputFunctions.Utility_DisplayArrayInTable(Fertiliser_SourceData.Fertiliser_Products_Data1(),FertiliserProducts[[#Headers],[Include or Exclude]], 0,4)</f>
        <v/>
      </c>
      <c r="L93" s="182" t="str" cm="1">
        <f t="array" ref="L93">Common_InputFunctions.Utility_DisplayArrayInTable(Fertiliser_SourceData.Fertiliser_Products_Data1(),FertiliserProducts[[#Headers],[Include or Exclude]], 0,4)</f>
        <v>Calcium - Generic</v>
      </c>
      <c r="M93" s="182" cm="1">
        <f t="array" ref="M93">Common_InputFunctions.Utility_DisplayArrayInTable(Fertiliser_SourceData.Fertiliser_Products_Data1(),FertiliserProducts[[#Headers],[Include or Exclude]], 0,4)</f>
        <v>0.16200000000000001</v>
      </c>
      <c r="N93" s="182" t="str" cm="1">
        <f t="array" ref="N93">Common_InputFunctions.Utility_DisplayArrayInTable(Fertiliser_SourceData.Fertiliser_Products_Data1(),FertiliserProducts[[#Headers],[Include or Exclude]], 0,4)</f>
        <v>Nitrogen - Nitrate</v>
      </c>
      <c r="O93" s="182" cm="1">
        <f t="array" ref="O93">Common_InputFunctions.Utility_DisplayArrayInTable(Fertiliser_SourceData.Fertiliser_Products_Data1(),FertiliserProducts[[#Headers],[Include or Exclude]], 0,4)</f>
        <v>0.13200000000000001</v>
      </c>
      <c r="P93" s="182" t="str" cm="1">
        <f t="array" ref="P93">Common_InputFunctions.Utility_DisplayArrayInTable(Fertiliser_SourceData.Fertiliser_Products_Data1(),FertiliserProducts[[#Headers],[Include or Exclude]], 0,4)</f>
        <v/>
      </c>
      <c r="Q93" s="182" t="str" cm="1">
        <f t="array" ref="Q93">Common_InputFunctions.Utility_DisplayArrayInTable(Fertiliser_SourceData.Fertiliser_Products_Data1(),FertiliserProducts[[#Headers],[Include or Exclude]], 0,4)</f>
        <v/>
      </c>
      <c r="R93" s="182" t="str" cm="1">
        <f t="array" ref="R93">Common_InputFunctions.Utility_DisplayArrayInTable(Fertiliser_SourceData.Fertiliser_Products_Data1(),FertiliserProducts[[#Headers],[Include or Exclude]], 0,4)</f>
        <v/>
      </c>
      <c r="S93" s="182" t="str" cm="1">
        <f t="array" ref="S93">Common_InputFunctions.Utility_DisplayArrayInTable(Fertiliser_SourceData.Fertiliser_Products_Data1(),FertiliserProducts[[#Headers],[Include or Exclude]], 0,4)</f>
        <v/>
      </c>
      <c r="T93" s="182" t="str" cm="1">
        <f t="array" ref="T93">Common_InputFunctions.Utility_DisplayArrayInTable(Fertiliser_SourceData.Fertiliser_Products_Data1(),FertiliserProducts[[#Headers],[Include or Exclude]], 0,4)</f>
        <v/>
      </c>
      <c r="U93" s="182" t="str" cm="1">
        <f t="array" ref="U93">Common_InputFunctions.Utility_DisplayArrayInTable(Fertiliser_SourceData.Fertiliser_Products_Data1(),FertiliserProducts[[#Headers],[Include or Exclude]], 0,4)</f>
        <v/>
      </c>
      <c r="V93" s="182" t="str" cm="1">
        <f t="array" ref="V93">Common_InputFunctions.Utility_DisplayArrayInTable(Fertiliser_SourceData.Fertiliser_Products_Data1(),FertiliserProducts[[#Headers],[Include or Exclude]], 0,4)</f>
        <v/>
      </c>
      <c r="W93" s="182" t="str" cm="1">
        <f t="array" ref="W93">Common_InputFunctions.Utility_DisplayArrayInTable(Fertiliser_SourceData.Fertiliser_Products_Data1(),FertiliserProducts[[#Headers],[Include or Exclude]], 0,4)</f>
        <v/>
      </c>
      <c r="X93" s="182" t="str" cm="1">
        <f t="array" ref="X93">Common_InputFunctions.Utility_DisplayArrayInTable(Fertiliser_SourceData.Fertiliser_Products_Data1(),FertiliserProducts[[#Headers],[Include or Exclude]], 0,4)</f>
        <v/>
      </c>
      <c r="Y93" s="182" t="str" cm="1">
        <f t="array" ref="Y93">Common_InputFunctions.Utility_DisplayArrayInTable(Fertiliser_SourceData.Fertiliser_Products_Data1(),FertiliserProducts[[#Headers],[Include or Exclude]], 0,4)</f>
        <v/>
      </c>
      <c r="Z93" s="182" t="str" cm="1">
        <f t="array" ref="Z93">Common_InputFunctions.Utility_DisplayArrayInTable(Fertiliser_SourceData.Fertiliser_Products_Data1(),FertiliserProducts[[#Headers],[Include or Exclude]], 0,4)</f>
        <v/>
      </c>
      <c r="AA93" s="182" t="str" cm="1">
        <f t="array" ref="AA93">Common_InputFunctions.Utility_DisplayArrayInTable(Fertiliser_SourceData.Fertiliser_Products_Data1(),FertiliserProducts[[#Headers],[Include or Exclude]], 0,4)</f>
        <v/>
      </c>
      <c r="AB93" s="182" t="str" cm="1">
        <f t="array" ref="AB93">Common_InputFunctions.Utility_DisplayArrayInTable(Fertiliser_SourceData.Fertiliser_Products_Data1(),FertiliserProducts[[#Headers],[Include or Exclude]], 0,4)</f>
        <v/>
      </c>
      <c r="AC93" s="182" t="str" cm="1">
        <f t="array" ref="AC93">Common_InputFunctions.Utility_DisplayArrayInTable(Fertiliser_SourceData.Fertiliser_Products_Data1(),FertiliserProducts[[#Headers],[Include or Exclude]], 0,4)</f>
        <v/>
      </c>
      <c r="AD93" s="182" t="str" cm="1">
        <f t="array" ref="AD93">Common_InputFunctions.Utility_DisplayArrayInTable(Fertiliser_SourceData.Fertiliser_Products_Data1(),FertiliserProducts[[#Headers],[Include or Exclude]], 0,4)</f>
        <v/>
      </c>
      <c r="AE93" s="182" t="str" cm="1">
        <f t="array" ref="AE93">Common_InputFunctions.Utility_DisplayArrayInTable(Fertiliser_SourceData.Fertiliser_Products_Data1(),FertiliserProducts[[#Headers],[Include or Exclude]], 0,4)</f>
        <v/>
      </c>
    </row>
    <row r="94" spans="4:31" ht="20.100000000000001" customHeight="1" x14ac:dyDescent="0.25">
      <c r="D94" s="182" t="str" cm="1">
        <f t="array" ref="D94">Common_InputFunctions.Utility_DisplayArrayInTable(Fertiliser_SourceData.Fertiliser_Products_Data1(),FertiliserProducts[[#Headers],[Include or Exclude]], -1)</f>
        <v>Include</v>
      </c>
      <c r="E94" s="182" t="str" cm="1">
        <f t="array" ref="E94">Common_InputFunctions.Utility_DisplayArrayInTable(Fertiliser_SourceData.Fertiliser_Products_Data1(),FertiliserProducts[[#Headers],[Include or Exclude]], 0)</f>
        <v>Use Lime EF for calcium</v>
      </c>
      <c r="F94" s="182" t="str" cm="1">
        <f t="array" ref="F94">Common_InputFunctions.Utility_DisplayArrayInTable(Fertiliser_SourceData.Fertiliser_Products_Data1(),FertiliserProducts[[#Headers],[Include or Exclude]], 0)</f>
        <v>Campbells fertilisers Australia</v>
      </c>
      <c r="G94" s="182" t="str" cm="1">
        <f t="array" ref="G94">Common_InputFunctions.Utility_DisplayArrayInTable(Fertiliser_SourceData.Fertiliser_Products_Data1(),FertiliserProducts[[#Headers],[Include or Exclude]], 0)</f>
        <v>Aqua NitroCal (VI)</v>
      </c>
      <c r="H94" s="182" t="str" cm="1">
        <f t="array" ref="H94">Common_InputFunctions.Utility_DisplayArrayInTable(Fertiliser_SourceData.Fertiliser_Products_Data1(),FertiliserProducts[[#Headers],[Include or Exclude]], 0,4)</f>
        <v>L</v>
      </c>
      <c r="I94" s="182" cm="1">
        <f t="array" ref="I94">Common_InputFunctions.Utility_DisplayArrayInTable(Fertiliser_SourceData.Fertiliser_Products_Data1(),FertiliserProducts[[#Headers],[Include or Exclude]], 0,4)</f>
        <v>1.5</v>
      </c>
      <c r="J94" s="182" t="str" cm="1">
        <f t="array" ref="J94">Common_InputFunctions.Utility_DisplayArrayInTable(Fertiliser_SourceData.Fertiliser_Products_Data1(),FertiliserProducts[[#Headers],[Include or Exclude]], 0,4)</f>
        <v/>
      </c>
      <c r="K94" s="182" t="str" cm="1">
        <f t="array" ref="K94">Common_InputFunctions.Utility_DisplayArrayInTable(Fertiliser_SourceData.Fertiliser_Products_Data1(),FertiliserProducts[[#Headers],[Include or Exclude]], 0,4)</f>
        <v/>
      </c>
      <c r="L94" s="182" t="str" cm="1">
        <f t="array" ref="L94">Common_InputFunctions.Utility_DisplayArrayInTable(Fertiliser_SourceData.Fertiliser_Products_Data1(),FertiliserProducts[[#Headers],[Include or Exclude]], 0,4)</f>
        <v>Calcium - Generic</v>
      </c>
      <c r="M94" s="182" cm="1">
        <f t="array" ref="M94">Common_InputFunctions.Utility_DisplayArrayInTable(Fertiliser_SourceData.Fertiliser_Products_Data1(),FertiliserProducts[[#Headers],[Include or Exclude]], 0,4)</f>
        <v>0.187</v>
      </c>
      <c r="N94" s="182" t="str" cm="1">
        <f t="array" ref="N94">Common_InputFunctions.Utility_DisplayArrayInTable(Fertiliser_SourceData.Fertiliser_Products_Data1(),FertiliserProducts[[#Headers],[Include or Exclude]], 0,4)</f>
        <v>Nitrogen - Nitrate</v>
      </c>
      <c r="O94" s="182" cm="1">
        <f t="array" ref="O94">Common_InputFunctions.Utility_DisplayArrayInTable(Fertiliser_SourceData.Fertiliser_Products_Data1(),FertiliserProducts[[#Headers],[Include or Exclude]], 0,4)</f>
        <v>0.13200000000000001</v>
      </c>
      <c r="P94" s="182" t="str" cm="1">
        <f t="array" ref="P94">Common_InputFunctions.Utility_DisplayArrayInTable(Fertiliser_SourceData.Fertiliser_Products_Data1(),FertiliserProducts[[#Headers],[Include or Exclude]], 0,4)</f>
        <v/>
      </c>
      <c r="Q94" s="182" t="str" cm="1">
        <f t="array" ref="Q94">Common_InputFunctions.Utility_DisplayArrayInTable(Fertiliser_SourceData.Fertiliser_Products_Data1(),FertiliserProducts[[#Headers],[Include or Exclude]], 0,4)</f>
        <v/>
      </c>
      <c r="R94" s="182" t="str" cm="1">
        <f t="array" ref="R94">Common_InputFunctions.Utility_DisplayArrayInTable(Fertiliser_SourceData.Fertiliser_Products_Data1(),FertiliserProducts[[#Headers],[Include or Exclude]], 0,4)</f>
        <v/>
      </c>
      <c r="S94" s="182" t="str" cm="1">
        <f t="array" ref="S94">Common_InputFunctions.Utility_DisplayArrayInTable(Fertiliser_SourceData.Fertiliser_Products_Data1(),FertiliserProducts[[#Headers],[Include or Exclude]], 0,4)</f>
        <v/>
      </c>
      <c r="T94" s="182" t="str" cm="1">
        <f t="array" ref="T94">Common_InputFunctions.Utility_DisplayArrayInTable(Fertiliser_SourceData.Fertiliser_Products_Data1(),FertiliserProducts[[#Headers],[Include or Exclude]], 0,4)</f>
        <v/>
      </c>
      <c r="U94" s="182" t="str" cm="1">
        <f t="array" ref="U94">Common_InputFunctions.Utility_DisplayArrayInTable(Fertiliser_SourceData.Fertiliser_Products_Data1(),FertiliserProducts[[#Headers],[Include or Exclude]], 0,4)</f>
        <v/>
      </c>
      <c r="V94" s="182" t="str" cm="1">
        <f t="array" ref="V94">Common_InputFunctions.Utility_DisplayArrayInTable(Fertiliser_SourceData.Fertiliser_Products_Data1(),FertiliserProducts[[#Headers],[Include or Exclude]], 0,4)</f>
        <v/>
      </c>
      <c r="W94" s="182" t="str" cm="1">
        <f t="array" ref="W94">Common_InputFunctions.Utility_DisplayArrayInTable(Fertiliser_SourceData.Fertiliser_Products_Data1(),FertiliserProducts[[#Headers],[Include or Exclude]], 0,4)</f>
        <v/>
      </c>
      <c r="X94" s="182" t="str" cm="1">
        <f t="array" ref="X94">Common_InputFunctions.Utility_DisplayArrayInTable(Fertiliser_SourceData.Fertiliser_Products_Data1(),FertiliserProducts[[#Headers],[Include or Exclude]], 0,4)</f>
        <v/>
      </c>
      <c r="Y94" s="182" t="str" cm="1">
        <f t="array" ref="Y94">Common_InputFunctions.Utility_DisplayArrayInTable(Fertiliser_SourceData.Fertiliser_Products_Data1(),FertiliserProducts[[#Headers],[Include or Exclude]], 0,4)</f>
        <v/>
      </c>
      <c r="Z94" s="182" t="str" cm="1">
        <f t="array" ref="Z94">Common_InputFunctions.Utility_DisplayArrayInTable(Fertiliser_SourceData.Fertiliser_Products_Data1(),FertiliserProducts[[#Headers],[Include or Exclude]], 0,4)</f>
        <v/>
      </c>
      <c r="AA94" s="182" t="str" cm="1">
        <f t="array" ref="AA94">Common_InputFunctions.Utility_DisplayArrayInTable(Fertiliser_SourceData.Fertiliser_Products_Data1(),FertiliserProducts[[#Headers],[Include or Exclude]], 0,4)</f>
        <v/>
      </c>
      <c r="AB94" s="182" t="str" cm="1">
        <f t="array" ref="AB94">Common_InputFunctions.Utility_DisplayArrayInTable(Fertiliser_SourceData.Fertiliser_Products_Data1(),FertiliserProducts[[#Headers],[Include or Exclude]], 0,4)</f>
        <v/>
      </c>
      <c r="AC94" s="182" t="str" cm="1">
        <f t="array" ref="AC94">Common_InputFunctions.Utility_DisplayArrayInTable(Fertiliser_SourceData.Fertiliser_Products_Data1(),FertiliserProducts[[#Headers],[Include or Exclude]], 0,4)</f>
        <v/>
      </c>
      <c r="AD94" s="182" t="str" cm="1">
        <f t="array" ref="AD94">Common_InputFunctions.Utility_DisplayArrayInTable(Fertiliser_SourceData.Fertiliser_Products_Data1(),FertiliserProducts[[#Headers],[Include or Exclude]], 0,4)</f>
        <v/>
      </c>
      <c r="AE94" s="182" t="str" cm="1">
        <f t="array" ref="AE94">Common_InputFunctions.Utility_DisplayArrayInTable(Fertiliser_SourceData.Fertiliser_Products_Data1(),FertiliserProducts[[#Headers],[Include or Exclude]], 0,4)</f>
        <v/>
      </c>
    </row>
    <row r="95" spans="4:31" ht="20.100000000000001" customHeight="1" x14ac:dyDescent="0.25">
      <c r="D95" s="182" t="str" cm="1">
        <f t="array" ref="D95">Common_InputFunctions.Utility_DisplayArrayInTable(Fertiliser_SourceData.Fertiliser_Products_Data1(),FertiliserProducts[[#Headers],[Include or Exclude]], -1)</f>
        <v>Include</v>
      </c>
      <c r="E95" s="182" t="str" cm="1">
        <f t="array" ref="E95">Common_InputFunctions.Utility_DisplayArrayInTable(Fertiliser_SourceData.Fertiliser_Products_Data1(),FertiliserProducts[[#Headers],[Include or Exclude]], 0)</f>
        <v>Use Lime EF for calcium</v>
      </c>
      <c r="F95" s="182" t="str" cm="1">
        <f t="array" ref="F95">Common_InputFunctions.Utility_DisplayArrayInTable(Fertiliser_SourceData.Fertiliser_Products_Data1(),FertiliserProducts[[#Headers],[Include or Exclude]], 0)</f>
        <v>Campbells fertilisers Australia</v>
      </c>
      <c r="G95" s="182" t="str" cm="1">
        <f t="array" ref="G95">Common_InputFunctions.Utility_DisplayArrayInTable(Fertiliser_SourceData.Fertiliser_Products_Data1(),FertiliserProducts[[#Headers],[Include or Exclude]], 0)</f>
        <v>Aqua NitroCal Ultimate</v>
      </c>
      <c r="H95" s="182" t="str" cm="1">
        <f t="array" ref="H95">Common_InputFunctions.Utility_DisplayArrayInTable(Fertiliser_SourceData.Fertiliser_Products_Data1(),FertiliserProducts[[#Headers],[Include or Exclude]], 0,4)</f>
        <v>L</v>
      </c>
      <c r="I95" s="182" cm="1">
        <f t="array" ref="I95">Common_InputFunctions.Utility_DisplayArrayInTable(Fertiliser_SourceData.Fertiliser_Products_Data1(),FertiliserProducts[[#Headers],[Include or Exclude]], 0,4)</f>
        <v>1.5</v>
      </c>
      <c r="J95" s="182" t="str" cm="1">
        <f t="array" ref="J95">Common_InputFunctions.Utility_DisplayArrayInTable(Fertiliser_SourceData.Fertiliser_Products_Data1(),FertiliserProducts[[#Headers],[Include or Exclude]], 0,4)</f>
        <v/>
      </c>
      <c r="K95" s="182" t="str" cm="1">
        <f t="array" ref="K95">Common_InputFunctions.Utility_DisplayArrayInTable(Fertiliser_SourceData.Fertiliser_Products_Data1(),FertiliserProducts[[#Headers],[Include or Exclude]], 0,4)</f>
        <v/>
      </c>
      <c r="L95" s="182" t="str" cm="1">
        <f t="array" ref="L95">Common_InputFunctions.Utility_DisplayArrayInTable(Fertiliser_SourceData.Fertiliser_Products_Data1(),FertiliserProducts[[#Headers],[Include or Exclude]], 0,4)</f>
        <v>Calcium - Generic</v>
      </c>
      <c r="M95" s="182" cm="1">
        <f t="array" ref="M95">Common_InputFunctions.Utility_DisplayArrayInTable(Fertiliser_SourceData.Fertiliser_Products_Data1(),FertiliserProducts[[#Headers],[Include or Exclude]], 0,4)</f>
        <v>0.183</v>
      </c>
      <c r="N95" s="182" t="str" cm="1">
        <f t="array" ref="N95">Common_InputFunctions.Utility_DisplayArrayInTable(Fertiliser_SourceData.Fertiliser_Products_Data1(),FertiliserProducts[[#Headers],[Include or Exclude]], 0,4)</f>
        <v>Nitrogen  - Nitrate</v>
      </c>
      <c r="O95" s="182" cm="1">
        <f t="array" ref="O95">Common_InputFunctions.Utility_DisplayArrayInTable(Fertiliser_SourceData.Fertiliser_Products_Data1(),FertiliserProducts[[#Headers],[Include or Exclude]], 0,4)</f>
        <v>0.13200000000000001</v>
      </c>
      <c r="P95" s="182" t="str" cm="1">
        <f t="array" ref="P95">Common_InputFunctions.Utility_DisplayArrayInTable(Fertiliser_SourceData.Fertiliser_Products_Data1(),FertiliserProducts[[#Headers],[Include or Exclude]], 0,4)</f>
        <v/>
      </c>
      <c r="Q95" s="182" t="str" cm="1">
        <f t="array" ref="Q95">Common_InputFunctions.Utility_DisplayArrayInTable(Fertiliser_SourceData.Fertiliser_Products_Data1(),FertiliserProducts[[#Headers],[Include or Exclude]], 0,4)</f>
        <v/>
      </c>
      <c r="R95" s="182" t="str" cm="1">
        <f t="array" ref="R95">Common_InputFunctions.Utility_DisplayArrayInTable(Fertiliser_SourceData.Fertiliser_Products_Data1(),FertiliserProducts[[#Headers],[Include or Exclude]], 0,4)</f>
        <v/>
      </c>
      <c r="S95" s="182" t="str" cm="1">
        <f t="array" ref="S95">Common_InputFunctions.Utility_DisplayArrayInTable(Fertiliser_SourceData.Fertiliser_Products_Data1(),FertiliserProducts[[#Headers],[Include or Exclude]], 0,4)</f>
        <v/>
      </c>
      <c r="T95" s="182" t="str" cm="1">
        <f t="array" ref="T95">Common_InputFunctions.Utility_DisplayArrayInTable(Fertiliser_SourceData.Fertiliser_Products_Data1(),FertiliserProducts[[#Headers],[Include or Exclude]], 0,4)</f>
        <v/>
      </c>
      <c r="U95" s="182" t="str" cm="1">
        <f t="array" ref="U95">Common_InputFunctions.Utility_DisplayArrayInTable(Fertiliser_SourceData.Fertiliser_Products_Data1(),FertiliserProducts[[#Headers],[Include or Exclude]], 0,4)</f>
        <v/>
      </c>
      <c r="V95" s="182" t="str" cm="1">
        <f t="array" ref="V95">Common_InputFunctions.Utility_DisplayArrayInTable(Fertiliser_SourceData.Fertiliser_Products_Data1(),FertiliserProducts[[#Headers],[Include or Exclude]], 0,4)</f>
        <v/>
      </c>
      <c r="W95" s="182" t="str" cm="1">
        <f t="array" ref="W95">Common_InputFunctions.Utility_DisplayArrayInTable(Fertiliser_SourceData.Fertiliser_Products_Data1(),FertiliserProducts[[#Headers],[Include or Exclude]], 0,4)</f>
        <v/>
      </c>
      <c r="X95" s="182" t="str" cm="1">
        <f t="array" ref="X95">Common_InputFunctions.Utility_DisplayArrayInTable(Fertiliser_SourceData.Fertiliser_Products_Data1(),FertiliserProducts[[#Headers],[Include or Exclude]], 0,4)</f>
        <v/>
      </c>
      <c r="Y95" s="182" t="str" cm="1">
        <f t="array" ref="Y95">Common_InputFunctions.Utility_DisplayArrayInTable(Fertiliser_SourceData.Fertiliser_Products_Data1(),FertiliserProducts[[#Headers],[Include or Exclude]], 0,4)</f>
        <v/>
      </c>
      <c r="Z95" s="182" t="str" cm="1">
        <f t="array" ref="Z95">Common_InputFunctions.Utility_DisplayArrayInTable(Fertiliser_SourceData.Fertiliser_Products_Data1(),FertiliserProducts[[#Headers],[Include or Exclude]], 0,4)</f>
        <v/>
      </c>
      <c r="AA95" s="182" t="str" cm="1">
        <f t="array" ref="AA95">Common_InputFunctions.Utility_DisplayArrayInTable(Fertiliser_SourceData.Fertiliser_Products_Data1(),FertiliserProducts[[#Headers],[Include or Exclude]], 0,4)</f>
        <v/>
      </c>
      <c r="AB95" s="182" t="str" cm="1">
        <f t="array" ref="AB95">Common_InputFunctions.Utility_DisplayArrayInTable(Fertiliser_SourceData.Fertiliser_Products_Data1(),FertiliserProducts[[#Headers],[Include or Exclude]], 0,4)</f>
        <v/>
      </c>
      <c r="AC95" s="182" t="str" cm="1">
        <f t="array" ref="AC95">Common_InputFunctions.Utility_DisplayArrayInTable(Fertiliser_SourceData.Fertiliser_Products_Data1(),FertiliserProducts[[#Headers],[Include or Exclude]], 0,4)</f>
        <v/>
      </c>
      <c r="AD95" s="182" t="str" cm="1">
        <f t="array" ref="AD95">Common_InputFunctions.Utility_DisplayArrayInTable(Fertiliser_SourceData.Fertiliser_Products_Data1(),FertiliserProducts[[#Headers],[Include or Exclude]], 0,4)</f>
        <v/>
      </c>
      <c r="AE95" s="182" t="str" cm="1">
        <f t="array" ref="AE95">Common_InputFunctions.Utility_DisplayArrayInTable(Fertiliser_SourceData.Fertiliser_Products_Data1(),FertiliserProducts[[#Headers],[Include or Exclude]], 0,4)</f>
        <v/>
      </c>
    </row>
    <row r="96" spans="4:31" ht="20.100000000000001" customHeight="1" x14ac:dyDescent="0.25">
      <c r="D96" s="182" t="str" cm="1">
        <f t="array" ref="D96">Common_InputFunctions.Utility_DisplayArrayInTable(Fertiliser_SourceData.Fertiliser_Products_Data1(),FertiliserProducts[[#Headers],[Include or Exclude]], -1)</f>
        <v>Include</v>
      </c>
      <c r="E96" s="182" t="str" cm="1">
        <f t="array" ref="E96">Common_InputFunctions.Utility_DisplayArrayInTable(Fertiliser_SourceData.Fertiliser_Products_Data1(),FertiliserProducts[[#Headers],[Include or Exclude]], 0)</f>
        <v/>
      </c>
      <c r="F96" s="182" t="str" cm="1">
        <f t="array" ref="F96">Common_InputFunctions.Utility_DisplayArrayInTable(Fertiliser_SourceData.Fertiliser_Products_Data1(),FertiliserProducts[[#Headers],[Include or Exclude]], 0)</f>
        <v>Campbells fertilisers Australia</v>
      </c>
      <c r="G96" s="182" t="str" cm="1">
        <f t="array" ref="G96">Common_InputFunctions.Utility_DisplayArrayInTable(Fertiliser_SourceData.Fertiliser_Products_Data1(),FertiliserProducts[[#Headers],[Include or Exclude]], 0)</f>
        <v>Aqua Start</v>
      </c>
      <c r="H96" s="182" t="str" cm="1">
        <f t="array" ref="H96">Common_InputFunctions.Utility_DisplayArrayInTable(Fertiliser_SourceData.Fertiliser_Products_Data1(),FertiliserProducts[[#Headers],[Include or Exclude]], 0,4)</f>
        <v>L</v>
      </c>
      <c r="I96" s="182" cm="1">
        <f t="array" ref="I96">Common_InputFunctions.Utility_DisplayArrayInTable(Fertiliser_SourceData.Fertiliser_Products_Data1(),FertiliserProducts[[#Headers],[Include or Exclude]], 0,4)</f>
        <v>1.25</v>
      </c>
      <c r="J96" s="182" t="str" cm="1">
        <f t="array" ref="J96">Common_InputFunctions.Utility_DisplayArrayInTable(Fertiliser_SourceData.Fertiliser_Products_Data1(),FertiliserProducts[[#Headers],[Include or Exclude]], 0,4)</f>
        <v/>
      </c>
      <c r="K96" s="182" t="str" cm="1">
        <f t="array" ref="K96">Common_InputFunctions.Utility_DisplayArrayInTable(Fertiliser_SourceData.Fertiliser_Products_Data1(),FertiliserProducts[[#Headers],[Include or Exclude]], 0,4)</f>
        <v/>
      </c>
      <c r="L96" s="182" t="str" cm="1">
        <f t="array" ref="L96">Common_InputFunctions.Utility_DisplayArrayInTable(Fertiliser_SourceData.Fertiliser_Products_Data1(),FertiliserProducts[[#Headers],[Include or Exclude]], 0,4)</f>
        <v>Nitrogen - Generic</v>
      </c>
      <c r="M96" s="182" cm="1">
        <f t="array" ref="M96">Common_InputFunctions.Utility_DisplayArrayInTable(Fertiliser_SourceData.Fertiliser_Products_Data1(),FertiliserProducts[[#Headers],[Include or Exclude]], 0,4)</f>
        <v>0.10299999999999999</v>
      </c>
      <c r="N96" s="182" t="str" cm="1">
        <f t="array" ref="N96">Common_InputFunctions.Utility_DisplayArrayInTable(Fertiliser_SourceData.Fertiliser_Products_Data1(),FertiliserProducts[[#Headers],[Include or Exclude]], 0,4)</f>
        <v>Phosphorus - Generic</v>
      </c>
      <c r="O96" s="182" cm="1">
        <f t="array" ref="O96">Common_InputFunctions.Utility_DisplayArrayInTable(Fertiliser_SourceData.Fertiliser_Products_Data1(),FertiliserProducts[[#Headers],[Include or Exclude]], 0,4)</f>
        <v>0.1</v>
      </c>
      <c r="P96" s="182" t="str" cm="1">
        <f t="array" ref="P96">Common_InputFunctions.Utility_DisplayArrayInTable(Fertiliser_SourceData.Fertiliser_Products_Data1(),FertiliserProducts[[#Headers],[Include or Exclude]], 0,4)</f>
        <v>Potassium - Generic</v>
      </c>
      <c r="Q96" s="182" cm="1">
        <f t="array" ref="Q96">Common_InputFunctions.Utility_DisplayArrayInTable(Fertiliser_SourceData.Fertiliser_Products_Data1(),FertiliserProducts[[#Headers],[Include or Exclude]], 0,4)</f>
        <v>3.4000000000000002E-2</v>
      </c>
      <c r="R96" s="182" t="str" cm="1">
        <f t="array" ref="R96">Common_InputFunctions.Utility_DisplayArrayInTable(Fertiliser_SourceData.Fertiliser_Products_Data1(),FertiliserProducts[[#Headers],[Include or Exclude]], 0,4)</f>
        <v/>
      </c>
      <c r="S96" s="182" t="str" cm="1">
        <f t="array" ref="S96">Common_InputFunctions.Utility_DisplayArrayInTable(Fertiliser_SourceData.Fertiliser_Products_Data1(),FertiliserProducts[[#Headers],[Include or Exclude]], 0,4)</f>
        <v/>
      </c>
      <c r="T96" s="182" t="str" cm="1">
        <f t="array" ref="T96">Common_InputFunctions.Utility_DisplayArrayInTable(Fertiliser_SourceData.Fertiliser_Products_Data1(),FertiliserProducts[[#Headers],[Include or Exclude]], 0,4)</f>
        <v/>
      </c>
      <c r="U96" s="182" t="str" cm="1">
        <f t="array" ref="U96">Common_InputFunctions.Utility_DisplayArrayInTable(Fertiliser_SourceData.Fertiliser_Products_Data1(),FertiliserProducts[[#Headers],[Include or Exclude]], 0,4)</f>
        <v/>
      </c>
      <c r="V96" s="182" t="str" cm="1">
        <f t="array" ref="V96">Common_InputFunctions.Utility_DisplayArrayInTable(Fertiliser_SourceData.Fertiliser_Products_Data1(),FertiliserProducts[[#Headers],[Include or Exclude]], 0,4)</f>
        <v/>
      </c>
      <c r="W96" s="182" t="str" cm="1">
        <f t="array" ref="W96">Common_InputFunctions.Utility_DisplayArrayInTable(Fertiliser_SourceData.Fertiliser_Products_Data1(),FertiliserProducts[[#Headers],[Include or Exclude]], 0,4)</f>
        <v/>
      </c>
      <c r="X96" s="182" t="str" cm="1">
        <f t="array" ref="X96">Common_InputFunctions.Utility_DisplayArrayInTable(Fertiliser_SourceData.Fertiliser_Products_Data1(),FertiliserProducts[[#Headers],[Include or Exclude]], 0,4)</f>
        <v/>
      </c>
      <c r="Y96" s="182" t="str" cm="1">
        <f t="array" ref="Y96">Common_InputFunctions.Utility_DisplayArrayInTable(Fertiliser_SourceData.Fertiliser_Products_Data1(),FertiliserProducts[[#Headers],[Include or Exclude]], 0,4)</f>
        <v/>
      </c>
      <c r="Z96" s="182" t="str" cm="1">
        <f t="array" ref="Z96">Common_InputFunctions.Utility_DisplayArrayInTable(Fertiliser_SourceData.Fertiliser_Products_Data1(),FertiliserProducts[[#Headers],[Include or Exclude]], 0,4)</f>
        <v/>
      </c>
      <c r="AA96" s="182" t="str" cm="1">
        <f t="array" ref="AA96">Common_InputFunctions.Utility_DisplayArrayInTable(Fertiliser_SourceData.Fertiliser_Products_Data1(),FertiliserProducts[[#Headers],[Include or Exclude]], 0,4)</f>
        <v/>
      </c>
      <c r="AB96" s="182" t="str" cm="1">
        <f t="array" ref="AB96">Common_InputFunctions.Utility_DisplayArrayInTable(Fertiliser_SourceData.Fertiliser_Products_Data1(),FertiliserProducts[[#Headers],[Include or Exclude]], 0,4)</f>
        <v/>
      </c>
      <c r="AC96" s="182" t="str" cm="1">
        <f t="array" ref="AC96">Common_InputFunctions.Utility_DisplayArrayInTable(Fertiliser_SourceData.Fertiliser_Products_Data1(),FertiliserProducts[[#Headers],[Include or Exclude]], 0,4)</f>
        <v/>
      </c>
      <c r="AD96" s="182" t="str" cm="1">
        <f t="array" ref="AD96">Common_InputFunctions.Utility_DisplayArrayInTable(Fertiliser_SourceData.Fertiliser_Products_Data1(),FertiliserProducts[[#Headers],[Include or Exclude]], 0,4)</f>
        <v/>
      </c>
      <c r="AE96" s="182" t="str" cm="1">
        <f t="array" ref="AE96">Common_InputFunctions.Utility_DisplayArrayInTable(Fertiliser_SourceData.Fertiliser_Products_Data1(),FertiliserProducts[[#Headers],[Include or Exclude]], 0,4)</f>
        <v/>
      </c>
    </row>
    <row r="97" spans="4:31" ht="20.100000000000001" customHeight="1" x14ac:dyDescent="0.25">
      <c r="D97" s="182" t="str" cm="1">
        <f t="array" ref="D97">Common_InputFunctions.Utility_DisplayArrayInTable(Fertiliser_SourceData.Fertiliser_Products_Data1(),FertiliserProducts[[#Headers],[Include or Exclude]], -1)</f>
        <v>Include</v>
      </c>
      <c r="E97" s="182" t="str" cm="1">
        <f t="array" ref="E97">Common_InputFunctions.Utility_DisplayArrayInTable(Fertiliser_SourceData.Fertiliser_Products_Data1(),FertiliserProducts[[#Headers],[Include or Exclude]], 0)</f>
        <v/>
      </c>
      <c r="F97" s="182" t="str" cm="1">
        <f t="array" ref="F97">Common_InputFunctions.Utility_DisplayArrayInTable(Fertiliser_SourceData.Fertiliser_Products_Data1(),FertiliserProducts[[#Headers],[Include or Exclude]], 0)</f>
        <v>Campbells fertilisers Australia</v>
      </c>
      <c r="G97" s="182" t="str" cm="1">
        <f t="array" ref="G97">Common_InputFunctions.Utility_DisplayArrayInTable(Fertiliser_SourceData.Fertiliser_Products_Data1(),FertiliserProducts[[#Headers],[Include or Exclude]], 0)</f>
        <v>Aqua Thio-Complete</v>
      </c>
      <c r="H97" s="182" t="str" cm="1">
        <f t="array" ref="H97">Common_InputFunctions.Utility_DisplayArrayInTable(Fertiliser_SourceData.Fertiliser_Products_Data1(),FertiliserProducts[[#Headers],[Include or Exclude]], 0,4)</f>
        <v>L</v>
      </c>
      <c r="I97" s="182" cm="1">
        <f t="array" ref="I97">Common_InputFunctions.Utility_DisplayArrayInTable(Fertiliser_SourceData.Fertiliser_Products_Data1(),FertiliserProducts[[#Headers],[Include or Exclude]], 0,4)</f>
        <v>1.43</v>
      </c>
      <c r="J97" s="182" t="str" cm="1">
        <f t="array" ref="J97">Common_InputFunctions.Utility_DisplayArrayInTable(Fertiliser_SourceData.Fertiliser_Products_Data1(),FertiliserProducts[[#Headers],[Include or Exclude]], 0,4)</f>
        <v/>
      </c>
      <c r="K97" s="182" t="str" cm="1">
        <f t="array" ref="K97">Common_InputFunctions.Utility_DisplayArrayInTable(Fertiliser_SourceData.Fertiliser_Products_Data1(),FertiliserProducts[[#Headers],[Include or Exclude]], 0,4)</f>
        <v/>
      </c>
      <c r="L97" s="182" t="str" cm="1">
        <f t="array" ref="L97">Common_InputFunctions.Utility_DisplayArrayInTable(Fertiliser_SourceData.Fertiliser_Products_Data1(),FertiliserProducts[[#Headers],[Include or Exclude]], 0,4)</f>
        <v>Potassium - Generic</v>
      </c>
      <c r="M97" s="182" cm="1">
        <f t="array" ref="M97">Common_InputFunctions.Utility_DisplayArrayInTable(Fertiliser_SourceData.Fertiliser_Products_Data1(),FertiliserProducts[[#Headers],[Include or Exclude]], 0,4)</f>
        <v>0.22500000000000001</v>
      </c>
      <c r="N97" s="182" t="str" cm="1">
        <f t="array" ref="N97">Common_InputFunctions.Utility_DisplayArrayInTable(Fertiliser_SourceData.Fertiliser_Products_Data1(),FertiliserProducts[[#Headers],[Include or Exclude]], 0,4)</f>
        <v>Phosphorus - Generic</v>
      </c>
      <c r="O97" s="182" cm="1">
        <f t="array" ref="O97">Common_InputFunctions.Utility_DisplayArrayInTable(Fertiliser_SourceData.Fertiliser_Products_Data1(),FertiliserProducts[[#Headers],[Include or Exclude]], 0,4)</f>
        <v>3.7999999999999999E-2</v>
      </c>
      <c r="P97" s="182" t="str" cm="1">
        <f t="array" ref="P97">Common_InputFunctions.Utility_DisplayArrayInTable(Fertiliser_SourceData.Fertiliser_Products_Data1(),FertiliserProducts[[#Headers],[Include or Exclude]], 0,4)</f>
        <v>Nitrogen - Generic</v>
      </c>
      <c r="Q97" s="182" cm="1">
        <f t="array" ref="Q97">Common_InputFunctions.Utility_DisplayArrayInTable(Fertiliser_SourceData.Fertiliser_Products_Data1(),FertiliserProducts[[#Headers],[Include or Exclude]], 0,4)</f>
        <v>2.5000000000000001E-2</v>
      </c>
      <c r="R97" s="182" t="str" cm="1">
        <f t="array" ref="R97">Common_InputFunctions.Utility_DisplayArrayInTable(Fertiliser_SourceData.Fertiliser_Products_Data1(),FertiliserProducts[[#Headers],[Include or Exclude]], 0,4)</f>
        <v/>
      </c>
      <c r="S97" s="182" t="str" cm="1">
        <f t="array" ref="S97">Common_InputFunctions.Utility_DisplayArrayInTable(Fertiliser_SourceData.Fertiliser_Products_Data1(),FertiliserProducts[[#Headers],[Include or Exclude]], 0,4)</f>
        <v/>
      </c>
      <c r="T97" s="182" t="str" cm="1">
        <f t="array" ref="T97">Common_InputFunctions.Utility_DisplayArrayInTable(Fertiliser_SourceData.Fertiliser_Products_Data1(),FertiliserProducts[[#Headers],[Include or Exclude]], 0,4)</f>
        <v/>
      </c>
      <c r="U97" s="182" t="str" cm="1">
        <f t="array" ref="U97">Common_InputFunctions.Utility_DisplayArrayInTable(Fertiliser_SourceData.Fertiliser_Products_Data1(),FertiliserProducts[[#Headers],[Include or Exclude]], 0,4)</f>
        <v/>
      </c>
      <c r="V97" s="182" t="str" cm="1">
        <f t="array" ref="V97">Common_InputFunctions.Utility_DisplayArrayInTable(Fertiliser_SourceData.Fertiliser_Products_Data1(),FertiliserProducts[[#Headers],[Include or Exclude]], 0,4)</f>
        <v/>
      </c>
      <c r="W97" s="182" t="str" cm="1">
        <f t="array" ref="W97">Common_InputFunctions.Utility_DisplayArrayInTable(Fertiliser_SourceData.Fertiliser_Products_Data1(),FertiliserProducts[[#Headers],[Include or Exclude]], 0,4)</f>
        <v/>
      </c>
      <c r="X97" s="182" t="str" cm="1">
        <f t="array" ref="X97">Common_InputFunctions.Utility_DisplayArrayInTable(Fertiliser_SourceData.Fertiliser_Products_Data1(),FertiliserProducts[[#Headers],[Include or Exclude]], 0,4)</f>
        <v/>
      </c>
      <c r="Y97" s="182" t="str" cm="1">
        <f t="array" ref="Y97">Common_InputFunctions.Utility_DisplayArrayInTable(Fertiliser_SourceData.Fertiliser_Products_Data1(),FertiliserProducts[[#Headers],[Include or Exclude]], 0,4)</f>
        <v/>
      </c>
      <c r="Z97" s="182" t="str" cm="1">
        <f t="array" ref="Z97">Common_InputFunctions.Utility_DisplayArrayInTable(Fertiliser_SourceData.Fertiliser_Products_Data1(),FertiliserProducts[[#Headers],[Include or Exclude]], 0,4)</f>
        <v/>
      </c>
      <c r="AA97" s="182" t="str" cm="1">
        <f t="array" ref="AA97">Common_InputFunctions.Utility_DisplayArrayInTable(Fertiliser_SourceData.Fertiliser_Products_Data1(),FertiliserProducts[[#Headers],[Include or Exclude]], 0,4)</f>
        <v/>
      </c>
      <c r="AB97" s="182" t="str" cm="1">
        <f t="array" ref="AB97">Common_InputFunctions.Utility_DisplayArrayInTable(Fertiliser_SourceData.Fertiliser_Products_Data1(),FertiliserProducts[[#Headers],[Include or Exclude]], 0,4)</f>
        <v/>
      </c>
      <c r="AC97" s="182" t="str" cm="1">
        <f t="array" ref="AC97">Common_InputFunctions.Utility_DisplayArrayInTable(Fertiliser_SourceData.Fertiliser_Products_Data1(),FertiliserProducts[[#Headers],[Include or Exclude]], 0,4)</f>
        <v/>
      </c>
      <c r="AD97" s="182" t="str" cm="1">
        <f t="array" ref="AD97">Common_InputFunctions.Utility_DisplayArrayInTable(Fertiliser_SourceData.Fertiliser_Products_Data1(),FertiliserProducts[[#Headers],[Include or Exclude]], 0,4)</f>
        <v/>
      </c>
      <c r="AE97" s="182" t="str" cm="1">
        <f t="array" ref="AE97">Common_InputFunctions.Utility_DisplayArrayInTable(Fertiliser_SourceData.Fertiliser_Products_Data1(),FertiliserProducts[[#Headers],[Include or Exclude]], 0,4)</f>
        <v/>
      </c>
    </row>
    <row r="98" spans="4:31" ht="20.100000000000001" customHeight="1" x14ac:dyDescent="0.25">
      <c r="D98" s="182" t="str" cm="1">
        <f t="array" ref="D98">Common_InputFunctions.Utility_DisplayArrayInTable(Fertiliser_SourceData.Fertiliser_Products_Data1(),FertiliserProducts[[#Headers],[Include or Exclude]], -1)</f>
        <v>Include</v>
      </c>
      <c r="E98" s="182" t="str" cm="1">
        <f t="array" ref="E98">Common_InputFunctions.Utility_DisplayArrayInTable(Fertiliser_SourceData.Fertiliser_Products_Data1(),FertiliserProducts[[#Headers],[Include or Exclude]], 0)</f>
        <v/>
      </c>
      <c r="F98" s="182" t="str" cm="1">
        <f t="array" ref="F98">Common_InputFunctions.Utility_DisplayArrayInTable(Fertiliser_SourceData.Fertiliser_Products_Data1(),FertiliserProducts[[#Headers],[Include or Exclude]], 0)</f>
        <v>Campbells fertilisers Australia</v>
      </c>
      <c r="G98" s="182" t="str" cm="1">
        <f t="array" ref="G98">Common_InputFunctions.Utility_DisplayArrayInTable(Fertiliser_SourceData.Fertiliser_Products_Data1(),FertiliserProducts[[#Headers],[Include or Exclude]], 0)</f>
        <v>Aqua Thio-Emerge</v>
      </c>
      <c r="H98" s="182" t="str" cm="1">
        <f t="array" ref="H98">Common_InputFunctions.Utility_DisplayArrayInTable(Fertiliser_SourceData.Fertiliser_Products_Data1(),FertiliserProducts[[#Headers],[Include or Exclude]], 0,4)</f>
        <v>L</v>
      </c>
      <c r="I98" s="182" cm="1">
        <f t="array" ref="I98">Common_InputFunctions.Utility_DisplayArrayInTable(Fertiliser_SourceData.Fertiliser_Products_Data1(),FertiliserProducts[[#Headers],[Include or Exclude]], 0,4)</f>
        <v>1.29</v>
      </c>
      <c r="J98" s="182" t="str" cm="1">
        <f t="array" ref="J98">Common_InputFunctions.Utility_DisplayArrayInTable(Fertiliser_SourceData.Fertiliser_Products_Data1(),FertiliserProducts[[#Headers],[Include or Exclude]], 0,4)</f>
        <v/>
      </c>
      <c r="K98" s="182" t="str" cm="1">
        <f t="array" ref="K98">Common_InputFunctions.Utility_DisplayArrayInTable(Fertiliser_SourceData.Fertiliser_Products_Data1(),FertiliserProducts[[#Headers],[Include or Exclude]], 0,4)</f>
        <v/>
      </c>
      <c r="L98" s="182" t="str" cm="1">
        <f t="array" ref="L98">Common_InputFunctions.Utility_DisplayArrayInTable(Fertiliser_SourceData.Fertiliser_Products_Data1(),FertiliserProducts[[#Headers],[Include or Exclude]], 0,4)</f>
        <v>Nitrogen - Generic</v>
      </c>
      <c r="M98" s="182" cm="1">
        <f t="array" ref="M98">Common_InputFunctions.Utility_DisplayArrayInTable(Fertiliser_SourceData.Fertiliser_Products_Data1(),FertiliserProducts[[#Headers],[Include or Exclude]], 0,4)</f>
        <v>0.105</v>
      </c>
      <c r="N98" s="182" t="str" cm="1">
        <f t="array" ref="N98">Common_InputFunctions.Utility_DisplayArrayInTable(Fertiliser_SourceData.Fertiliser_Products_Data1(),FertiliserProducts[[#Headers],[Include or Exclude]], 0,4)</f>
        <v>Phosphorus - Generic</v>
      </c>
      <c r="O98" s="182" cm="1">
        <f t="array" ref="O98">Common_InputFunctions.Utility_DisplayArrayInTable(Fertiliser_SourceData.Fertiliser_Products_Data1(),FertiliserProducts[[#Headers],[Include or Exclude]], 0,4)</f>
        <v>9.4E-2</v>
      </c>
      <c r="P98" s="182" t="str" cm="1">
        <f t="array" ref="P98">Common_InputFunctions.Utility_DisplayArrayInTable(Fertiliser_SourceData.Fertiliser_Products_Data1(),FertiliserProducts[[#Headers],[Include or Exclude]], 0,4)</f>
        <v>Potassium - Generic</v>
      </c>
      <c r="Q98" s="182" cm="1">
        <f t="array" ref="Q98">Common_InputFunctions.Utility_DisplayArrayInTable(Fertiliser_SourceData.Fertiliser_Products_Data1(),FertiliserProducts[[#Headers],[Include or Exclude]], 0,4)</f>
        <v>0.04</v>
      </c>
      <c r="R98" s="182" t="str" cm="1">
        <f t="array" ref="R98">Common_InputFunctions.Utility_DisplayArrayInTable(Fertiliser_SourceData.Fertiliser_Products_Data1(),FertiliserProducts[[#Headers],[Include or Exclude]], 0,4)</f>
        <v>Sulfur - Generic</v>
      </c>
      <c r="S98" s="182" cm="1">
        <f t="array" ref="S98">Common_InputFunctions.Utility_DisplayArrayInTable(Fertiliser_SourceData.Fertiliser_Products_Data1(),FertiliserProducts[[#Headers],[Include or Exclude]], 0,4)</f>
        <v>0.03</v>
      </c>
      <c r="T98" s="182" t="str" cm="1">
        <f t="array" ref="T98">Common_InputFunctions.Utility_DisplayArrayInTable(Fertiliser_SourceData.Fertiliser_Products_Data1(),FertiliserProducts[[#Headers],[Include or Exclude]], 0,4)</f>
        <v/>
      </c>
      <c r="U98" s="182" t="str" cm="1">
        <f t="array" ref="U98">Common_InputFunctions.Utility_DisplayArrayInTable(Fertiliser_SourceData.Fertiliser_Products_Data1(),FertiliserProducts[[#Headers],[Include or Exclude]], 0,4)</f>
        <v/>
      </c>
      <c r="V98" s="182" t="str" cm="1">
        <f t="array" ref="V98">Common_InputFunctions.Utility_DisplayArrayInTable(Fertiliser_SourceData.Fertiliser_Products_Data1(),FertiliserProducts[[#Headers],[Include or Exclude]], 0,4)</f>
        <v/>
      </c>
      <c r="W98" s="182" t="str" cm="1">
        <f t="array" ref="W98">Common_InputFunctions.Utility_DisplayArrayInTable(Fertiliser_SourceData.Fertiliser_Products_Data1(),FertiliserProducts[[#Headers],[Include or Exclude]], 0,4)</f>
        <v/>
      </c>
      <c r="X98" s="182" t="str" cm="1">
        <f t="array" ref="X98">Common_InputFunctions.Utility_DisplayArrayInTable(Fertiliser_SourceData.Fertiliser_Products_Data1(),FertiliserProducts[[#Headers],[Include or Exclude]], 0,4)</f>
        <v/>
      </c>
      <c r="Y98" s="182" t="str" cm="1">
        <f t="array" ref="Y98">Common_InputFunctions.Utility_DisplayArrayInTable(Fertiliser_SourceData.Fertiliser_Products_Data1(),FertiliserProducts[[#Headers],[Include or Exclude]], 0,4)</f>
        <v/>
      </c>
      <c r="Z98" s="182" t="str" cm="1">
        <f t="array" ref="Z98">Common_InputFunctions.Utility_DisplayArrayInTable(Fertiliser_SourceData.Fertiliser_Products_Data1(),FertiliserProducts[[#Headers],[Include or Exclude]], 0,4)</f>
        <v/>
      </c>
      <c r="AA98" s="182" t="str" cm="1">
        <f t="array" ref="AA98">Common_InputFunctions.Utility_DisplayArrayInTable(Fertiliser_SourceData.Fertiliser_Products_Data1(),FertiliserProducts[[#Headers],[Include or Exclude]], 0,4)</f>
        <v/>
      </c>
      <c r="AB98" s="182" t="str" cm="1">
        <f t="array" ref="AB98">Common_InputFunctions.Utility_DisplayArrayInTable(Fertiliser_SourceData.Fertiliser_Products_Data1(),FertiliserProducts[[#Headers],[Include or Exclude]], 0,4)</f>
        <v/>
      </c>
      <c r="AC98" s="182" t="str" cm="1">
        <f t="array" ref="AC98">Common_InputFunctions.Utility_DisplayArrayInTable(Fertiliser_SourceData.Fertiliser_Products_Data1(),FertiliserProducts[[#Headers],[Include or Exclude]], 0,4)</f>
        <v/>
      </c>
      <c r="AD98" s="182" t="str" cm="1">
        <f t="array" ref="AD98">Common_InputFunctions.Utility_DisplayArrayInTable(Fertiliser_SourceData.Fertiliser_Products_Data1(),FertiliserProducts[[#Headers],[Include or Exclude]], 0,4)</f>
        <v/>
      </c>
      <c r="AE98" s="182" t="str" cm="1">
        <f t="array" ref="AE98">Common_InputFunctions.Utility_DisplayArrayInTable(Fertiliser_SourceData.Fertiliser_Products_Data1(),FertiliserProducts[[#Headers],[Include or Exclude]], 0,4)</f>
        <v/>
      </c>
    </row>
    <row r="99" spans="4:31" ht="20.100000000000001" customHeight="1" x14ac:dyDescent="0.25">
      <c r="D99" s="182" t="str" cm="1">
        <f t="array" ref="D99">Common_InputFunctions.Utility_DisplayArrayInTable(Fertiliser_SourceData.Fertiliser_Products_Data1(),FertiliserProducts[[#Headers],[Include or Exclude]], -1)</f>
        <v>Exclude - Not relevant</v>
      </c>
      <c r="E99" s="182" t="str" cm="1">
        <f t="array" ref="E99">Common_InputFunctions.Utility_DisplayArrayInTable(Fertiliser_SourceData.Fertiliser_Products_Data1(),FertiliserProducts[[#Headers],[Include or Exclude]], 0)</f>
        <v/>
      </c>
      <c r="F99" s="182" t="str" cm="1">
        <f t="array" ref="F99">Common_InputFunctions.Utility_DisplayArrayInTable(Fertiliser_SourceData.Fertiliser_Products_Data1(),FertiliserProducts[[#Headers],[Include or Exclude]], 0)</f>
        <v>Campbells fertilisers Australia</v>
      </c>
      <c r="G99" s="182" t="str" cm="1">
        <f t="array" ref="G99">Common_InputFunctions.Utility_DisplayArrayInTable(Fertiliser_SourceData.Fertiliser_Products_Data1(),FertiliserProducts[[#Headers],[Include or Exclude]], 0)</f>
        <v>Aqua Thio-Flourish</v>
      </c>
      <c r="H99" s="182" t="str" cm="1">
        <f t="array" ref="H99">Common_InputFunctions.Utility_DisplayArrayInTable(Fertiliser_SourceData.Fertiliser_Products_Data1(),FertiliserProducts[[#Headers],[Include or Exclude]], 0,4)</f>
        <v>L</v>
      </c>
      <c r="I99" s="182" cm="1">
        <f t="array" ref="I99">Common_InputFunctions.Utility_DisplayArrayInTable(Fertiliser_SourceData.Fertiliser_Products_Data1(),FertiliserProducts[[#Headers],[Include or Exclude]], 0,4)</f>
        <v>1.32</v>
      </c>
      <c r="J99" s="182" t="str" cm="1">
        <f t="array" ref="J99">Common_InputFunctions.Utility_DisplayArrayInTable(Fertiliser_SourceData.Fertiliser_Products_Data1(),FertiliserProducts[[#Headers],[Include or Exclude]], 0,4)</f>
        <v/>
      </c>
      <c r="K99" s="182" t="str" cm="1">
        <f t="array" ref="K99">Common_InputFunctions.Utility_DisplayArrayInTable(Fertiliser_SourceData.Fertiliser_Products_Data1(),FertiliserProducts[[#Headers],[Include or Exclude]], 0,4)</f>
        <v/>
      </c>
      <c r="L99" s="182" t="str" cm="1">
        <f t="array" ref="L99">Common_InputFunctions.Utility_DisplayArrayInTable(Fertiliser_SourceData.Fertiliser_Products_Data1(),FertiliserProducts[[#Headers],[Include or Exclude]], 0,4)</f>
        <v>Potassium - Generic</v>
      </c>
      <c r="M99" s="182" cm="1">
        <f t="array" ref="M99">Common_InputFunctions.Utility_DisplayArrayInTable(Fertiliser_SourceData.Fertiliser_Products_Data1(),FertiliserProducts[[#Headers],[Include or Exclude]], 0,4)</f>
        <v>0.108</v>
      </c>
      <c r="N99" s="182" t="str" cm="1">
        <f t="array" ref="N99">Common_InputFunctions.Utility_DisplayArrayInTable(Fertiliser_SourceData.Fertiliser_Products_Data1(),FertiliserProducts[[#Headers],[Include or Exclude]], 0,4)</f>
        <v>Nitrogen - Generic</v>
      </c>
      <c r="O99" s="182" cm="1">
        <f t="array" ref="O99">Common_InputFunctions.Utility_DisplayArrayInTable(Fertiliser_SourceData.Fertiliser_Products_Data1(),FertiliserProducts[[#Headers],[Include or Exclude]], 0,4)</f>
        <v>9.5000000000000001E-2</v>
      </c>
      <c r="P99" s="182" t="str" cm="1">
        <f t="array" ref="P99">Common_InputFunctions.Utility_DisplayArrayInTable(Fertiliser_SourceData.Fertiliser_Products_Data1(),FertiliserProducts[[#Headers],[Include or Exclude]], 0,4)</f>
        <v>Sulfur - Generic</v>
      </c>
      <c r="Q99" s="182" cm="1">
        <f t="array" ref="Q99">Common_InputFunctions.Utility_DisplayArrayInTable(Fertiliser_SourceData.Fertiliser_Products_Data1(),FertiliserProducts[[#Headers],[Include or Exclude]], 0,4)</f>
        <v>8.1000000000000003E-2</v>
      </c>
      <c r="R99" s="182" t="str" cm="1">
        <f t="array" ref="R99">Common_InputFunctions.Utility_DisplayArrayInTable(Fertiliser_SourceData.Fertiliser_Products_Data1(),FertiliserProducts[[#Headers],[Include or Exclude]], 0,4)</f>
        <v>Phosphorus - Generic</v>
      </c>
      <c r="S99" s="182" cm="1">
        <f t="array" ref="S99">Common_InputFunctions.Utility_DisplayArrayInTable(Fertiliser_SourceData.Fertiliser_Products_Data1(),FertiliserProducts[[#Headers],[Include or Exclude]], 0,4)</f>
        <v>4.7E-2</v>
      </c>
      <c r="T99" s="182" t="str" cm="1">
        <f t="array" ref="T99">Common_InputFunctions.Utility_DisplayArrayInTable(Fertiliser_SourceData.Fertiliser_Products_Data1(),FertiliserProducts[[#Headers],[Include or Exclude]], 0,4)</f>
        <v/>
      </c>
      <c r="U99" s="182" t="str" cm="1">
        <f t="array" ref="U99">Common_InputFunctions.Utility_DisplayArrayInTable(Fertiliser_SourceData.Fertiliser_Products_Data1(),FertiliserProducts[[#Headers],[Include or Exclude]], 0,4)</f>
        <v/>
      </c>
      <c r="V99" s="182" t="str" cm="1">
        <f t="array" ref="V99">Common_InputFunctions.Utility_DisplayArrayInTable(Fertiliser_SourceData.Fertiliser_Products_Data1(),FertiliserProducts[[#Headers],[Include or Exclude]], 0,4)</f>
        <v/>
      </c>
      <c r="W99" s="182" t="str" cm="1">
        <f t="array" ref="W99">Common_InputFunctions.Utility_DisplayArrayInTable(Fertiliser_SourceData.Fertiliser_Products_Data1(),FertiliserProducts[[#Headers],[Include or Exclude]], 0,4)</f>
        <v/>
      </c>
      <c r="X99" s="182" t="str" cm="1">
        <f t="array" ref="X99">Common_InputFunctions.Utility_DisplayArrayInTable(Fertiliser_SourceData.Fertiliser_Products_Data1(),FertiliserProducts[[#Headers],[Include or Exclude]], 0,4)</f>
        <v/>
      </c>
      <c r="Y99" s="182" t="str" cm="1">
        <f t="array" ref="Y99">Common_InputFunctions.Utility_DisplayArrayInTable(Fertiliser_SourceData.Fertiliser_Products_Data1(),FertiliserProducts[[#Headers],[Include or Exclude]], 0,4)</f>
        <v/>
      </c>
      <c r="Z99" s="182" t="str" cm="1">
        <f t="array" ref="Z99">Common_InputFunctions.Utility_DisplayArrayInTable(Fertiliser_SourceData.Fertiliser_Products_Data1(),FertiliserProducts[[#Headers],[Include or Exclude]], 0,4)</f>
        <v/>
      </c>
      <c r="AA99" s="182" t="str" cm="1">
        <f t="array" ref="AA99">Common_InputFunctions.Utility_DisplayArrayInTable(Fertiliser_SourceData.Fertiliser_Products_Data1(),FertiliserProducts[[#Headers],[Include or Exclude]], 0,4)</f>
        <v/>
      </c>
      <c r="AB99" s="182" t="str" cm="1">
        <f t="array" ref="AB99">Common_InputFunctions.Utility_DisplayArrayInTable(Fertiliser_SourceData.Fertiliser_Products_Data1(),FertiliserProducts[[#Headers],[Include or Exclude]], 0,4)</f>
        <v/>
      </c>
      <c r="AC99" s="182" t="str" cm="1">
        <f t="array" ref="AC99">Common_InputFunctions.Utility_DisplayArrayInTable(Fertiliser_SourceData.Fertiliser_Products_Data1(),FertiliserProducts[[#Headers],[Include or Exclude]], 0,4)</f>
        <v/>
      </c>
      <c r="AD99" s="182" t="str" cm="1">
        <f t="array" ref="AD99">Common_InputFunctions.Utility_DisplayArrayInTable(Fertiliser_SourceData.Fertiliser_Products_Data1(),FertiliserProducts[[#Headers],[Include or Exclude]], 0,4)</f>
        <v/>
      </c>
      <c r="AE99" s="182" t="str" cm="1">
        <f t="array" ref="AE99">Common_InputFunctions.Utility_DisplayArrayInTable(Fertiliser_SourceData.Fertiliser_Products_Data1(),FertiliserProducts[[#Headers],[Include or Exclude]], 0,4)</f>
        <v/>
      </c>
    </row>
    <row r="100" spans="4:31" ht="20.100000000000001" customHeight="1" x14ac:dyDescent="0.25">
      <c r="D100" s="182" t="str" cm="1">
        <f t="array" ref="D100">Common_InputFunctions.Utility_DisplayArrayInTable(Fertiliser_SourceData.Fertiliser_Products_Data1(),FertiliserProducts[[#Headers],[Include or Exclude]], -1)</f>
        <v>Exclude - Not relevant</v>
      </c>
      <c r="E100" s="182" t="str" cm="1">
        <f t="array" ref="E100">Common_InputFunctions.Utility_DisplayArrayInTable(Fertiliser_SourceData.Fertiliser_Products_Data1(),FertiliserProducts[[#Headers],[Include or Exclude]], 0)</f>
        <v/>
      </c>
      <c r="F100" s="182" t="str" cm="1">
        <f t="array" ref="F100">Common_InputFunctions.Utility_DisplayArrayInTable(Fertiliser_SourceData.Fertiliser_Products_Data1(),FertiliserProducts[[#Headers],[Include or Exclude]], 0)</f>
        <v>Campbells fertilisers Australia</v>
      </c>
      <c r="G100" s="182" t="str" cm="1">
        <f t="array" ref="G100">Common_InputFunctions.Utility_DisplayArrayInTable(Fertiliser_SourceData.Fertiliser_Products_Data1(),FertiliserProducts[[#Headers],[Include or Exclude]], 0)</f>
        <v>Asco Fol Plus</v>
      </c>
      <c r="H100" s="182" t="str" cm="1">
        <f t="array" ref="H100">Common_InputFunctions.Utility_DisplayArrayInTable(Fertiliser_SourceData.Fertiliser_Products_Data1(),FertiliserProducts[[#Headers],[Include or Exclude]], 0,4)</f>
        <v/>
      </c>
      <c r="I100" s="182" t="str" cm="1">
        <f t="array" ref="I100">Common_InputFunctions.Utility_DisplayArrayInTable(Fertiliser_SourceData.Fertiliser_Products_Data1(),FertiliserProducts[[#Headers],[Include or Exclude]], 0,4)</f>
        <v/>
      </c>
      <c r="J100" s="182" t="str" cm="1">
        <f t="array" ref="J100">Common_InputFunctions.Utility_DisplayArrayInTable(Fertiliser_SourceData.Fertiliser_Products_Data1(),FertiliserProducts[[#Headers],[Include or Exclude]], 0,4)</f>
        <v/>
      </c>
      <c r="K100" s="182" t="str" cm="1">
        <f t="array" ref="K100">Common_InputFunctions.Utility_DisplayArrayInTable(Fertiliser_SourceData.Fertiliser_Products_Data1(),FertiliserProducts[[#Headers],[Include or Exclude]], 0,4)</f>
        <v/>
      </c>
      <c r="L100" s="182" t="str" cm="1">
        <f t="array" ref="L100">Common_InputFunctions.Utility_DisplayArrayInTable(Fertiliser_SourceData.Fertiliser_Products_Data1(),FertiliserProducts[[#Headers],[Include or Exclude]], 0,4)</f>
        <v/>
      </c>
      <c r="M100" s="182" t="str" cm="1">
        <f t="array" ref="M100">Common_InputFunctions.Utility_DisplayArrayInTable(Fertiliser_SourceData.Fertiliser_Products_Data1(),FertiliserProducts[[#Headers],[Include or Exclude]], 0,4)</f>
        <v/>
      </c>
      <c r="N100" s="182" t="str" cm="1">
        <f t="array" ref="N100">Common_InputFunctions.Utility_DisplayArrayInTable(Fertiliser_SourceData.Fertiliser_Products_Data1(),FertiliserProducts[[#Headers],[Include or Exclude]], 0,4)</f>
        <v/>
      </c>
      <c r="O100" s="182" t="str" cm="1">
        <f t="array" ref="O100">Common_InputFunctions.Utility_DisplayArrayInTable(Fertiliser_SourceData.Fertiliser_Products_Data1(),FertiliserProducts[[#Headers],[Include or Exclude]], 0,4)</f>
        <v/>
      </c>
      <c r="P100" s="182" t="str" cm="1">
        <f t="array" ref="P100">Common_InputFunctions.Utility_DisplayArrayInTable(Fertiliser_SourceData.Fertiliser_Products_Data1(),FertiliserProducts[[#Headers],[Include or Exclude]], 0,4)</f>
        <v/>
      </c>
      <c r="Q100" s="182" t="str" cm="1">
        <f t="array" ref="Q100">Common_InputFunctions.Utility_DisplayArrayInTable(Fertiliser_SourceData.Fertiliser_Products_Data1(),FertiliserProducts[[#Headers],[Include or Exclude]], 0,4)</f>
        <v/>
      </c>
      <c r="R100" s="182" t="str" cm="1">
        <f t="array" ref="R100">Common_InputFunctions.Utility_DisplayArrayInTable(Fertiliser_SourceData.Fertiliser_Products_Data1(),FertiliserProducts[[#Headers],[Include or Exclude]], 0,4)</f>
        <v/>
      </c>
      <c r="S100" s="182" t="str" cm="1">
        <f t="array" ref="S100">Common_InputFunctions.Utility_DisplayArrayInTable(Fertiliser_SourceData.Fertiliser_Products_Data1(),FertiliserProducts[[#Headers],[Include or Exclude]], 0,4)</f>
        <v/>
      </c>
      <c r="T100" s="182" t="str" cm="1">
        <f t="array" ref="T100">Common_InputFunctions.Utility_DisplayArrayInTable(Fertiliser_SourceData.Fertiliser_Products_Data1(),FertiliserProducts[[#Headers],[Include or Exclude]], 0,4)</f>
        <v/>
      </c>
      <c r="U100" s="182" t="str" cm="1">
        <f t="array" ref="U100">Common_InputFunctions.Utility_DisplayArrayInTable(Fertiliser_SourceData.Fertiliser_Products_Data1(),FertiliserProducts[[#Headers],[Include or Exclude]], 0,4)</f>
        <v/>
      </c>
      <c r="V100" s="182" t="str" cm="1">
        <f t="array" ref="V100">Common_InputFunctions.Utility_DisplayArrayInTable(Fertiliser_SourceData.Fertiliser_Products_Data1(),FertiliserProducts[[#Headers],[Include or Exclude]], 0,4)</f>
        <v/>
      </c>
      <c r="W100" s="182" t="str" cm="1">
        <f t="array" ref="W100">Common_InputFunctions.Utility_DisplayArrayInTable(Fertiliser_SourceData.Fertiliser_Products_Data1(),FertiliserProducts[[#Headers],[Include or Exclude]], 0,4)</f>
        <v/>
      </c>
      <c r="X100" s="182" t="str" cm="1">
        <f t="array" ref="X100">Common_InputFunctions.Utility_DisplayArrayInTable(Fertiliser_SourceData.Fertiliser_Products_Data1(),FertiliserProducts[[#Headers],[Include or Exclude]], 0,4)</f>
        <v/>
      </c>
      <c r="Y100" s="182" t="str" cm="1">
        <f t="array" ref="Y100">Common_InputFunctions.Utility_DisplayArrayInTable(Fertiliser_SourceData.Fertiliser_Products_Data1(),FertiliserProducts[[#Headers],[Include or Exclude]], 0,4)</f>
        <v/>
      </c>
      <c r="Z100" s="182" t="str" cm="1">
        <f t="array" ref="Z100">Common_InputFunctions.Utility_DisplayArrayInTable(Fertiliser_SourceData.Fertiliser_Products_Data1(),FertiliserProducts[[#Headers],[Include or Exclude]], 0,4)</f>
        <v/>
      </c>
      <c r="AA100" s="182" t="str" cm="1">
        <f t="array" ref="AA100">Common_InputFunctions.Utility_DisplayArrayInTable(Fertiliser_SourceData.Fertiliser_Products_Data1(),FertiliserProducts[[#Headers],[Include or Exclude]], 0,4)</f>
        <v/>
      </c>
      <c r="AB100" s="182" t="str" cm="1">
        <f t="array" ref="AB100">Common_InputFunctions.Utility_DisplayArrayInTable(Fertiliser_SourceData.Fertiliser_Products_Data1(),FertiliserProducts[[#Headers],[Include or Exclude]], 0,4)</f>
        <v/>
      </c>
      <c r="AC100" s="182" t="str" cm="1">
        <f t="array" ref="AC100">Common_InputFunctions.Utility_DisplayArrayInTable(Fertiliser_SourceData.Fertiliser_Products_Data1(),FertiliserProducts[[#Headers],[Include or Exclude]], 0,4)</f>
        <v/>
      </c>
      <c r="AD100" s="182" t="str" cm="1">
        <f t="array" ref="AD100">Common_InputFunctions.Utility_DisplayArrayInTable(Fertiliser_SourceData.Fertiliser_Products_Data1(),FertiliserProducts[[#Headers],[Include or Exclude]], 0,4)</f>
        <v/>
      </c>
      <c r="AE100" s="182" t="str" cm="1">
        <f t="array" ref="AE100">Common_InputFunctions.Utility_DisplayArrayInTable(Fertiliser_SourceData.Fertiliser_Products_Data1(),FertiliserProducts[[#Headers],[Include or Exclude]], 0,4)</f>
        <v/>
      </c>
    </row>
    <row r="101" spans="4:31" ht="20.100000000000001" customHeight="1" x14ac:dyDescent="0.25">
      <c r="D101" s="182" t="str" cm="1">
        <f t="array" ref="D101">Common_InputFunctions.Utility_DisplayArrayInTable(Fertiliser_SourceData.Fertiliser_Products_Data1(),FertiliserProducts[[#Headers],[Include or Exclude]], -1)</f>
        <v>Exclude - Not relevant</v>
      </c>
      <c r="E101" s="182" t="str" cm="1">
        <f t="array" ref="E101">Common_InputFunctions.Utility_DisplayArrayInTable(Fertiliser_SourceData.Fertiliser_Products_Data1(),FertiliserProducts[[#Headers],[Include or Exclude]], 0)</f>
        <v/>
      </c>
      <c r="F101" s="182" t="str" cm="1">
        <f t="array" ref="F101">Common_InputFunctions.Utility_DisplayArrayInTable(Fertiliser_SourceData.Fertiliser_Products_Data1(),FertiliserProducts[[#Headers],[Include or Exclude]], 0)</f>
        <v>Campbells fertilisers Australia</v>
      </c>
      <c r="G101" s="182" t="str" cm="1">
        <f t="array" ref="G101">Common_InputFunctions.Utility_DisplayArrayInTable(Fertiliser_SourceData.Fertiliser_Products_Data1(),FertiliserProducts[[#Headers],[Include or Exclude]], 0)</f>
        <v>Asco Plus</v>
      </c>
      <c r="H101" s="182" t="str" cm="1">
        <f t="array" ref="H101">Common_InputFunctions.Utility_DisplayArrayInTable(Fertiliser_SourceData.Fertiliser_Products_Data1(),FertiliserProducts[[#Headers],[Include or Exclude]], 0,4)</f>
        <v/>
      </c>
      <c r="I101" s="182" t="str" cm="1">
        <f t="array" ref="I101">Common_InputFunctions.Utility_DisplayArrayInTable(Fertiliser_SourceData.Fertiliser_Products_Data1(),FertiliserProducts[[#Headers],[Include or Exclude]], 0,4)</f>
        <v/>
      </c>
      <c r="J101" s="182" t="str" cm="1">
        <f t="array" ref="J101">Common_InputFunctions.Utility_DisplayArrayInTable(Fertiliser_SourceData.Fertiliser_Products_Data1(),FertiliserProducts[[#Headers],[Include or Exclude]], 0,4)</f>
        <v/>
      </c>
      <c r="K101" s="182" t="str" cm="1">
        <f t="array" ref="K101">Common_InputFunctions.Utility_DisplayArrayInTable(Fertiliser_SourceData.Fertiliser_Products_Data1(),FertiliserProducts[[#Headers],[Include or Exclude]], 0,4)</f>
        <v/>
      </c>
      <c r="L101" s="182" t="str" cm="1">
        <f t="array" ref="L101">Common_InputFunctions.Utility_DisplayArrayInTable(Fertiliser_SourceData.Fertiliser_Products_Data1(),FertiliserProducts[[#Headers],[Include or Exclude]], 0,4)</f>
        <v/>
      </c>
      <c r="M101" s="182" t="str" cm="1">
        <f t="array" ref="M101">Common_InputFunctions.Utility_DisplayArrayInTable(Fertiliser_SourceData.Fertiliser_Products_Data1(),FertiliserProducts[[#Headers],[Include or Exclude]], 0,4)</f>
        <v/>
      </c>
      <c r="N101" s="182" t="str" cm="1">
        <f t="array" ref="N101">Common_InputFunctions.Utility_DisplayArrayInTable(Fertiliser_SourceData.Fertiliser_Products_Data1(),FertiliserProducts[[#Headers],[Include or Exclude]], 0,4)</f>
        <v/>
      </c>
      <c r="O101" s="182" t="str" cm="1">
        <f t="array" ref="O101">Common_InputFunctions.Utility_DisplayArrayInTable(Fertiliser_SourceData.Fertiliser_Products_Data1(),FertiliserProducts[[#Headers],[Include or Exclude]], 0,4)</f>
        <v/>
      </c>
      <c r="P101" s="182" t="str" cm="1">
        <f t="array" ref="P101">Common_InputFunctions.Utility_DisplayArrayInTable(Fertiliser_SourceData.Fertiliser_Products_Data1(),FertiliserProducts[[#Headers],[Include or Exclude]], 0,4)</f>
        <v/>
      </c>
      <c r="Q101" s="182" t="str" cm="1">
        <f t="array" ref="Q101">Common_InputFunctions.Utility_DisplayArrayInTable(Fertiliser_SourceData.Fertiliser_Products_Data1(),FertiliserProducts[[#Headers],[Include or Exclude]], 0,4)</f>
        <v/>
      </c>
      <c r="R101" s="182" t="str" cm="1">
        <f t="array" ref="R101">Common_InputFunctions.Utility_DisplayArrayInTable(Fertiliser_SourceData.Fertiliser_Products_Data1(),FertiliserProducts[[#Headers],[Include or Exclude]], 0,4)</f>
        <v/>
      </c>
      <c r="S101" s="182" t="str" cm="1">
        <f t="array" ref="S101">Common_InputFunctions.Utility_DisplayArrayInTable(Fertiliser_SourceData.Fertiliser_Products_Data1(),FertiliserProducts[[#Headers],[Include or Exclude]], 0,4)</f>
        <v/>
      </c>
      <c r="T101" s="182" t="str" cm="1">
        <f t="array" ref="T101">Common_InputFunctions.Utility_DisplayArrayInTable(Fertiliser_SourceData.Fertiliser_Products_Data1(),FertiliserProducts[[#Headers],[Include or Exclude]], 0,4)</f>
        <v/>
      </c>
      <c r="U101" s="182" t="str" cm="1">
        <f t="array" ref="U101">Common_InputFunctions.Utility_DisplayArrayInTable(Fertiliser_SourceData.Fertiliser_Products_Data1(),FertiliserProducts[[#Headers],[Include or Exclude]], 0,4)</f>
        <v/>
      </c>
      <c r="V101" s="182" t="str" cm="1">
        <f t="array" ref="V101">Common_InputFunctions.Utility_DisplayArrayInTable(Fertiliser_SourceData.Fertiliser_Products_Data1(),FertiliserProducts[[#Headers],[Include or Exclude]], 0,4)</f>
        <v/>
      </c>
      <c r="W101" s="182" t="str" cm="1">
        <f t="array" ref="W101">Common_InputFunctions.Utility_DisplayArrayInTable(Fertiliser_SourceData.Fertiliser_Products_Data1(),FertiliserProducts[[#Headers],[Include or Exclude]], 0,4)</f>
        <v/>
      </c>
      <c r="X101" s="182" t="str" cm="1">
        <f t="array" ref="X101">Common_InputFunctions.Utility_DisplayArrayInTable(Fertiliser_SourceData.Fertiliser_Products_Data1(),FertiliserProducts[[#Headers],[Include or Exclude]], 0,4)</f>
        <v/>
      </c>
      <c r="Y101" s="182" t="str" cm="1">
        <f t="array" ref="Y101">Common_InputFunctions.Utility_DisplayArrayInTable(Fertiliser_SourceData.Fertiliser_Products_Data1(),FertiliserProducts[[#Headers],[Include or Exclude]], 0,4)</f>
        <v/>
      </c>
      <c r="Z101" s="182" t="str" cm="1">
        <f t="array" ref="Z101">Common_InputFunctions.Utility_DisplayArrayInTable(Fertiliser_SourceData.Fertiliser_Products_Data1(),FertiliserProducts[[#Headers],[Include or Exclude]], 0,4)</f>
        <v/>
      </c>
      <c r="AA101" s="182" t="str" cm="1">
        <f t="array" ref="AA101">Common_InputFunctions.Utility_DisplayArrayInTable(Fertiliser_SourceData.Fertiliser_Products_Data1(),FertiliserProducts[[#Headers],[Include or Exclude]], 0,4)</f>
        <v/>
      </c>
      <c r="AB101" s="182" t="str" cm="1">
        <f t="array" ref="AB101">Common_InputFunctions.Utility_DisplayArrayInTable(Fertiliser_SourceData.Fertiliser_Products_Data1(),FertiliserProducts[[#Headers],[Include or Exclude]], 0,4)</f>
        <v/>
      </c>
      <c r="AC101" s="182" t="str" cm="1">
        <f t="array" ref="AC101">Common_InputFunctions.Utility_DisplayArrayInTable(Fertiliser_SourceData.Fertiliser_Products_Data1(),FertiliserProducts[[#Headers],[Include or Exclude]], 0,4)</f>
        <v/>
      </c>
      <c r="AD101" s="182" t="str" cm="1">
        <f t="array" ref="AD101">Common_InputFunctions.Utility_DisplayArrayInTable(Fertiliser_SourceData.Fertiliser_Products_Data1(),FertiliserProducts[[#Headers],[Include or Exclude]], 0,4)</f>
        <v/>
      </c>
      <c r="AE101" s="182" t="str" cm="1">
        <f t="array" ref="AE101">Common_InputFunctions.Utility_DisplayArrayInTable(Fertiliser_SourceData.Fertiliser_Products_Data1(),FertiliserProducts[[#Headers],[Include or Exclude]], 0,4)</f>
        <v/>
      </c>
    </row>
    <row r="102" spans="4:31" ht="20.100000000000001" customHeight="1" x14ac:dyDescent="0.25">
      <c r="D102" s="182" t="str" cm="1">
        <f t="array" ref="D102">Common_InputFunctions.Utility_DisplayArrayInTable(Fertiliser_SourceData.Fertiliser_Products_Data1(),FertiliserProducts[[#Headers],[Include or Exclude]], -1)</f>
        <v>Exclude - Not relevant</v>
      </c>
      <c r="E102" s="182" t="str" cm="1">
        <f t="array" ref="E102">Common_InputFunctions.Utility_DisplayArrayInTable(Fertiliser_SourceData.Fertiliser_Products_Data1(),FertiliserProducts[[#Headers],[Include or Exclude]], 0)</f>
        <v/>
      </c>
      <c r="F102" s="182" t="str" cm="1">
        <f t="array" ref="F102">Common_InputFunctions.Utility_DisplayArrayInTable(Fertiliser_SourceData.Fertiliser_Products_Data1(),FertiliserProducts[[#Headers],[Include or Exclude]], 0)</f>
        <v>Campbells fertilisers Australia</v>
      </c>
      <c r="G102" s="182" t="str" cm="1">
        <f t="array" ref="G102">Common_InputFunctions.Utility_DisplayArrayInTable(Fertiliser_SourceData.Fertiliser_Products_Data1(),FertiliserProducts[[#Headers],[Include or Exclude]], 0)</f>
        <v>Asco Rhizo Plus</v>
      </c>
      <c r="H102" s="182" t="str" cm="1">
        <f t="array" ref="H102">Common_InputFunctions.Utility_DisplayArrayInTable(Fertiliser_SourceData.Fertiliser_Products_Data1(),FertiliserProducts[[#Headers],[Include or Exclude]], 0,4)</f>
        <v/>
      </c>
      <c r="I102" s="182" t="str" cm="1">
        <f t="array" ref="I102">Common_InputFunctions.Utility_DisplayArrayInTable(Fertiliser_SourceData.Fertiliser_Products_Data1(),FertiliserProducts[[#Headers],[Include or Exclude]], 0,4)</f>
        <v/>
      </c>
      <c r="J102" s="182" t="str" cm="1">
        <f t="array" ref="J102">Common_InputFunctions.Utility_DisplayArrayInTable(Fertiliser_SourceData.Fertiliser_Products_Data1(),FertiliserProducts[[#Headers],[Include or Exclude]], 0,4)</f>
        <v/>
      </c>
      <c r="K102" s="182" t="str" cm="1">
        <f t="array" ref="K102">Common_InputFunctions.Utility_DisplayArrayInTable(Fertiliser_SourceData.Fertiliser_Products_Data1(),FertiliserProducts[[#Headers],[Include or Exclude]], 0,4)</f>
        <v/>
      </c>
      <c r="L102" s="182" t="str" cm="1">
        <f t="array" ref="L102">Common_InputFunctions.Utility_DisplayArrayInTable(Fertiliser_SourceData.Fertiliser_Products_Data1(),FertiliserProducts[[#Headers],[Include or Exclude]], 0,4)</f>
        <v/>
      </c>
      <c r="M102" s="182" t="str" cm="1">
        <f t="array" ref="M102">Common_InputFunctions.Utility_DisplayArrayInTable(Fertiliser_SourceData.Fertiliser_Products_Data1(),FertiliserProducts[[#Headers],[Include or Exclude]], 0,4)</f>
        <v/>
      </c>
      <c r="N102" s="182" t="str" cm="1">
        <f t="array" ref="N102">Common_InputFunctions.Utility_DisplayArrayInTable(Fertiliser_SourceData.Fertiliser_Products_Data1(),FertiliserProducts[[#Headers],[Include or Exclude]], 0,4)</f>
        <v/>
      </c>
      <c r="O102" s="182" t="str" cm="1">
        <f t="array" ref="O102">Common_InputFunctions.Utility_DisplayArrayInTable(Fertiliser_SourceData.Fertiliser_Products_Data1(),FertiliserProducts[[#Headers],[Include or Exclude]], 0,4)</f>
        <v/>
      </c>
      <c r="P102" s="182" t="str" cm="1">
        <f t="array" ref="P102">Common_InputFunctions.Utility_DisplayArrayInTable(Fertiliser_SourceData.Fertiliser_Products_Data1(),FertiliserProducts[[#Headers],[Include or Exclude]], 0,4)</f>
        <v/>
      </c>
      <c r="Q102" s="182" t="str" cm="1">
        <f t="array" ref="Q102">Common_InputFunctions.Utility_DisplayArrayInTable(Fertiliser_SourceData.Fertiliser_Products_Data1(),FertiliserProducts[[#Headers],[Include or Exclude]], 0,4)</f>
        <v/>
      </c>
      <c r="R102" s="182" t="str" cm="1">
        <f t="array" ref="R102">Common_InputFunctions.Utility_DisplayArrayInTable(Fertiliser_SourceData.Fertiliser_Products_Data1(),FertiliserProducts[[#Headers],[Include or Exclude]], 0,4)</f>
        <v/>
      </c>
      <c r="S102" s="182" t="str" cm="1">
        <f t="array" ref="S102">Common_InputFunctions.Utility_DisplayArrayInTable(Fertiliser_SourceData.Fertiliser_Products_Data1(),FertiliserProducts[[#Headers],[Include or Exclude]], 0,4)</f>
        <v/>
      </c>
      <c r="T102" s="182" t="str" cm="1">
        <f t="array" ref="T102">Common_InputFunctions.Utility_DisplayArrayInTable(Fertiliser_SourceData.Fertiliser_Products_Data1(),FertiliserProducts[[#Headers],[Include or Exclude]], 0,4)</f>
        <v/>
      </c>
      <c r="U102" s="182" t="str" cm="1">
        <f t="array" ref="U102">Common_InputFunctions.Utility_DisplayArrayInTable(Fertiliser_SourceData.Fertiliser_Products_Data1(),FertiliserProducts[[#Headers],[Include or Exclude]], 0,4)</f>
        <v/>
      </c>
      <c r="V102" s="182" t="str" cm="1">
        <f t="array" ref="V102">Common_InputFunctions.Utility_DisplayArrayInTable(Fertiliser_SourceData.Fertiliser_Products_Data1(),FertiliserProducts[[#Headers],[Include or Exclude]], 0,4)</f>
        <v/>
      </c>
      <c r="W102" s="182" t="str" cm="1">
        <f t="array" ref="W102">Common_InputFunctions.Utility_DisplayArrayInTable(Fertiliser_SourceData.Fertiliser_Products_Data1(),FertiliserProducts[[#Headers],[Include or Exclude]], 0,4)</f>
        <v/>
      </c>
      <c r="X102" s="182" t="str" cm="1">
        <f t="array" ref="X102">Common_InputFunctions.Utility_DisplayArrayInTable(Fertiliser_SourceData.Fertiliser_Products_Data1(),FertiliserProducts[[#Headers],[Include or Exclude]], 0,4)</f>
        <v/>
      </c>
      <c r="Y102" s="182" t="str" cm="1">
        <f t="array" ref="Y102">Common_InputFunctions.Utility_DisplayArrayInTable(Fertiliser_SourceData.Fertiliser_Products_Data1(),FertiliserProducts[[#Headers],[Include or Exclude]], 0,4)</f>
        <v/>
      </c>
      <c r="Z102" s="182" t="str" cm="1">
        <f t="array" ref="Z102">Common_InputFunctions.Utility_DisplayArrayInTable(Fertiliser_SourceData.Fertiliser_Products_Data1(),FertiliserProducts[[#Headers],[Include or Exclude]], 0,4)</f>
        <v/>
      </c>
      <c r="AA102" s="182" t="str" cm="1">
        <f t="array" ref="AA102">Common_InputFunctions.Utility_DisplayArrayInTable(Fertiliser_SourceData.Fertiliser_Products_Data1(),FertiliserProducts[[#Headers],[Include or Exclude]], 0,4)</f>
        <v/>
      </c>
      <c r="AB102" s="182" t="str" cm="1">
        <f t="array" ref="AB102">Common_InputFunctions.Utility_DisplayArrayInTable(Fertiliser_SourceData.Fertiliser_Products_Data1(),FertiliserProducts[[#Headers],[Include or Exclude]], 0,4)</f>
        <v/>
      </c>
      <c r="AC102" s="182" t="str" cm="1">
        <f t="array" ref="AC102">Common_InputFunctions.Utility_DisplayArrayInTable(Fertiliser_SourceData.Fertiliser_Products_Data1(),FertiliserProducts[[#Headers],[Include or Exclude]], 0,4)</f>
        <v/>
      </c>
      <c r="AD102" s="182" t="str" cm="1">
        <f t="array" ref="AD102">Common_InputFunctions.Utility_DisplayArrayInTable(Fertiliser_SourceData.Fertiliser_Products_Data1(),FertiliserProducts[[#Headers],[Include or Exclude]], 0,4)</f>
        <v/>
      </c>
      <c r="AE102" s="182" t="str" cm="1">
        <f t="array" ref="AE102">Common_InputFunctions.Utility_DisplayArrayInTable(Fertiliser_SourceData.Fertiliser_Products_Data1(),FertiliserProducts[[#Headers],[Include or Exclude]], 0,4)</f>
        <v/>
      </c>
    </row>
    <row r="103" spans="4:31" ht="20.100000000000001" customHeight="1" x14ac:dyDescent="0.25">
      <c r="D103" s="182" t="str" cm="1">
        <f t="array" ref="D103">Common_InputFunctions.Utility_DisplayArrayInTable(Fertiliser_SourceData.Fertiliser_Products_Data1(),FertiliserProducts[[#Headers],[Include or Exclude]], -1)</f>
        <v>Include - Absent ingredients &lt; 2%</v>
      </c>
      <c r="E103" s="182" t="str" cm="1">
        <f t="array" ref="E103">Common_InputFunctions.Utility_DisplayArrayInTable(Fertiliser_SourceData.Fertiliser_Products_Data1(),FertiliserProducts[[#Headers],[Include or Exclude]], 0)</f>
        <v/>
      </c>
      <c r="F103" s="182" t="str" cm="1">
        <f t="array" ref="F103">Common_InputFunctions.Utility_DisplayArrayInTable(Fertiliser_SourceData.Fertiliser_Products_Data1(),FertiliserProducts[[#Headers],[Include or Exclude]], 0)</f>
        <v>Campbells fertilisers Australia</v>
      </c>
      <c r="G103" s="182" t="str" cm="1">
        <f t="array" ref="G103">Common_InputFunctions.Utility_DisplayArrayInTable(Fertiliser_SourceData.Fertiliser_Products_Data1(),FertiliserProducts[[#Headers],[Include or Exclude]], 0)</f>
        <v>Benefit PZ</v>
      </c>
      <c r="H103" s="182" t="str" cm="1">
        <f t="array" ref="H103">Common_InputFunctions.Utility_DisplayArrayInTable(Fertiliser_SourceData.Fertiliser_Products_Data1(),FertiliserProducts[[#Headers],[Include or Exclude]], 0,4)</f>
        <v/>
      </c>
      <c r="I103" s="182" t="str" cm="1">
        <f t="array" ref="I103">Common_InputFunctions.Utility_DisplayArrayInTable(Fertiliser_SourceData.Fertiliser_Products_Data1(),FertiliserProducts[[#Headers],[Include or Exclude]], 0,4)</f>
        <v/>
      </c>
      <c r="J103" s="182" t="str" cm="1">
        <f t="array" ref="J103">Common_InputFunctions.Utility_DisplayArrayInTable(Fertiliser_SourceData.Fertiliser_Products_Data1(),FertiliserProducts[[#Headers],[Include or Exclude]], 0,4)</f>
        <v/>
      </c>
      <c r="K103" s="182" t="str" cm="1">
        <f t="array" ref="K103">Common_InputFunctions.Utility_DisplayArrayInTable(Fertiliser_SourceData.Fertiliser_Products_Data1(),FertiliserProducts[[#Headers],[Include or Exclude]], 0,4)</f>
        <v/>
      </c>
      <c r="L103" s="182" t="str" cm="1">
        <f t="array" ref="L103">Common_InputFunctions.Utility_DisplayArrayInTable(Fertiliser_SourceData.Fertiliser_Products_Data1(),FertiliserProducts[[#Headers],[Include or Exclude]], 0,4)</f>
        <v/>
      </c>
      <c r="M103" s="182" t="str" cm="1">
        <f t="array" ref="M103">Common_InputFunctions.Utility_DisplayArrayInTable(Fertiliser_SourceData.Fertiliser_Products_Data1(),FertiliserProducts[[#Headers],[Include or Exclude]], 0,4)</f>
        <v/>
      </c>
      <c r="N103" s="182" t="str" cm="1">
        <f t="array" ref="N103">Common_InputFunctions.Utility_DisplayArrayInTable(Fertiliser_SourceData.Fertiliser_Products_Data1(),FertiliserProducts[[#Headers],[Include or Exclude]], 0,4)</f>
        <v/>
      </c>
      <c r="O103" s="182" t="str" cm="1">
        <f t="array" ref="O103">Common_InputFunctions.Utility_DisplayArrayInTable(Fertiliser_SourceData.Fertiliser_Products_Data1(),FertiliserProducts[[#Headers],[Include or Exclude]], 0,4)</f>
        <v/>
      </c>
      <c r="P103" s="182" t="str" cm="1">
        <f t="array" ref="P103">Common_InputFunctions.Utility_DisplayArrayInTable(Fertiliser_SourceData.Fertiliser_Products_Data1(),FertiliserProducts[[#Headers],[Include or Exclude]], 0,4)</f>
        <v/>
      </c>
      <c r="Q103" s="182" t="str" cm="1">
        <f t="array" ref="Q103">Common_InputFunctions.Utility_DisplayArrayInTable(Fertiliser_SourceData.Fertiliser_Products_Data1(),FertiliserProducts[[#Headers],[Include or Exclude]], 0,4)</f>
        <v/>
      </c>
      <c r="R103" s="182" t="str" cm="1">
        <f t="array" ref="R103">Common_InputFunctions.Utility_DisplayArrayInTable(Fertiliser_SourceData.Fertiliser_Products_Data1(),FertiliserProducts[[#Headers],[Include or Exclude]], 0,4)</f>
        <v/>
      </c>
      <c r="S103" s="182" t="str" cm="1">
        <f t="array" ref="S103">Common_InputFunctions.Utility_DisplayArrayInTable(Fertiliser_SourceData.Fertiliser_Products_Data1(),FertiliserProducts[[#Headers],[Include or Exclude]], 0,4)</f>
        <v/>
      </c>
      <c r="T103" s="182" t="str" cm="1">
        <f t="array" ref="T103">Common_InputFunctions.Utility_DisplayArrayInTable(Fertiliser_SourceData.Fertiliser_Products_Data1(),FertiliserProducts[[#Headers],[Include or Exclude]], 0,4)</f>
        <v/>
      </c>
      <c r="U103" s="182" t="str" cm="1">
        <f t="array" ref="U103">Common_InputFunctions.Utility_DisplayArrayInTable(Fertiliser_SourceData.Fertiliser_Products_Data1(),FertiliserProducts[[#Headers],[Include or Exclude]], 0,4)</f>
        <v/>
      </c>
      <c r="V103" s="182" t="str" cm="1">
        <f t="array" ref="V103">Common_InputFunctions.Utility_DisplayArrayInTable(Fertiliser_SourceData.Fertiliser_Products_Data1(),FertiliserProducts[[#Headers],[Include or Exclude]], 0,4)</f>
        <v/>
      </c>
      <c r="W103" s="182" t="str" cm="1">
        <f t="array" ref="W103">Common_InputFunctions.Utility_DisplayArrayInTable(Fertiliser_SourceData.Fertiliser_Products_Data1(),FertiliserProducts[[#Headers],[Include or Exclude]], 0,4)</f>
        <v/>
      </c>
      <c r="X103" s="182" t="str" cm="1">
        <f t="array" ref="X103">Common_InputFunctions.Utility_DisplayArrayInTable(Fertiliser_SourceData.Fertiliser_Products_Data1(),FertiliserProducts[[#Headers],[Include or Exclude]], 0,4)</f>
        <v/>
      </c>
      <c r="Y103" s="182" t="str" cm="1">
        <f t="array" ref="Y103">Common_InputFunctions.Utility_DisplayArrayInTable(Fertiliser_SourceData.Fertiliser_Products_Data1(),FertiliserProducts[[#Headers],[Include or Exclude]], 0,4)</f>
        <v/>
      </c>
      <c r="Z103" s="182" t="str" cm="1">
        <f t="array" ref="Z103">Common_InputFunctions.Utility_DisplayArrayInTable(Fertiliser_SourceData.Fertiliser_Products_Data1(),FertiliserProducts[[#Headers],[Include or Exclude]], 0,4)</f>
        <v/>
      </c>
      <c r="AA103" s="182" t="str" cm="1">
        <f t="array" ref="AA103">Common_InputFunctions.Utility_DisplayArrayInTable(Fertiliser_SourceData.Fertiliser_Products_Data1(),FertiliserProducts[[#Headers],[Include or Exclude]], 0,4)</f>
        <v/>
      </c>
      <c r="AB103" s="182" t="str" cm="1">
        <f t="array" ref="AB103">Common_InputFunctions.Utility_DisplayArrayInTable(Fertiliser_SourceData.Fertiliser_Products_Data1(),FertiliserProducts[[#Headers],[Include or Exclude]], 0,4)</f>
        <v/>
      </c>
      <c r="AC103" s="182" t="str" cm="1">
        <f t="array" ref="AC103">Common_InputFunctions.Utility_DisplayArrayInTable(Fertiliser_SourceData.Fertiliser_Products_Data1(),FertiliserProducts[[#Headers],[Include or Exclude]], 0,4)</f>
        <v/>
      </c>
      <c r="AD103" s="182" t="str" cm="1">
        <f t="array" ref="AD103">Common_InputFunctions.Utility_DisplayArrayInTable(Fertiliser_SourceData.Fertiliser_Products_Data1(),FertiliserProducts[[#Headers],[Include or Exclude]], 0,4)</f>
        <v/>
      </c>
      <c r="AE103" s="182" t="str" cm="1">
        <f t="array" ref="AE103">Common_InputFunctions.Utility_DisplayArrayInTable(Fertiliser_SourceData.Fertiliser_Products_Data1(),FertiliserProducts[[#Headers],[Include or Exclude]], 0,4)</f>
        <v/>
      </c>
    </row>
    <row r="104" spans="4:31" ht="20.100000000000001" customHeight="1" x14ac:dyDescent="0.25">
      <c r="D104" s="182" t="str" cm="1">
        <f t="array" ref="D104">Common_InputFunctions.Utility_DisplayArrayInTable(Fertiliser_SourceData.Fertiliser_Products_Data1(),FertiliserProducts[[#Headers],[Include or Exclude]], -1)</f>
        <v>Exclude - Not relevant</v>
      </c>
      <c r="E104" s="182" t="str" cm="1">
        <f t="array" ref="E104">Common_InputFunctions.Utility_DisplayArrayInTable(Fertiliser_SourceData.Fertiliser_Products_Data1(),FertiliserProducts[[#Headers],[Include or Exclude]], 0)</f>
        <v>Amount of urea calculated from urea nitrogen amount</v>
      </c>
      <c r="F104" s="182" t="str" cm="1">
        <f t="array" ref="F104">Common_InputFunctions.Utility_DisplayArrayInTable(Fertiliser_SourceData.Fertiliser_Products_Data1(),FertiliserProducts[[#Headers],[Include or Exclude]], 0)</f>
        <v>Campbells fertilisers Australia</v>
      </c>
      <c r="G104" s="182" t="str" cm="1">
        <f t="array" ref="G104">Common_InputFunctions.Utility_DisplayArrayInTable(Fertiliser_SourceData.Fertiliser_Products_Data1(),FertiliserProducts[[#Headers],[Include or Exclude]], 0)</f>
        <v>Boost-It</v>
      </c>
      <c r="H104" s="182" t="str" cm="1">
        <f t="array" ref="H104">Common_InputFunctions.Utility_DisplayArrayInTable(Fertiliser_SourceData.Fertiliser_Products_Data1(),FertiliserProducts[[#Headers],[Include or Exclude]], 0,4)</f>
        <v>kg</v>
      </c>
      <c r="I104" s="182" cm="1">
        <f t="array" ref="I104">Common_InputFunctions.Utility_DisplayArrayInTable(Fertiliser_SourceData.Fertiliser_Products_Data1(),FertiliserProducts[[#Headers],[Include or Exclude]], 0,4)</f>
        <v>1</v>
      </c>
      <c r="J104" s="182" t="str" cm="1">
        <f t="array" ref="J104">Common_InputFunctions.Utility_DisplayArrayInTable(Fertiliser_SourceData.Fertiliser_Products_Data1(),FertiliserProducts[[#Headers],[Include or Exclude]], 0,4)</f>
        <v/>
      </c>
      <c r="K104" s="182" t="str" cm="1">
        <f t="array" ref="K104">Common_InputFunctions.Utility_DisplayArrayInTable(Fertiliser_SourceData.Fertiliser_Products_Data1(),FertiliserProducts[[#Headers],[Include or Exclude]], 0,4)</f>
        <v/>
      </c>
      <c r="L104" s="182" t="str" cm="1">
        <f t="array" ref="L104">Common_InputFunctions.Utility_DisplayArrayInTable(Fertiliser_SourceData.Fertiliser_Products_Data1(),FertiliserProducts[[#Headers],[Include or Exclude]], 0,4)</f>
        <v>Urea</v>
      </c>
      <c r="M104" s="182" cm="1">
        <f t="array" ref="M104">Common_InputFunctions.Utility_DisplayArrayInTable(Fertiliser_SourceData.Fertiliser_Products_Data1(),FertiliserProducts[[#Headers],[Include or Exclude]], 0,4)</f>
        <v>0.52173913000000005</v>
      </c>
      <c r="N104" s="182" t="str" cm="1">
        <f t="array" ref="N104">Common_InputFunctions.Utility_DisplayArrayInTable(Fertiliser_SourceData.Fertiliser_Products_Data1(),FertiliserProducts[[#Headers],[Include or Exclude]], 0,4)</f>
        <v>Potassium - Generic</v>
      </c>
      <c r="O104" s="182" cm="1">
        <f t="array" ref="O104">Common_InputFunctions.Utility_DisplayArrayInTable(Fertiliser_SourceData.Fertiliser_Products_Data1(),FertiliserProducts[[#Headers],[Include or Exclude]], 0,4)</f>
        <v>0.08</v>
      </c>
      <c r="P104" s="182" t="str" cm="1">
        <f t="array" ref="P104">Common_InputFunctions.Utility_DisplayArrayInTable(Fertiliser_SourceData.Fertiliser_Products_Data1(),FertiliserProducts[[#Headers],[Include or Exclude]], 0,4)</f>
        <v>Sulfur - Generic</v>
      </c>
      <c r="Q104" s="182" cm="1">
        <f t="array" ref="Q104">Common_InputFunctions.Utility_DisplayArrayInTable(Fertiliser_SourceData.Fertiliser_Products_Data1(),FertiliserProducts[[#Headers],[Include or Exclude]], 0,4)</f>
        <v>5.2999999999999999E-2</v>
      </c>
      <c r="R104" s="182" t="str" cm="1">
        <f t="array" ref="R104">Common_InputFunctions.Utility_DisplayArrayInTable(Fertiliser_SourceData.Fertiliser_Products_Data1(),FertiliserProducts[[#Headers],[Include or Exclude]], 0,4)</f>
        <v>Phosphorus - Generic</v>
      </c>
      <c r="S104" s="182" cm="1">
        <f t="array" ref="S104">Common_InputFunctions.Utility_DisplayArrayInTable(Fertiliser_SourceData.Fertiliser_Products_Data1(),FertiliserProducts[[#Headers],[Include or Exclude]], 0,4)</f>
        <v>5.1999999999999998E-2</v>
      </c>
      <c r="T104" s="182" t="str" cm="1">
        <f t="array" ref="T104">Common_InputFunctions.Utility_DisplayArrayInTable(Fertiliser_SourceData.Fertiliser_Products_Data1(),FertiliserProducts[[#Headers],[Include or Exclude]], 0,4)</f>
        <v>Magnesium</v>
      </c>
      <c r="U104" s="182" cm="1">
        <f t="array" ref="U104">Common_InputFunctions.Utility_DisplayArrayInTable(Fertiliser_SourceData.Fertiliser_Products_Data1(),FertiliserProducts[[#Headers],[Include or Exclude]], 0,4)</f>
        <v>1.2999999999999999E-2</v>
      </c>
      <c r="V104" s="182" t="str" cm="1">
        <f t="array" ref="V104">Common_InputFunctions.Utility_DisplayArrayInTable(Fertiliser_SourceData.Fertiliser_Products_Data1(),FertiliserProducts[[#Headers],[Include or Exclude]], 0,4)</f>
        <v>Zinc</v>
      </c>
      <c r="W104" s="182" cm="1">
        <f t="array" ref="W104">Common_InputFunctions.Utility_DisplayArrayInTable(Fertiliser_SourceData.Fertiliser_Products_Data1(),FertiliserProducts[[#Headers],[Include or Exclude]], 0,4)</f>
        <v>2E-3</v>
      </c>
      <c r="X104" s="182" t="str" cm="1">
        <f t="array" ref="X104">Common_InputFunctions.Utility_DisplayArrayInTable(Fertiliser_SourceData.Fertiliser_Products_Data1(),FertiliserProducts[[#Headers],[Include or Exclude]], 0,4)</f>
        <v>Manganese</v>
      </c>
      <c r="Y104" s="182" cm="1">
        <f t="array" ref="Y104">Common_InputFunctions.Utility_DisplayArrayInTable(Fertiliser_SourceData.Fertiliser_Products_Data1(),FertiliserProducts[[#Headers],[Include or Exclude]], 0,4)</f>
        <v>3.5000000000000001E-3</v>
      </c>
      <c r="Z104" s="182" t="str" cm="1">
        <f t="array" ref="Z104">Common_InputFunctions.Utility_DisplayArrayInTable(Fertiliser_SourceData.Fertiliser_Products_Data1(),FertiliserProducts[[#Headers],[Include or Exclude]], 0,4)</f>
        <v>Iron</v>
      </c>
      <c r="AA104" s="182" cm="1">
        <f t="array" ref="AA104">Common_InputFunctions.Utility_DisplayArrayInTable(Fertiliser_SourceData.Fertiliser_Products_Data1(),FertiliserProducts[[#Headers],[Include or Exclude]], 0,4)</f>
        <v>1.2999999999999999E-3</v>
      </c>
      <c r="AB104" s="182" t="str" cm="1">
        <f t="array" ref="AB104">Common_InputFunctions.Utility_DisplayArrayInTable(Fertiliser_SourceData.Fertiliser_Products_Data1(),FertiliserProducts[[#Headers],[Include or Exclude]], 0,4)</f>
        <v>Copper</v>
      </c>
      <c r="AC104" s="182" cm="1">
        <f t="array" ref="AC104">Common_InputFunctions.Utility_DisplayArrayInTable(Fertiliser_SourceData.Fertiliser_Products_Data1(),FertiliserProducts[[#Headers],[Include or Exclude]], 0,4)</f>
        <v>6.9999999999999999E-4</v>
      </c>
      <c r="AD104" s="182" t="str" cm="1">
        <f t="array" ref="AD104">Common_InputFunctions.Utility_DisplayArrayInTable(Fertiliser_SourceData.Fertiliser_Products_Data1(),FertiliserProducts[[#Headers],[Include or Exclude]], 0,4)</f>
        <v>Boron</v>
      </c>
      <c r="AE104" s="182" cm="1">
        <f t="array" ref="AE104">Common_InputFunctions.Utility_DisplayArrayInTable(Fertiliser_SourceData.Fertiliser_Products_Data1(),FertiliserProducts[[#Headers],[Include or Exclude]], 0,4)</f>
        <v>6.9999999999999999E-4</v>
      </c>
    </row>
    <row r="105" spans="4:31" ht="20.100000000000001" customHeight="1" x14ac:dyDescent="0.25">
      <c r="D105" s="182" t="str" cm="1">
        <f t="array" ref="D105">Common_InputFunctions.Utility_DisplayArrayInTable(Fertiliser_SourceData.Fertiliser_Products_Data1(),FertiliserProducts[[#Headers],[Include or Exclude]], -1)</f>
        <v>Exclude - Not relevant</v>
      </c>
      <c r="E105" s="182" t="str" cm="1">
        <f t="array" ref="E105">Common_InputFunctions.Utility_DisplayArrayInTable(Fertiliser_SourceData.Fertiliser_Products_Data1(),FertiliserProducts[[#Headers],[Include or Exclude]], 0)</f>
        <v/>
      </c>
      <c r="F105" s="182" t="str" cm="1">
        <f t="array" ref="F105">Common_InputFunctions.Utility_DisplayArrayInTable(Fertiliser_SourceData.Fertiliser_Products_Data1(),FertiliserProducts[[#Headers],[Include or Exclude]], 0)</f>
        <v>Campbells fertilisers Australia</v>
      </c>
      <c r="G105" s="182" t="str" cm="1">
        <f t="array" ref="G105">Common_InputFunctions.Utility_DisplayArrayInTable(Fertiliser_SourceData.Fertiliser_Products_Data1(),FertiliserProducts[[#Headers],[Include or Exclude]], 0)</f>
        <v>Boroplus</v>
      </c>
      <c r="H105" s="182" t="str" cm="1">
        <f t="array" ref="H105">Common_InputFunctions.Utility_DisplayArrayInTable(Fertiliser_SourceData.Fertiliser_Products_Data1(),FertiliserProducts[[#Headers],[Include or Exclude]], 0,4)</f>
        <v/>
      </c>
      <c r="I105" s="182" t="str" cm="1">
        <f t="array" ref="I105">Common_InputFunctions.Utility_DisplayArrayInTable(Fertiliser_SourceData.Fertiliser_Products_Data1(),FertiliserProducts[[#Headers],[Include or Exclude]], 0,4)</f>
        <v/>
      </c>
      <c r="J105" s="182" t="str" cm="1">
        <f t="array" ref="J105">Common_InputFunctions.Utility_DisplayArrayInTable(Fertiliser_SourceData.Fertiliser_Products_Data1(),FertiliserProducts[[#Headers],[Include or Exclude]], 0,4)</f>
        <v/>
      </c>
      <c r="K105" s="182" t="str" cm="1">
        <f t="array" ref="K105">Common_InputFunctions.Utility_DisplayArrayInTable(Fertiliser_SourceData.Fertiliser_Products_Data1(),FertiliserProducts[[#Headers],[Include or Exclude]], 0,4)</f>
        <v/>
      </c>
      <c r="L105" s="182" t="str" cm="1">
        <f t="array" ref="L105">Common_InputFunctions.Utility_DisplayArrayInTable(Fertiliser_SourceData.Fertiliser_Products_Data1(),FertiliserProducts[[#Headers],[Include or Exclude]], 0,4)</f>
        <v/>
      </c>
      <c r="M105" s="182" t="str" cm="1">
        <f t="array" ref="M105">Common_InputFunctions.Utility_DisplayArrayInTable(Fertiliser_SourceData.Fertiliser_Products_Data1(),FertiliserProducts[[#Headers],[Include or Exclude]], 0,4)</f>
        <v/>
      </c>
      <c r="N105" s="182" t="str" cm="1">
        <f t="array" ref="N105">Common_InputFunctions.Utility_DisplayArrayInTable(Fertiliser_SourceData.Fertiliser_Products_Data1(),FertiliserProducts[[#Headers],[Include or Exclude]], 0,4)</f>
        <v/>
      </c>
      <c r="O105" s="182" t="str" cm="1">
        <f t="array" ref="O105">Common_InputFunctions.Utility_DisplayArrayInTable(Fertiliser_SourceData.Fertiliser_Products_Data1(),FertiliserProducts[[#Headers],[Include or Exclude]], 0,4)</f>
        <v/>
      </c>
      <c r="P105" s="182" t="str" cm="1">
        <f t="array" ref="P105">Common_InputFunctions.Utility_DisplayArrayInTable(Fertiliser_SourceData.Fertiliser_Products_Data1(),FertiliserProducts[[#Headers],[Include or Exclude]], 0,4)</f>
        <v/>
      </c>
      <c r="Q105" s="182" t="str" cm="1">
        <f t="array" ref="Q105">Common_InputFunctions.Utility_DisplayArrayInTable(Fertiliser_SourceData.Fertiliser_Products_Data1(),FertiliserProducts[[#Headers],[Include or Exclude]], 0,4)</f>
        <v/>
      </c>
      <c r="R105" s="182" t="str" cm="1">
        <f t="array" ref="R105">Common_InputFunctions.Utility_DisplayArrayInTable(Fertiliser_SourceData.Fertiliser_Products_Data1(),FertiliserProducts[[#Headers],[Include or Exclude]], 0,4)</f>
        <v/>
      </c>
      <c r="S105" s="182" t="str" cm="1">
        <f t="array" ref="S105">Common_InputFunctions.Utility_DisplayArrayInTable(Fertiliser_SourceData.Fertiliser_Products_Data1(),FertiliserProducts[[#Headers],[Include or Exclude]], 0,4)</f>
        <v/>
      </c>
      <c r="T105" s="182" t="str" cm="1">
        <f t="array" ref="T105">Common_InputFunctions.Utility_DisplayArrayInTable(Fertiliser_SourceData.Fertiliser_Products_Data1(),FertiliserProducts[[#Headers],[Include or Exclude]], 0,4)</f>
        <v/>
      </c>
      <c r="U105" s="182" t="str" cm="1">
        <f t="array" ref="U105">Common_InputFunctions.Utility_DisplayArrayInTable(Fertiliser_SourceData.Fertiliser_Products_Data1(),FertiliserProducts[[#Headers],[Include or Exclude]], 0,4)</f>
        <v/>
      </c>
      <c r="V105" s="182" t="str" cm="1">
        <f t="array" ref="V105">Common_InputFunctions.Utility_DisplayArrayInTable(Fertiliser_SourceData.Fertiliser_Products_Data1(),FertiliserProducts[[#Headers],[Include or Exclude]], 0,4)</f>
        <v/>
      </c>
      <c r="W105" s="182" t="str" cm="1">
        <f t="array" ref="W105">Common_InputFunctions.Utility_DisplayArrayInTable(Fertiliser_SourceData.Fertiliser_Products_Data1(),FertiliserProducts[[#Headers],[Include or Exclude]], 0,4)</f>
        <v/>
      </c>
      <c r="X105" s="182" t="str" cm="1">
        <f t="array" ref="X105">Common_InputFunctions.Utility_DisplayArrayInTable(Fertiliser_SourceData.Fertiliser_Products_Data1(),FertiliserProducts[[#Headers],[Include or Exclude]], 0,4)</f>
        <v/>
      </c>
      <c r="Y105" s="182" t="str" cm="1">
        <f t="array" ref="Y105">Common_InputFunctions.Utility_DisplayArrayInTable(Fertiliser_SourceData.Fertiliser_Products_Data1(),FertiliserProducts[[#Headers],[Include or Exclude]], 0,4)</f>
        <v/>
      </c>
      <c r="Z105" s="182" t="str" cm="1">
        <f t="array" ref="Z105">Common_InputFunctions.Utility_DisplayArrayInTable(Fertiliser_SourceData.Fertiliser_Products_Data1(),FertiliserProducts[[#Headers],[Include or Exclude]], 0,4)</f>
        <v/>
      </c>
      <c r="AA105" s="182" t="str" cm="1">
        <f t="array" ref="AA105">Common_InputFunctions.Utility_DisplayArrayInTable(Fertiliser_SourceData.Fertiliser_Products_Data1(),FertiliserProducts[[#Headers],[Include or Exclude]], 0,4)</f>
        <v/>
      </c>
      <c r="AB105" s="182" t="str" cm="1">
        <f t="array" ref="AB105">Common_InputFunctions.Utility_DisplayArrayInTable(Fertiliser_SourceData.Fertiliser_Products_Data1(),FertiliserProducts[[#Headers],[Include or Exclude]], 0,4)</f>
        <v/>
      </c>
      <c r="AC105" s="182" t="str" cm="1">
        <f t="array" ref="AC105">Common_InputFunctions.Utility_DisplayArrayInTable(Fertiliser_SourceData.Fertiliser_Products_Data1(),FertiliserProducts[[#Headers],[Include or Exclude]], 0,4)</f>
        <v/>
      </c>
      <c r="AD105" s="182" t="str" cm="1">
        <f t="array" ref="AD105">Common_InputFunctions.Utility_DisplayArrayInTable(Fertiliser_SourceData.Fertiliser_Products_Data1(),FertiliserProducts[[#Headers],[Include or Exclude]], 0,4)</f>
        <v/>
      </c>
      <c r="AE105" s="182" t="str" cm="1">
        <f t="array" ref="AE105">Common_InputFunctions.Utility_DisplayArrayInTable(Fertiliser_SourceData.Fertiliser_Products_Data1(),FertiliserProducts[[#Headers],[Include or Exclude]], 0,4)</f>
        <v/>
      </c>
    </row>
    <row r="106" spans="4:31" ht="20.100000000000001" customHeight="1" x14ac:dyDescent="0.25">
      <c r="D106" s="182" t="str" cm="1">
        <f t="array" ref="D106">Common_InputFunctions.Utility_DisplayArrayInTable(Fertiliser_SourceData.Fertiliser_Products_Data1(),FertiliserProducts[[#Headers],[Include or Exclude]], -1)</f>
        <v>Exclude - Not relevant</v>
      </c>
      <c r="E106" s="182" t="str" cm="1">
        <f t="array" ref="E106">Common_InputFunctions.Utility_DisplayArrayInTable(Fertiliser_SourceData.Fertiliser_Products_Data1(),FertiliserProducts[[#Headers],[Include or Exclude]], 0)</f>
        <v/>
      </c>
      <c r="F106" s="182" t="str" cm="1">
        <f t="array" ref="F106">Common_InputFunctions.Utility_DisplayArrayInTable(Fertiliser_SourceData.Fertiliser_Products_Data1(),FertiliserProducts[[#Headers],[Include or Exclude]], 0)</f>
        <v>Campbells fertilisers Australia</v>
      </c>
      <c r="G106" s="182" t="str" cm="1">
        <f t="array" ref="G106">Common_InputFunctions.Utility_DisplayArrayInTable(Fertiliser_SourceData.Fertiliser_Products_Data1(),FertiliserProducts[[#Headers],[Include or Exclude]], 0)</f>
        <v>Brevisol Range</v>
      </c>
      <c r="H106" s="182" t="str" cm="1">
        <f t="array" ref="H106">Common_InputFunctions.Utility_DisplayArrayInTable(Fertiliser_SourceData.Fertiliser_Products_Data1(),FertiliserProducts[[#Headers],[Include or Exclude]], 0,4)</f>
        <v/>
      </c>
      <c r="I106" s="182" t="str" cm="1">
        <f t="array" ref="I106">Common_InputFunctions.Utility_DisplayArrayInTable(Fertiliser_SourceData.Fertiliser_Products_Data1(),FertiliserProducts[[#Headers],[Include or Exclude]], 0,4)</f>
        <v/>
      </c>
      <c r="J106" s="182" t="str" cm="1">
        <f t="array" ref="J106">Common_InputFunctions.Utility_DisplayArrayInTable(Fertiliser_SourceData.Fertiliser_Products_Data1(),FertiliserProducts[[#Headers],[Include or Exclude]], 0,4)</f>
        <v/>
      </c>
      <c r="K106" s="182" t="str" cm="1">
        <f t="array" ref="K106">Common_InputFunctions.Utility_DisplayArrayInTable(Fertiliser_SourceData.Fertiliser_Products_Data1(),FertiliserProducts[[#Headers],[Include or Exclude]], 0,4)</f>
        <v/>
      </c>
      <c r="L106" s="182" t="str" cm="1">
        <f t="array" ref="L106">Common_InputFunctions.Utility_DisplayArrayInTable(Fertiliser_SourceData.Fertiliser_Products_Data1(),FertiliserProducts[[#Headers],[Include or Exclude]], 0,4)</f>
        <v/>
      </c>
      <c r="M106" s="182" t="str" cm="1">
        <f t="array" ref="M106">Common_InputFunctions.Utility_DisplayArrayInTable(Fertiliser_SourceData.Fertiliser_Products_Data1(),FertiliserProducts[[#Headers],[Include or Exclude]], 0,4)</f>
        <v/>
      </c>
      <c r="N106" s="182" t="str" cm="1">
        <f t="array" ref="N106">Common_InputFunctions.Utility_DisplayArrayInTable(Fertiliser_SourceData.Fertiliser_Products_Data1(),FertiliserProducts[[#Headers],[Include or Exclude]], 0,4)</f>
        <v/>
      </c>
      <c r="O106" s="182" t="str" cm="1">
        <f t="array" ref="O106">Common_InputFunctions.Utility_DisplayArrayInTable(Fertiliser_SourceData.Fertiliser_Products_Data1(),FertiliserProducts[[#Headers],[Include or Exclude]], 0,4)</f>
        <v/>
      </c>
      <c r="P106" s="182" t="str" cm="1">
        <f t="array" ref="P106">Common_InputFunctions.Utility_DisplayArrayInTable(Fertiliser_SourceData.Fertiliser_Products_Data1(),FertiliserProducts[[#Headers],[Include or Exclude]], 0,4)</f>
        <v/>
      </c>
      <c r="Q106" s="182" t="str" cm="1">
        <f t="array" ref="Q106">Common_InputFunctions.Utility_DisplayArrayInTable(Fertiliser_SourceData.Fertiliser_Products_Data1(),FertiliserProducts[[#Headers],[Include or Exclude]], 0,4)</f>
        <v/>
      </c>
      <c r="R106" s="182" t="str" cm="1">
        <f t="array" ref="R106">Common_InputFunctions.Utility_DisplayArrayInTable(Fertiliser_SourceData.Fertiliser_Products_Data1(),FertiliserProducts[[#Headers],[Include or Exclude]], 0,4)</f>
        <v/>
      </c>
      <c r="S106" s="182" t="str" cm="1">
        <f t="array" ref="S106">Common_InputFunctions.Utility_DisplayArrayInTable(Fertiliser_SourceData.Fertiliser_Products_Data1(),FertiliserProducts[[#Headers],[Include or Exclude]], 0,4)</f>
        <v/>
      </c>
      <c r="T106" s="182" t="str" cm="1">
        <f t="array" ref="T106">Common_InputFunctions.Utility_DisplayArrayInTable(Fertiliser_SourceData.Fertiliser_Products_Data1(),FertiliserProducts[[#Headers],[Include or Exclude]], 0,4)</f>
        <v/>
      </c>
      <c r="U106" s="182" t="str" cm="1">
        <f t="array" ref="U106">Common_InputFunctions.Utility_DisplayArrayInTable(Fertiliser_SourceData.Fertiliser_Products_Data1(),FertiliserProducts[[#Headers],[Include or Exclude]], 0,4)</f>
        <v/>
      </c>
      <c r="V106" s="182" t="str" cm="1">
        <f t="array" ref="V106">Common_InputFunctions.Utility_DisplayArrayInTable(Fertiliser_SourceData.Fertiliser_Products_Data1(),FertiliserProducts[[#Headers],[Include or Exclude]], 0,4)</f>
        <v/>
      </c>
      <c r="W106" s="182" t="str" cm="1">
        <f t="array" ref="W106">Common_InputFunctions.Utility_DisplayArrayInTable(Fertiliser_SourceData.Fertiliser_Products_Data1(),FertiliserProducts[[#Headers],[Include or Exclude]], 0,4)</f>
        <v/>
      </c>
      <c r="X106" s="182" t="str" cm="1">
        <f t="array" ref="X106">Common_InputFunctions.Utility_DisplayArrayInTable(Fertiliser_SourceData.Fertiliser_Products_Data1(),FertiliserProducts[[#Headers],[Include or Exclude]], 0,4)</f>
        <v/>
      </c>
      <c r="Y106" s="182" t="str" cm="1">
        <f t="array" ref="Y106">Common_InputFunctions.Utility_DisplayArrayInTable(Fertiliser_SourceData.Fertiliser_Products_Data1(),FertiliserProducts[[#Headers],[Include or Exclude]], 0,4)</f>
        <v/>
      </c>
      <c r="Z106" s="182" t="str" cm="1">
        <f t="array" ref="Z106">Common_InputFunctions.Utility_DisplayArrayInTable(Fertiliser_SourceData.Fertiliser_Products_Data1(),FertiliserProducts[[#Headers],[Include or Exclude]], 0,4)</f>
        <v/>
      </c>
      <c r="AA106" s="182" t="str" cm="1">
        <f t="array" ref="AA106">Common_InputFunctions.Utility_DisplayArrayInTable(Fertiliser_SourceData.Fertiliser_Products_Data1(),FertiliserProducts[[#Headers],[Include or Exclude]], 0,4)</f>
        <v/>
      </c>
      <c r="AB106" s="182" t="str" cm="1">
        <f t="array" ref="AB106">Common_InputFunctions.Utility_DisplayArrayInTable(Fertiliser_SourceData.Fertiliser_Products_Data1(),FertiliserProducts[[#Headers],[Include or Exclude]], 0,4)</f>
        <v/>
      </c>
      <c r="AC106" s="182" t="str" cm="1">
        <f t="array" ref="AC106">Common_InputFunctions.Utility_DisplayArrayInTable(Fertiliser_SourceData.Fertiliser_Products_Data1(),FertiliserProducts[[#Headers],[Include or Exclude]], 0,4)</f>
        <v/>
      </c>
      <c r="AD106" s="182" t="str" cm="1">
        <f t="array" ref="AD106">Common_InputFunctions.Utility_DisplayArrayInTable(Fertiliser_SourceData.Fertiliser_Products_Data1(),FertiliserProducts[[#Headers],[Include or Exclude]], 0,4)</f>
        <v/>
      </c>
      <c r="AE106" s="182" t="str" cm="1">
        <f t="array" ref="AE106">Common_InputFunctions.Utility_DisplayArrayInTable(Fertiliser_SourceData.Fertiliser_Products_Data1(),FertiliserProducts[[#Headers],[Include or Exclude]], 0,4)</f>
        <v/>
      </c>
    </row>
    <row r="107" spans="4:31" ht="20.100000000000001" customHeight="1" x14ac:dyDescent="0.25">
      <c r="D107" s="182" t="str" cm="1">
        <f t="array" ref="D107">Common_InputFunctions.Utility_DisplayArrayInTable(Fertiliser_SourceData.Fertiliser_Products_Data1(),FertiliserProducts[[#Headers],[Include or Exclude]], -1)</f>
        <v>Include</v>
      </c>
      <c r="E107" s="182" t="str" cm="1">
        <f t="array" ref="E107">Common_InputFunctions.Utility_DisplayArrayInTable(Fertiliser_SourceData.Fertiliser_Products_Data1(),FertiliserProducts[[#Headers],[Include or Exclude]], 0)</f>
        <v/>
      </c>
      <c r="F107" s="182" t="str" cm="1">
        <f t="array" ref="F107">Common_InputFunctions.Utility_DisplayArrayInTable(Fertiliser_SourceData.Fertiliser_Products_Data1(),FertiliserProducts[[#Headers],[Include or Exclude]], 0)</f>
        <v>Campbells fertilisers Australia</v>
      </c>
      <c r="G107" s="182" t="str" cm="1">
        <f t="array" ref="G107">Common_InputFunctions.Utility_DisplayArrayInTable(Fertiliser_SourceData.Fertiliser_Products_Data1(),FertiliserProducts[[#Headers],[Include or Exclude]], 0)</f>
        <v>Brexil Line</v>
      </c>
      <c r="H107" s="182" t="str" cm="1">
        <f t="array" ref="H107">Common_InputFunctions.Utility_DisplayArrayInTable(Fertiliser_SourceData.Fertiliser_Products_Data1(),FertiliserProducts[[#Headers],[Include or Exclude]], 0,4)</f>
        <v/>
      </c>
      <c r="I107" s="182" t="str" cm="1">
        <f t="array" ref="I107">Common_InputFunctions.Utility_DisplayArrayInTable(Fertiliser_SourceData.Fertiliser_Products_Data1(),FertiliserProducts[[#Headers],[Include or Exclude]], 0,4)</f>
        <v/>
      </c>
      <c r="J107" s="182" t="str" cm="1">
        <f t="array" ref="J107">Common_InputFunctions.Utility_DisplayArrayInTable(Fertiliser_SourceData.Fertiliser_Products_Data1(),FertiliserProducts[[#Headers],[Include or Exclude]], 0,4)</f>
        <v/>
      </c>
      <c r="K107" s="182" t="str" cm="1">
        <f t="array" ref="K107">Common_InputFunctions.Utility_DisplayArrayInTable(Fertiliser_SourceData.Fertiliser_Products_Data1(),FertiliserProducts[[#Headers],[Include or Exclude]], 0,4)</f>
        <v/>
      </c>
      <c r="L107" s="182" t="str" cm="1">
        <f t="array" ref="L107">Common_InputFunctions.Utility_DisplayArrayInTable(Fertiliser_SourceData.Fertiliser_Products_Data1(),FertiliserProducts[[#Headers],[Include or Exclude]], 0,4)</f>
        <v/>
      </c>
      <c r="M107" s="182" t="str" cm="1">
        <f t="array" ref="M107">Common_InputFunctions.Utility_DisplayArrayInTable(Fertiliser_SourceData.Fertiliser_Products_Data1(),FertiliserProducts[[#Headers],[Include or Exclude]], 0,4)</f>
        <v/>
      </c>
      <c r="N107" s="182" t="str" cm="1">
        <f t="array" ref="N107">Common_InputFunctions.Utility_DisplayArrayInTable(Fertiliser_SourceData.Fertiliser_Products_Data1(),FertiliserProducts[[#Headers],[Include or Exclude]], 0,4)</f>
        <v/>
      </c>
      <c r="O107" s="182" t="str" cm="1">
        <f t="array" ref="O107">Common_InputFunctions.Utility_DisplayArrayInTable(Fertiliser_SourceData.Fertiliser_Products_Data1(),FertiliserProducts[[#Headers],[Include or Exclude]], 0,4)</f>
        <v/>
      </c>
      <c r="P107" s="182" t="str" cm="1">
        <f t="array" ref="P107">Common_InputFunctions.Utility_DisplayArrayInTable(Fertiliser_SourceData.Fertiliser_Products_Data1(),FertiliserProducts[[#Headers],[Include or Exclude]], 0,4)</f>
        <v/>
      </c>
      <c r="Q107" s="182" t="str" cm="1">
        <f t="array" ref="Q107">Common_InputFunctions.Utility_DisplayArrayInTable(Fertiliser_SourceData.Fertiliser_Products_Data1(),FertiliserProducts[[#Headers],[Include or Exclude]], 0,4)</f>
        <v/>
      </c>
      <c r="R107" s="182" t="str" cm="1">
        <f t="array" ref="R107">Common_InputFunctions.Utility_DisplayArrayInTable(Fertiliser_SourceData.Fertiliser_Products_Data1(),FertiliserProducts[[#Headers],[Include or Exclude]], 0,4)</f>
        <v/>
      </c>
      <c r="S107" s="182" t="str" cm="1">
        <f t="array" ref="S107">Common_InputFunctions.Utility_DisplayArrayInTable(Fertiliser_SourceData.Fertiliser_Products_Data1(),FertiliserProducts[[#Headers],[Include or Exclude]], 0,4)</f>
        <v/>
      </c>
      <c r="T107" s="182" t="str" cm="1">
        <f t="array" ref="T107">Common_InputFunctions.Utility_DisplayArrayInTable(Fertiliser_SourceData.Fertiliser_Products_Data1(),FertiliserProducts[[#Headers],[Include or Exclude]], 0,4)</f>
        <v/>
      </c>
      <c r="U107" s="182" t="str" cm="1">
        <f t="array" ref="U107">Common_InputFunctions.Utility_DisplayArrayInTable(Fertiliser_SourceData.Fertiliser_Products_Data1(),FertiliserProducts[[#Headers],[Include or Exclude]], 0,4)</f>
        <v/>
      </c>
      <c r="V107" s="182" t="str" cm="1">
        <f t="array" ref="V107">Common_InputFunctions.Utility_DisplayArrayInTable(Fertiliser_SourceData.Fertiliser_Products_Data1(),FertiliserProducts[[#Headers],[Include or Exclude]], 0,4)</f>
        <v/>
      </c>
      <c r="W107" s="182" t="str" cm="1">
        <f t="array" ref="W107">Common_InputFunctions.Utility_DisplayArrayInTable(Fertiliser_SourceData.Fertiliser_Products_Data1(),FertiliserProducts[[#Headers],[Include or Exclude]], 0,4)</f>
        <v/>
      </c>
      <c r="X107" s="182" t="str" cm="1">
        <f t="array" ref="X107">Common_InputFunctions.Utility_DisplayArrayInTable(Fertiliser_SourceData.Fertiliser_Products_Data1(),FertiliserProducts[[#Headers],[Include or Exclude]], 0,4)</f>
        <v/>
      </c>
      <c r="Y107" s="182" t="str" cm="1">
        <f t="array" ref="Y107">Common_InputFunctions.Utility_DisplayArrayInTable(Fertiliser_SourceData.Fertiliser_Products_Data1(),FertiliserProducts[[#Headers],[Include or Exclude]], 0,4)</f>
        <v/>
      </c>
      <c r="Z107" s="182" t="str" cm="1">
        <f t="array" ref="Z107">Common_InputFunctions.Utility_DisplayArrayInTable(Fertiliser_SourceData.Fertiliser_Products_Data1(),FertiliserProducts[[#Headers],[Include or Exclude]], 0,4)</f>
        <v/>
      </c>
      <c r="AA107" s="182" t="str" cm="1">
        <f t="array" ref="AA107">Common_InputFunctions.Utility_DisplayArrayInTable(Fertiliser_SourceData.Fertiliser_Products_Data1(),FertiliserProducts[[#Headers],[Include or Exclude]], 0,4)</f>
        <v/>
      </c>
      <c r="AB107" s="182" t="str" cm="1">
        <f t="array" ref="AB107">Common_InputFunctions.Utility_DisplayArrayInTable(Fertiliser_SourceData.Fertiliser_Products_Data1(),FertiliserProducts[[#Headers],[Include or Exclude]], 0,4)</f>
        <v/>
      </c>
      <c r="AC107" s="182" t="str" cm="1">
        <f t="array" ref="AC107">Common_InputFunctions.Utility_DisplayArrayInTable(Fertiliser_SourceData.Fertiliser_Products_Data1(),FertiliserProducts[[#Headers],[Include or Exclude]], 0,4)</f>
        <v/>
      </c>
      <c r="AD107" s="182" t="str" cm="1">
        <f t="array" ref="AD107">Common_InputFunctions.Utility_DisplayArrayInTable(Fertiliser_SourceData.Fertiliser_Products_Data1(),FertiliserProducts[[#Headers],[Include or Exclude]], 0,4)</f>
        <v/>
      </c>
      <c r="AE107" s="182" t="str" cm="1">
        <f t="array" ref="AE107">Common_InputFunctions.Utility_DisplayArrayInTable(Fertiliser_SourceData.Fertiliser_Products_Data1(),FertiliserProducts[[#Headers],[Include or Exclude]], 0,4)</f>
        <v/>
      </c>
    </row>
    <row r="108" spans="4:31" ht="20.100000000000001" customHeight="1" x14ac:dyDescent="0.25">
      <c r="D108" s="182" t="str" cm="1">
        <f t="array" ref="D108">Common_InputFunctions.Utility_DisplayArrayInTable(Fertiliser_SourceData.Fertiliser_Products_Data1(),FertiliserProducts[[#Headers],[Include or Exclude]], -1)</f>
        <v>Exclude - Absent ingredients &gt; 2%</v>
      </c>
      <c r="E108" s="182" t="str" cm="1">
        <f t="array" ref="E108">Common_InputFunctions.Utility_DisplayArrayInTable(Fertiliser_SourceData.Fertiliser_Products_Data1(),FertiliserProducts[[#Headers],[Include or Exclude]], 0)</f>
        <v/>
      </c>
      <c r="F108" s="182" t="str" cm="1">
        <f t="array" ref="F108">Common_InputFunctions.Utility_DisplayArrayInTable(Fertiliser_SourceData.Fertiliser_Products_Data1(),FertiliserProducts[[#Headers],[Include or Exclude]], 0)</f>
        <v>Campbells fertilisers Australia</v>
      </c>
      <c r="G108" s="182" t="str" cm="1">
        <f t="array" ref="G108">Common_InputFunctions.Utility_DisplayArrayInTable(Fertiliser_SourceData.Fertiliser_Products_Data1(),FertiliserProducts[[#Headers],[Include or Exclude]], 0)</f>
        <v>Bronze</v>
      </c>
      <c r="H108" s="182" t="str" cm="1">
        <f t="array" ref="H108">Common_InputFunctions.Utility_DisplayArrayInTable(Fertiliser_SourceData.Fertiliser_Products_Data1(),FertiliserProducts[[#Headers],[Include or Exclude]], 0,4)</f>
        <v>kg</v>
      </c>
      <c r="I108" s="182" t="str" cm="1">
        <f t="array" ref="I108">Common_InputFunctions.Utility_DisplayArrayInTable(Fertiliser_SourceData.Fertiliser_Products_Data1(),FertiliserProducts[[#Headers],[Include or Exclude]], 0,4)</f>
        <v/>
      </c>
      <c r="J108" s="182" t="str" cm="1">
        <f t="array" ref="J108">Common_InputFunctions.Utility_DisplayArrayInTable(Fertiliser_SourceData.Fertiliser_Products_Data1(),FertiliserProducts[[#Headers],[Include or Exclude]], 0,4)</f>
        <v/>
      </c>
      <c r="K108" s="182" t="str" cm="1">
        <f t="array" ref="K108">Common_InputFunctions.Utility_DisplayArrayInTable(Fertiliser_SourceData.Fertiliser_Products_Data1(),FertiliserProducts[[#Headers],[Include or Exclude]], 0,4)</f>
        <v/>
      </c>
      <c r="L108" s="182" t="str" cm="1">
        <f t="array" ref="L108">Common_InputFunctions.Utility_DisplayArrayInTable(Fertiliser_SourceData.Fertiliser_Products_Data1(),FertiliserProducts[[#Headers],[Include or Exclude]], 0,4)</f>
        <v>Muriate of Potash (MOP)</v>
      </c>
      <c r="M108" s="182" cm="1">
        <f t="array" ref="M108">Common_InputFunctions.Utility_DisplayArrayInTable(Fertiliser_SourceData.Fertiliser_Products_Data1(),FertiliserProducts[[#Headers],[Include or Exclude]], 0,4)</f>
        <v>0.23200000000000001</v>
      </c>
      <c r="N108" s="182" t="str" cm="1">
        <f t="array" ref="N108">Common_InputFunctions.Utility_DisplayArrayInTable(Fertiliser_SourceData.Fertiliser_Products_Data1(),FertiliserProducts[[#Headers],[Include or Exclude]], 0,4)</f>
        <v>Nitrogen - Generic</v>
      </c>
      <c r="O108" s="182" cm="1">
        <f t="array" ref="O108">Common_InputFunctions.Utility_DisplayArrayInTable(Fertiliser_SourceData.Fertiliser_Products_Data1(),FertiliserProducts[[#Headers],[Include or Exclude]], 0,4)</f>
        <v>0.17</v>
      </c>
      <c r="P108" s="182" t="str" cm="1">
        <f t="array" ref="P108">Common_InputFunctions.Utility_DisplayArrayInTable(Fertiliser_SourceData.Fertiliser_Products_Data1(),FertiliserProducts[[#Headers],[Include or Exclude]], 0,4)</f>
        <v>Sulfur - Generic</v>
      </c>
      <c r="Q108" s="182" cm="1">
        <f t="array" ref="Q108">Common_InputFunctions.Utility_DisplayArrayInTable(Fertiliser_SourceData.Fertiliser_Products_Data1(),FertiliserProducts[[#Headers],[Include or Exclude]], 0,4)</f>
        <v>5.0000000000000001E-3</v>
      </c>
      <c r="R108" s="182" t="str" cm="1">
        <f t="array" ref="R108">Common_InputFunctions.Utility_DisplayArrayInTable(Fertiliser_SourceData.Fertiliser_Products_Data1(),FertiliserProducts[[#Headers],[Include or Exclude]], 0,4)</f>
        <v>Magnesium</v>
      </c>
      <c r="S108" s="182" cm="1">
        <f t="array" ref="S108">Common_InputFunctions.Utility_DisplayArrayInTable(Fertiliser_SourceData.Fertiliser_Products_Data1(),FertiliserProducts[[#Headers],[Include or Exclude]], 0,4)</f>
        <v>2.3999999999999998E-3</v>
      </c>
      <c r="T108" s="182" t="str" cm="1">
        <f t="array" ref="T108">Common_InputFunctions.Utility_DisplayArrayInTable(Fertiliser_SourceData.Fertiliser_Products_Data1(),FertiliserProducts[[#Headers],[Include or Exclude]], 0,4)</f>
        <v>Phosphorus - Generic</v>
      </c>
      <c r="U108" s="182" cm="1">
        <f t="array" ref="U108">Common_InputFunctions.Utility_DisplayArrayInTable(Fertiliser_SourceData.Fertiliser_Products_Data1(),FertiliserProducts[[#Headers],[Include or Exclude]], 0,4)</f>
        <v>4.0000000000000002E-4</v>
      </c>
      <c r="V108" s="182" t="str" cm="1">
        <f t="array" ref="V108">Common_InputFunctions.Utility_DisplayArrayInTable(Fertiliser_SourceData.Fertiliser_Products_Data1(),FertiliserProducts[[#Headers],[Include or Exclude]], 0,4)</f>
        <v/>
      </c>
      <c r="W108" s="182" t="str" cm="1">
        <f t="array" ref="W108">Common_InputFunctions.Utility_DisplayArrayInTable(Fertiliser_SourceData.Fertiliser_Products_Data1(),FertiliserProducts[[#Headers],[Include or Exclude]], 0,4)</f>
        <v/>
      </c>
      <c r="X108" s="182" t="str" cm="1">
        <f t="array" ref="X108">Common_InputFunctions.Utility_DisplayArrayInTable(Fertiliser_SourceData.Fertiliser_Products_Data1(),FertiliserProducts[[#Headers],[Include or Exclude]], 0,4)</f>
        <v/>
      </c>
      <c r="Y108" s="182" t="str" cm="1">
        <f t="array" ref="Y108">Common_InputFunctions.Utility_DisplayArrayInTable(Fertiliser_SourceData.Fertiliser_Products_Data1(),FertiliserProducts[[#Headers],[Include or Exclude]], 0,4)</f>
        <v/>
      </c>
      <c r="Z108" s="182" t="str" cm="1">
        <f t="array" ref="Z108">Common_InputFunctions.Utility_DisplayArrayInTable(Fertiliser_SourceData.Fertiliser_Products_Data1(),FertiliserProducts[[#Headers],[Include or Exclude]], 0,4)</f>
        <v/>
      </c>
      <c r="AA108" s="182" t="str" cm="1">
        <f t="array" ref="AA108">Common_InputFunctions.Utility_DisplayArrayInTable(Fertiliser_SourceData.Fertiliser_Products_Data1(),FertiliserProducts[[#Headers],[Include or Exclude]], 0,4)</f>
        <v/>
      </c>
      <c r="AB108" s="182" t="str" cm="1">
        <f t="array" ref="AB108">Common_InputFunctions.Utility_DisplayArrayInTable(Fertiliser_SourceData.Fertiliser_Products_Data1(),FertiliserProducts[[#Headers],[Include or Exclude]], 0,4)</f>
        <v/>
      </c>
      <c r="AC108" s="182" t="str" cm="1">
        <f t="array" ref="AC108">Common_InputFunctions.Utility_DisplayArrayInTable(Fertiliser_SourceData.Fertiliser_Products_Data1(),FertiliserProducts[[#Headers],[Include or Exclude]], 0,4)</f>
        <v/>
      </c>
      <c r="AD108" s="182" t="str" cm="1">
        <f t="array" ref="AD108">Common_InputFunctions.Utility_DisplayArrayInTable(Fertiliser_SourceData.Fertiliser_Products_Data1(),FertiliserProducts[[#Headers],[Include or Exclude]], 0,4)</f>
        <v/>
      </c>
      <c r="AE108" s="182" t="str" cm="1">
        <f t="array" ref="AE108">Common_InputFunctions.Utility_DisplayArrayInTable(Fertiliser_SourceData.Fertiliser_Products_Data1(),FertiliserProducts[[#Headers],[Include or Exclude]], 0,4)</f>
        <v/>
      </c>
    </row>
    <row r="109" spans="4:31" ht="20.100000000000001" customHeight="1" x14ac:dyDescent="0.25">
      <c r="D109" s="182" t="str" cm="1">
        <f t="array" ref="D109">Common_InputFunctions.Utility_DisplayArrayInTable(Fertiliser_SourceData.Fertiliser_Products_Data1(),FertiliserProducts[[#Headers],[Include or Exclude]], -1)</f>
        <v>Exclude - Not relevant</v>
      </c>
      <c r="E109" s="182" t="str" cm="1">
        <f t="array" ref="E109">Common_InputFunctions.Utility_DisplayArrayInTable(Fertiliser_SourceData.Fertiliser_Products_Data1(),FertiliserProducts[[#Headers],[Include or Exclude]], 0)</f>
        <v/>
      </c>
      <c r="F109" s="182" t="str" cm="1">
        <f t="array" ref="F109">Common_InputFunctions.Utility_DisplayArrayInTable(Fertiliser_SourceData.Fertiliser_Products_Data1(),FertiliserProducts[[#Headers],[Include or Exclude]], 0)</f>
        <v>Campbells fertilisers Australia</v>
      </c>
      <c r="G109" s="182" t="str" cm="1">
        <f t="array" ref="G109">Common_InputFunctions.Utility_DisplayArrayInTable(Fertiliser_SourceData.Fertiliser_Products_Data1(),FertiliserProducts[[#Headers],[Include or Exclude]], 0)</f>
        <v>Bud-Wiser Dry</v>
      </c>
      <c r="H109" s="182" t="str" cm="1">
        <f t="array" ref="H109">Common_InputFunctions.Utility_DisplayArrayInTable(Fertiliser_SourceData.Fertiliser_Products_Data1(),FertiliserProducts[[#Headers],[Include or Exclude]], 0,4)</f>
        <v>kg</v>
      </c>
      <c r="I109" s="182" t="str" cm="1">
        <f t="array" ref="I109">Common_InputFunctions.Utility_DisplayArrayInTable(Fertiliser_SourceData.Fertiliser_Products_Data1(),FertiliserProducts[[#Headers],[Include or Exclude]], 0,4)</f>
        <v/>
      </c>
      <c r="J109" s="182" t="str" cm="1">
        <f t="array" ref="J109">Common_InputFunctions.Utility_DisplayArrayInTable(Fertiliser_SourceData.Fertiliser_Products_Data1(),FertiliserProducts[[#Headers],[Include or Exclude]], 0,4)</f>
        <v/>
      </c>
      <c r="K109" s="182" t="str" cm="1">
        <f t="array" ref="K109">Common_InputFunctions.Utility_DisplayArrayInTable(Fertiliser_SourceData.Fertiliser_Products_Data1(),FertiliserProducts[[#Headers],[Include or Exclude]], 0,4)</f>
        <v/>
      </c>
      <c r="L109" s="182" t="str" cm="1">
        <f t="array" ref="L109">Common_InputFunctions.Utility_DisplayArrayInTable(Fertiliser_SourceData.Fertiliser_Products_Data1(),FertiliserProducts[[#Headers],[Include or Exclude]], 0,4)</f>
        <v>Sulfur - Generic</v>
      </c>
      <c r="M109" s="182" cm="1">
        <f t="array" ref="M109">Common_InputFunctions.Utility_DisplayArrayInTable(Fertiliser_SourceData.Fertiliser_Products_Data1(),FertiliserProducts[[#Headers],[Include or Exclude]], 0,4)</f>
        <v>9.4E-2</v>
      </c>
      <c r="N109" s="182" t="str" cm="1">
        <f t="array" ref="N109">Common_InputFunctions.Utility_DisplayArrayInTable(Fertiliser_SourceData.Fertiliser_Products_Data1(),FertiliserProducts[[#Headers],[Include or Exclude]], 0,4)</f>
        <v>Magnesium</v>
      </c>
      <c r="O109" s="182" cm="1">
        <f t="array" ref="O109">Common_InputFunctions.Utility_DisplayArrayInTable(Fertiliser_SourceData.Fertiliser_Products_Data1(),FertiliserProducts[[#Headers],[Include or Exclude]], 0,4)</f>
        <v>0.06</v>
      </c>
      <c r="P109" s="182" t="str" cm="1">
        <f t="array" ref="P109">Common_InputFunctions.Utility_DisplayArrayInTable(Fertiliser_SourceData.Fertiliser_Products_Data1(),FertiliserProducts[[#Headers],[Include or Exclude]], 0,4)</f>
        <v>Boron</v>
      </c>
      <c r="Q109" s="182" cm="1">
        <f t="array" ref="Q109">Common_InputFunctions.Utility_DisplayArrayInTable(Fertiliser_SourceData.Fertiliser_Products_Data1(),FertiliserProducts[[#Headers],[Include or Exclude]], 0,4)</f>
        <v>4.4999999999999998E-2</v>
      </c>
      <c r="R109" s="182" t="str" cm="1">
        <f t="array" ref="R109">Common_InputFunctions.Utility_DisplayArrayInTable(Fertiliser_SourceData.Fertiliser_Products_Data1(),FertiliserProducts[[#Headers],[Include or Exclude]], 0,4)</f>
        <v>Zinc</v>
      </c>
      <c r="S109" s="182" cm="1">
        <f t="array" ref="S109">Common_InputFunctions.Utility_DisplayArrayInTable(Fertiliser_SourceData.Fertiliser_Products_Data1(),FertiliserProducts[[#Headers],[Include or Exclude]], 0,4)</f>
        <v>2.7E-2</v>
      </c>
      <c r="T109" s="182" t="str" cm="1">
        <f t="array" ref="T109">Common_InputFunctions.Utility_DisplayArrayInTable(Fertiliser_SourceData.Fertiliser_Products_Data1(),FertiliserProducts[[#Headers],[Include or Exclude]], 0,4)</f>
        <v/>
      </c>
      <c r="U109" s="182" t="str" cm="1">
        <f t="array" ref="U109">Common_InputFunctions.Utility_DisplayArrayInTable(Fertiliser_SourceData.Fertiliser_Products_Data1(),FertiliserProducts[[#Headers],[Include or Exclude]], 0,4)</f>
        <v/>
      </c>
      <c r="V109" s="182" t="str" cm="1">
        <f t="array" ref="V109">Common_InputFunctions.Utility_DisplayArrayInTable(Fertiliser_SourceData.Fertiliser_Products_Data1(),FertiliserProducts[[#Headers],[Include or Exclude]], 0,4)</f>
        <v/>
      </c>
      <c r="W109" s="182" t="str" cm="1">
        <f t="array" ref="W109">Common_InputFunctions.Utility_DisplayArrayInTable(Fertiliser_SourceData.Fertiliser_Products_Data1(),FertiliserProducts[[#Headers],[Include or Exclude]], 0,4)</f>
        <v/>
      </c>
      <c r="X109" s="182" t="str" cm="1">
        <f t="array" ref="X109">Common_InputFunctions.Utility_DisplayArrayInTable(Fertiliser_SourceData.Fertiliser_Products_Data1(),FertiliserProducts[[#Headers],[Include or Exclude]], 0,4)</f>
        <v/>
      </c>
      <c r="Y109" s="182" t="str" cm="1">
        <f t="array" ref="Y109">Common_InputFunctions.Utility_DisplayArrayInTable(Fertiliser_SourceData.Fertiliser_Products_Data1(),FertiliserProducts[[#Headers],[Include or Exclude]], 0,4)</f>
        <v/>
      </c>
      <c r="Z109" s="182" t="str" cm="1">
        <f t="array" ref="Z109">Common_InputFunctions.Utility_DisplayArrayInTable(Fertiliser_SourceData.Fertiliser_Products_Data1(),FertiliserProducts[[#Headers],[Include or Exclude]], 0,4)</f>
        <v/>
      </c>
      <c r="AA109" s="182" t="str" cm="1">
        <f t="array" ref="AA109">Common_InputFunctions.Utility_DisplayArrayInTable(Fertiliser_SourceData.Fertiliser_Products_Data1(),FertiliserProducts[[#Headers],[Include or Exclude]], 0,4)</f>
        <v/>
      </c>
      <c r="AB109" s="182" t="str" cm="1">
        <f t="array" ref="AB109">Common_InputFunctions.Utility_DisplayArrayInTable(Fertiliser_SourceData.Fertiliser_Products_Data1(),FertiliserProducts[[#Headers],[Include or Exclude]], 0,4)</f>
        <v/>
      </c>
      <c r="AC109" s="182" t="str" cm="1">
        <f t="array" ref="AC109">Common_InputFunctions.Utility_DisplayArrayInTable(Fertiliser_SourceData.Fertiliser_Products_Data1(),FertiliserProducts[[#Headers],[Include or Exclude]], 0,4)</f>
        <v/>
      </c>
      <c r="AD109" s="182" t="str" cm="1">
        <f t="array" ref="AD109">Common_InputFunctions.Utility_DisplayArrayInTable(Fertiliser_SourceData.Fertiliser_Products_Data1(),FertiliserProducts[[#Headers],[Include or Exclude]], 0,4)</f>
        <v/>
      </c>
      <c r="AE109" s="182" t="str" cm="1">
        <f t="array" ref="AE109">Common_InputFunctions.Utility_DisplayArrayInTable(Fertiliser_SourceData.Fertiliser_Products_Data1(),FertiliserProducts[[#Headers],[Include or Exclude]], 0,4)</f>
        <v/>
      </c>
    </row>
    <row r="110" spans="4:31" ht="20.100000000000001" customHeight="1" x14ac:dyDescent="0.25">
      <c r="D110" s="182" t="str" cm="1">
        <f t="array" ref="D110">Common_InputFunctions.Utility_DisplayArrayInTable(Fertiliser_SourceData.Fertiliser_Products_Data1(),FertiliserProducts[[#Headers],[Include or Exclude]], -1)</f>
        <v>Exclude - Not relevant</v>
      </c>
      <c r="E110" s="182" t="str" cm="1">
        <f t="array" ref="E110">Common_InputFunctions.Utility_DisplayArrayInTable(Fertiliser_SourceData.Fertiliser_Products_Data1(),FertiliserProducts[[#Headers],[Include or Exclude]], 0)</f>
        <v/>
      </c>
      <c r="F110" s="182" t="str" cm="1">
        <f t="array" ref="F110">Common_InputFunctions.Utility_DisplayArrayInTable(Fertiliser_SourceData.Fertiliser_Products_Data1(),FertiliserProducts[[#Headers],[Include or Exclude]], 0)</f>
        <v>Campbells fertilisers Australia</v>
      </c>
      <c r="G110" s="182" t="str" cm="1">
        <f t="array" ref="G110">Common_InputFunctions.Utility_DisplayArrayInTable(Fertiliser_SourceData.Fertiliser_Products_Data1(),FertiliserProducts[[#Headers],[Include or Exclude]], 0)</f>
        <v>Calbit C</v>
      </c>
      <c r="H110" s="182" t="str" cm="1">
        <f t="array" ref="H110">Common_InputFunctions.Utility_DisplayArrayInTable(Fertiliser_SourceData.Fertiliser_Products_Data1(),FertiliserProducts[[#Headers],[Include or Exclude]], 0,4)</f>
        <v>L</v>
      </c>
      <c r="I110" s="182" t="str" cm="1">
        <f t="array" ref="I110">Common_InputFunctions.Utility_DisplayArrayInTable(Fertiliser_SourceData.Fertiliser_Products_Data1(),FertiliserProducts[[#Headers],[Include or Exclude]], 0,4)</f>
        <v/>
      </c>
      <c r="J110" s="182" t="str" cm="1">
        <f t="array" ref="J110">Common_InputFunctions.Utility_DisplayArrayInTable(Fertiliser_SourceData.Fertiliser_Products_Data1(),FertiliserProducts[[#Headers],[Include or Exclude]], 0,4)</f>
        <v/>
      </c>
      <c r="K110" s="182" t="str" cm="1">
        <f t="array" ref="K110">Common_InputFunctions.Utility_DisplayArrayInTable(Fertiliser_SourceData.Fertiliser_Products_Data1(),FertiliserProducts[[#Headers],[Include or Exclude]], 0,4)</f>
        <v/>
      </c>
      <c r="L110" s="182" t="str" cm="1">
        <f t="array" ref="L110">Common_InputFunctions.Utility_DisplayArrayInTable(Fertiliser_SourceData.Fertiliser_Products_Data1(),FertiliserProducts[[#Headers],[Include or Exclude]], 0,4)</f>
        <v/>
      </c>
      <c r="M110" s="182" t="str" cm="1">
        <f t="array" ref="M110">Common_InputFunctions.Utility_DisplayArrayInTable(Fertiliser_SourceData.Fertiliser_Products_Data1(),FertiliserProducts[[#Headers],[Include or Exclude]], 0,4)</f>
        <v/>
      </c>
      <c r="N110" s="182" t="str" cm="1">
        <f t="array" ref="N110">Common_InputFunctions.Utility_DisplayArrayInTable(Fertiliser_SourceData.Fertiliser_Products_Data1(),FertiliserProducts[[#Headers],[Include or Exclude]], 0,4)</f>
        <v/>
      </c>
      <c r="O110" s="182" t="str" cm="1">
        <f t="array" ref="O110">Common_InputFunctions.Utility_DisplayArrayInTable(Fertiliser_SourceData.Fertiliser_Products_Data1(),FertiliserProducts[[#Headers],[Include or Exclude]], 0,4)</f>
        <v/>
      </c>
      <c r="P110" s="182" t="str" cm="1">
        <f t="array" ref="P110">Common_InputFunctions.Utility_DisplayArrayInTable(Fertiliser_SourceData.Fertiliser_Products_Data1(),FertiliserProducts[[#Headers],[Include or Exclude]], 0,4)</f>
        <v/>
      </c>
      <c r="Q110" s="182" t="str" cm="1">
        <f t="array" ref="Q110">Common_InputFunctions.Utility_DisplayArrayInTable(Fertiliser_SourceData.Fertiliser_Products_Data1(),FertiliserProducts[[#Headers],[Include or Exclude]], 0,4)</f>
        <v/>
      </c>
      <c r="R110" s="182" t="str" cm="1">
        <f t="array" ref="R110">Common_InputFunctions.Utility_DisplayArrayInTable(Fertiliser_SourceData.Fertiliser_Products_Data1(),FertiliserProducts[[#Headers],[Include or Exclude]], 0,4)</f>
        <v/>
      </c>
      <c r="S110" s="182" t="str" cm="1">
        <f t="array" ref="S110">Common_InputFunctions.Utility_DisplayArrayInTable(Fertiliser_SourceData.Fertiliser_Products_Data1(),FertiliserProducts[[#Headers],[Include or Exclude]], 0,4)</f>
        <v/>
      </c>
      <c r="T110" s="182" t="str" cm="1">
        <f t="array" ref="T110">Common_InputFunctions.Utility_DisplayArrayInTable(Fertiliser_SourceData.Fertiliser_Products_Data1(),FertiliserProducts[[#Headers],[Include or Exclude]], 0,4)</f>
        <v/>
      </c>
      <c r="U110" s="182" t="str" cm="1">
        <f t="array" ref="U110">Common_InputFunctions.Utility_DisplayArrayInTable(Fertiliser_SourceData.Fertiliser_Products_Data1(),FertiliserProducts[[#Headers],[Include or Exclude]], 0,4)</f>
        <v/>
      </c>
      <c r="V110" s="182" t="str" cm="1">
        <f t="array" ref="V110">Common_InputFunctions.Utility_DisplayArrayInTable(Fertiliser_SourceData.Fertiliser_Products_Data1(),FertiliserProducts[[#Headers],[Include or Exclude]], 0,4)</f>
        <v/>
      </c>
      <c r="W110" s="182" t="str" cm="1">
        <f t="array" ref="W110">Common_InputFunctions.Utility_DisplayArrayInTable(Fertiliser_SourceData.Fertiliser_Products_Data1(),FertiliserProducts[[#Headers],[Include or Exclude]], 0,4)</f>
        <v/>
      </c>
      <c r="X110" s="182" t="str" cm="1">
        <f t="array" ref="X110">Common_InputFunctions.Utility_DisplayArrayInTable(Fertiliser_SourceData.Fertiliser_Products_Data1(),FertiliserProducts[[#Headers],[Include or Exclude]], 0,4)</f>
        <v/>
      </c>
      <c r="Y110" s="182" t="str" cm="1">
        <f t="array" ref="Y110">Common_InputFunctions.Utility_DisplayArrayInTable(Fertiliser_SourceData.Fertiliser_Products_Data1(),FertiliserProducts[[#Headers],[Include or Exclude]], 0,4)</f>
        <v/>
      </c>
      <c r="Z110" s="182" t="str" cm="1">
        <f t="array" ref="Z110">Common_InputFunctions.Utility_DisplayArrayInTable(Fertiliser_SourceData.Fertiliser_Products_Data1(),FertiliserProducts[[#Headers],[Include or Exclude]], 0,4)</f>
        <v/>
      </c>
      <c r="AA110" s="182" t="str" cm="1">
        <f t="array" ref="AA110">Common_InputFunctions.Utility_DisplayArrayInTable(Fertiliser_SourceData.Fertiliser_Products_Data1(),FertiliserProducts[[#Headers],[Include or Exclude]], 0,4)</f>
        <v/>
      </c>
      <c r="AB110" s="182" t="str" cm="1">
        <f t="array" ref="AB110">Common_InputFunctions.Utility_DisplayArrayInTable(Fertiliser_SourceData.Fertiliser_Products_Data1(),FertiliserProducts[[#Headers],[Include or Exclude]], 0,4)</f>
        <v/>
      </c>
      <c r="AC110" s="182" t="str" cm="1">
        <f t="array" ref="AC110">Common_InputFunctions.Utility_DisplayArrayInTable(Fertiliser_SourceData.Fertiliser_Products_Data1(),FertiliserProducts[[#Headers],[Include or Exclude]], 0,4)</f>
        <v/>
      </c>
      <c r="AD110" s="182" t="str" cm="1">
        <f t="array" ref="AD110">Common_InputFunctions.Utility_DisplayArrayInTable(Fertiliser_SourceData.Fertiliser_Products_Data1(),FertiliserProducts[[#Headers],[Include or Exclude]], 0,4)</f>
        <v/>
      </c>
      <c r="AE110" s="182" t="str" cm="1">
        <f t="array" ref="AE110">Common_InputFunctions.Utility_DisplayArrayInTable(Fertiliser_SourceData.Fertiliser_Products_Data1(),FertiliserProducts[[#Headers],[Include or Exclude]], 0,4)</f>
        <v/>
      </c>
    </row>
    <row r="111" spans="4:31" ht="20.100000000000001" customHeight="1" x14ac:dyDescent="0.25">
      <c r="D111" s="182" t="str" cm="1">
        <f t="array" ref="D111">Common_InputFunctions.Utility_DisplayArrayInTable(Fertiliser_SourceData.Fertiliser_Products_Data1(),FertiliserProducts[[#Headers],[Include or Exclude]], -1)</f>
        <v>Include</v>
      </c>
      <c r="E111" s="182" t="str" cm="1">
        <f t="array" ref="E111">Common_InputFunctions.Utility_DisplayArrayInTable(Fertiliser_SourceData.Fertiliser_Products_Data1(),FertiliserProducts[[#Headers],[Include or Exclude]], 0)</f>
        <v/>
      </c>
      <c r="F111" s="182" t="str" cm="1">
        <f t="array" ref="F111">Common_InputFunctions.Utility_DisplayArrayInTable(Fertiliser_SourceData.Fertiliser_Products_Data1(),FertiliserProducts[[#Headers],[Include or Exclude]], 0)</f>
        <v>Campbells fertilisers Australia</v>
      </c>
      <c r="G111" s="182" t="str" cm="1">
        <f t="array" ref="G111">Common_InputFunctions.Utility_DisplayArrayInTable(Fertiliser_SourceData.Fertiliser_Products_Data1(),FertiliserProducts[[#Headers],[Include or Exclude]], 0)</f>
        <v>Calcium 175</v>
      </c>
      <c r="H111" s="182" t="str" cm="1">
        <f t="array" ref="H111">Common_InputFunctions.Utility_DisplayArrayInTable(Fertiliser_SourceData.Fertiliser_Products_Data1(),FertiliserProducts[[#Headers],[Include or Exclude]], 0,4)</f>
        <v>L</v>
      </c>
      <c r="I111" s="182" t="str" cm="1">
        <f t="array" ref="I111">Common_InputFunctions.Utility_DisplayArrayInTable(Fertiliser_SourceData.Fertiliser_Products_Data1(),FertiliserProducts[[#Headers],[Include or Exclude]], 0,4)</f>
        <v/>
      </c>
      <c r="J111" s="182" t="str" cm="1">
        <f t="array" ref="J111">Common_InputFunctions.Utility_DisplayArrayInTable(Fertiliser_SourceData.Fertiliser_Products_Data1(),FertiliserProducts[[#Headers],[Include or Exclude]], 0,4)</f>
        <v/>
      </c>
      <c r="K111" s="182" t="str" cm="1">
        <f t="array" ref="K111">Common_InputFunctions.Utility_DisplayArrayInTable(Fertiliser_SourceData.Fertiliser_Products_Data1(),FertiliserProducts[[#Headers],[Include or Exclude]], 0,4)</f>
        <v/>
      </c>
      <c r="L111" s="182" t="str" cm="1">
        <f t="array" ref="L111">Common_InputFunctions.Utility_DisplayArrayInTable(Fertiliser_SourceData.Fertiliser_Products_Data1(),FertiliserProducts[[#Headers],[Include or Exclude]], 0,4)</f>
        <v/>
      </c>
      <c r="M111" s="182" t="str" cm="1">
        <f t="array" ref="M111">Common_InputFunctions.Utility_DisplayArrayInTable(Fertiliser_SourceData.Fertiliser_Products_Data1(),FertiliserProducts[[#Headers],[Include or Exclude]], 0,4)</f>
        <v/>
      </c>
      <c r="N111" s="182" t="str" cm="1">
        <f t="array" ref="N111">Common_InputFunctions.Utility_DisplayArrayInTable(Fertiliser_SourceData.Fertiliser_Products_Data1(),FertiliserProducts[[#Headers],[Include or Exclude]], 0,4)</f>
        <v/>
      </c>
      <c r="O111" s="182" t="str" cm="1">
        <f t="array" ref="O111">Common_InputFunctions.Utility_DisplayArrayInTable(Fertiliser_SourceData.Fertiliser_Products_Data1(),FertiliserProducts[[#Headers],[Include or Exclude]], 0,4)</f>
        <v/>
      </c>
      <c r="P111" s="182" t="str" cm="1">
        <f t="array" ref="P111">Common_InputFunctions.Utility_DisplayArrayInTable(Fertiliser_SourceData.Fertiliser_Products_Data1(),FertiliserProducts[[#Headers],[Include or Exclude]], 0,4)</f>
        <v/>
      </c>
      <c r="Q111" s="182" t="str" cm="1">
        <f t="array" ref="Q111">Common_InputFunctions.Utility_DisplayArrayInTable(Fertiliser_SourceData.Fertiliser_Products_Data1(),FertiliserProducts[[#Headers],[Include or Exclude]], 0,4)</f>
        <v/>
      </c>
      <c r="R111" s="182" t="str" cm="1">
        <f t="array" ref="R111">Common_InputFunctions.Utility_DisplayArrayInTable(Fertiliser_SourceData.Fertiliser_Products_Data1(),FertiliserProducts[[#Headers],[Include or Exclude]], 0,4)</f>
        <v/>
      </c>
      <c r="S111" s="182" t="str" cm="1">
        <f t="array" ref="S111">Common_InputFunctions.Utility_DisplayArrayInTable(Fertiliser_SourceData.Fertiliser_Products_Data1(),FertiliserProducts[[#Headers],[Include or Exclude]], 0,4)</f>
        <v/>
      </c>
      <c r="T111" s="182" t="str" cm="1">
        <f t="array" ref="T111">Common_InputFunctions.Utility_DisplayArrayInTable(Fertiliser_SourceData.Fertiliser_Products_Data1(),FertiliserProducts[[#Headers],[Include or Exclude]], 0,4)</f>
        <v/>
      </c>
      <c r="U111" s="182" t="str" cm="1">
        <f t="array" ref="U111">Common_InputFunctions.Utility_DisplayArrayInTable(Fertiliser_SourceData.Fertiliser_Products_Data1(),FertiliserProducts[[#Headers],[Include or Exclude]], 0,4)</f>
        <v/>
      </c>
      <c r="V111" s="182" t="str" cm="1">
        <f t="array" ref="V111">Common_InputFunctions.Utility_DisplayArrayInTable(Fertiliser_SourceData.Fertiliser_Products_Data1(),FertiliserProducts[[#Headers],[Include or Exclude]], 0,4)</f>
        <v/>
      </c>
      <c r="W111" s="182" t="str" cm="1">
        <f t="array" ref="W111">Common_InputFunctions.Utility_DisplayArrayInTable(Fertiliser_SourceData.Fertiliser_Products_Data1(),FertiliserProducts[[#Headers],[Include or Exclude]], 0,4)</f>
        <v/>
      </c>
      <c r="X111" s="182" t="str" cm="1">
        <f t="array" ref="X111">Common_InputFunctions.Utility_DisplayArrayInTable(Fertiliser_SourceData.Fertiliser_Products_Data1(),FertiliserProducts[[#Headers],[Include or Exclude]], 0,4)</f>
        <v/>
      </c>
      <c r="Y111" s="182" t="str" cm="1">
        <f t="array" ref="Y111">Common_InputFunctions.Utility_DisplayArrayInTable(Fertiliser_SourceData.Fertiliser_Products_Data1(),FertiliserProducts[[#Headers],[Include or Exclude]], 0,4)</f>
        <v/>
      </c>
      <c r="Z111" s="182" t="str" cm="1">
        <f t="array" ref="Z111">Common_InputFunctions.Utility_DisplayArrayInTable(Fertiliser_SourceData.Fertiliser_Products_Data1(),FertiliserProducts[[#Headers],[Include or Exclude]], 0,4)</f>
        <v/>
      </c>
      <c r="AA111" s="182" t="str" cm="1">
        <f t="array" ref="AA111">Common_InputFunctions.Utility_DisplayArrayInTable(Fertiliser_SourceData.Fertiliser_Products_Data1(),FertiliserProducts[[#Headers],[Include or Exclude]], 0,4)</f>
        <v/>
      </c>
      <c r="AB111" s="182" t="str" cm="1">
        <f t="array" ref="AB111">Common_InputFunctions.Utility_DisplayArrayInTable(Fertiliser_SourceData.Fertiliser_Products_Data1(),FertiliserProducts[[#Headers],[Include or Exclude]], 0,4)</f>
        <v/>
      </c>
      <c r="AC111" s="182" t="str" cm="1">
        <f t="array" ref="AC111">Common_InputFunctions.Utility_DisplayArrayInTable(Fertiliser_SourceData.Fertiliser_Products_Data1(),FertiliserProducts[[#Headers],[Include or Exclude]], 0,4)</f>
        <v/>
      </c>
      <c r="AD111" s="182" t="str" cm="1">
        <f t="array" ref="AD111">Common_InputFunctions.Utility_DisplayArrayInTable(Fertiliser_SourceData.Fertiliser_Products_Data1(),FertiliserProducts[[#Headers],[Include or Exclude]], 0,4)</f>
        <v/>
      </c>
      <c r="AE111" s="182" t="str" cm="1">
        <f t="array" ref="AE111">Common_InputFunctions.Utility_DisplayArrayInTable(Fertiliser_SourceData.Fertiliser_Products_Data1(),FertiliserProducts[[#Headers],[Include or Exclude]], 0,4)</f>
        <v/>
      </c>
    </row>
    <row r="112" spans="4:31" ht="20.100000000000001" customHeight="1" x14ac:dyDescent="0.25">
      <c r="D112" s="182" t="str" cm="1">
        <f t="array" ref="D112">Common_InputFunctions.Utility_DisplayArrayInTable(Fertiliser_SourceData.Fertiliser_Products_Data1(),FertiliserProducts[[#Headers],[Include or Exclude]], -1)</f>
        <v/>
      </c>
      <c r="E112" s="182" t="str" cm="1">
        <f t="array" ref="E112">Common_InputFunctions.Utility_DisplayArrayInTable(Fertiliser_SourceData.Fertiliser_Products_Data1(),FertiliserProducts[[#Headers],[Include or Exclude]], 0)</f>
        <v>Use Lime EF for calcium</v>
      </c>
      <c r="F112" s="182" t="str" cm="1">
        <f t="array" ref="F112">Common_InputFunctions.Utility_DisplayArrayInTable(Fertiliser_SourceData.Fertiliser_Products_Data1(),FertiliserProducts[[#Headers],[Include or Exclude]], 0)</f>
        <v>Campbells fertilisers Australia</v>
      </c>
      <c r="G112" s="182" t="str" cm="1">
        <f t="array" ref="G112">Common_InputFunctions.Utility_DisplayArrayInTable(Fertiliser_SourceData.Fertiliser_Products_Data1(),FertiliserProducts[[#Headers],[Include or Exclude]], 0)</f>
        <v>CalPhos</v>
      </c>
      <c r="H112" s="182" t="str" cm="1">
        <f t="array" ref="H112">Common_InputFunctions.Utility_DisplayArrayInTable(Fertiliser_SourceData.Fertiliser_Products_Data1(),FertiliserProducts[[#Headers],[Include or Exclude]], 0,4)</f>
        <v>L</v>
      </c>
      <c r="I112" s="182" cm="1">
        <f t="array" ref="I112">Common_InputFunctions.Utility_DisplayArrayInTable(Fertiliser_SourceData.Fertiliser_Products_Data1(),FertiliserProducts[[#Headers],[Include or Exclude]], 0,4)</f>
        <v>1.2849999999999999</v>
      </c>
      <c r="J112" s="182" t="str" cm="1">
        <f t="array" ref="J112">Common_InputFunctions.Utility_DisplayArrayInTable(Fertiliser_SourceData.Fertiliser_Products_Data1(),FertiliserProducts[[#Headers],[Include or Exclude]], 0,4)</f>
        <v/>
      </c>
      <c r="K112" s="182" t="str" cm="1">
        <f t="array" ref="K112">Common_InputFunctions.Utility_DisplayArrayInTable(Fertiliser_SourceData.Fertiliser_Products_Data1(),FertiliserProducts[[#Headers],[Include or Exclude]], 0,4)</f>
        <v/>
      </c>
      <c r="L112" s="182" t="str" cm="1">
        <f t="array" ref="L112">Common_InputFunctions.Utility_DisplayArrayInTable(Fertiliser_SourceData.Fertiliser_Products_Data1(),FertiliserProducts[[#Headers],[Include or Exclude]], 0,4)</f>
        <v>Phosphorus - Generic</v>
      </c>
      <c r="M112" s="182" cm="1">
        <f t="array" ref="M112">Common_InputFunctions.Utility_DisplayArrayInTable(Fertiliser_SourceData.Fertiliser_Products_Data1(),FertiliserProducts[[#Headers],[Include or Exclude]], 0,4)</f>
        <v>0.13500000000000001</v>
      </c>
      <c r="N112" s="182" t="str" cm="1">
        <f t="array" ref="N112">Common_InputFunctions.Utility_DisplayArrayInTable(Fertiliser_SourceData.Fertiliser_Products_Data1(),FertiliserProducts[[#Headers],[Include or Exclude]], 0,4)</f>
        <v>Calcium - Generic</v>
      </c>
      <c r="O112" s="182" cm="1">
        <f t="array" ref="O112">Common_InputFunctions.Utility_DisplayArrayInTable(Fertiliser_SourceData.Fertiliser_Products_Data1(),FertiliserProducts[[#Headers],[Include or Exclude]], 0,4)</f>
        <v>0.04</v>
      </c>
      <c r="P112" s="182" t="str" cm="1">
        <f t="array" ref="P112">Common_InputFunctions.Utility_DisplayArrayInTable(Fertiliser_SourceData.Fertiliser_Products_Data1(),FertiliserProducts[[#Headers],[Include or Exclude]], 0,4)</f>
        <v/>
      </c>
      <c r="Q112" s="182" t="str" cm="1">
        <f t="array" ref="Q112">Common_InputFunctions.Utility_DisplayArrayInTable(Fertiliser_SourceData.Fertiliser_Products_Data1(),FertiliserProducts[[#Headers],[Include or Exclude]], 0,4)</f>
        <v/>
      </c>
      <c r="R112" s="182" t="str" cm="1">
        <f t="array" ref="R112">Common_InputFunctions.Utility_DisplayArrayInTable(Fertiliser_SourceData.Fertiliser_Products_Data1(),FertiliserProducts[[#Headers],[Include or Exclude]], 0,4)</f>
        <v/>
      </c>
      <c r="S112" s="182" t="str" cm="1">
        <f t="array" ref="S112">Common_InputFunctions.Utility_DisplayArrayInTable(Fertiliser_SourceData.Fertiliser_Products_Data1(),FertiliserProducts[[#Headers],[Include or Exclude]], 0,4)</f>
        <v/>
      </c>
      <c r="T112" s="182" t="str" cm="1">
        <f t="array" ref="T112">Common_InputFunctions.Utility_DisplayArrayInTable(Fertiliser_SourceData.Fertiliser_Products_Data1(),FertiliserProducts[[#Headers],[Include or Exclude]], 0,4)</f>
        <v/>
      </c>
      <c r="U112" s="182" t="str" cm="1">
        <f t="array" ref="U112">Common_InputFunctions.Utility_DisplayArrayInTable(Fertiliser_SourceData.Fertiliser_Products_Data1(),FertiliserProducts[[#Headers],[Include or Exclude]], 0,4)</f>
        <v/>
      </c>
      <c r="V112" s="182" t="str" cm="1">
        <f t="array" ref="V112">Common_InputFunctions.Utility_DisplayArrayInTable(Fertiliser_SourceData.Fertiliser_Products_Data1(),FertiliserProducts[[#Headers],[Include or Exclude]], 0,4)</f>
        <v/>
      </c>
      <c r="W112" s="182" t="str" cm="1">
        <f t="array" ref="W112">Common_InputFunctions.Utility_DisplayArrayInTable(Fertiliser_SourceData.Fertiliser_Products_Data1(),FertiliserProducts[[#Headers],[Include or Exclude]], 0,4)</f>
        <v/>
      </c>
      <c r="X112" s="182" t="str" cm="1">
        <f t="array" ref="X112">Common_InputFunctions.Utility_DisplayArrayInTable(Fertiliser_SourceData.Fertiliser_Products_Data1(),FertiliserProducts[[#Headers],[Include or Exclude]], 0,4)</f>
        <v/>
      </c>
      <c r="Y112" s="182" t="str" cm="1">
        <f t="array" ref="Y112">Common_InputFunctions.Utility_DisplayArrayInTable(Fertiliser_SourceData.Fertiliser_Products_Data1(),FertiliserProducts[[#Headers],[Include or Exclude]], 0,4)</f>
        <v/>
      </c>
      <c r="Z112" s="182" t="str" cm="1">
        <f t="array" ref="Z112">Common_InputFunctions.Utility_DisplayArrayInTable(Fertiliser_SourceData.Fertiliser_Products_Data1(),FertiliserProducts[[#Headers],[Include or Exclude]], 0,4)</f>
        <v/>
      </c>
      <c r="AA112" s="182" t="str" cm="1">
        <f t="array" ref="AA112">Common_InputFunctions.Utility_DisplayArrayInTable(Fertiliser_SourceData.Fertiliser_Products_Data1(),FertiliserProducts[[#Headers],[Include or Exclude]], 0,4)</f>
        <v/>
      </c>
      <c r="AB112" s="182" t="str" cm="1">
        <f t="array" ref="AB112">Common_InputFunctions.Utility_DisplayArrayInTable(Fertiliser_SourceData.Fertiliser_Products_Data1(),FertiliserProducts[[#Headers],[Include or Exclude]], 0,4)</f>
        <v/>
      </c>
      <c r="AC112" s="182" t="str" cm="1">
        <f t="array" ref="AC112">Common_InputFunctions.Utility_DisplayArrayInTable(Fertiliser_SourceData.Fertiliser_Products_Data1(),FertiliserProducts[[#Headers],[Include or Exclude]], 0,4)</f>
        <v/>
      </c>
      <c r="AD112" s="182" t="str" cm="1">
        <f t="array" ref="AD112">Common_InputFunctions.Utility_DisplayArrayInTable(Fertiliser_SourceData.Fertiliser_Products_Data1(),FertiliserProducts[[#Headers],[Include or Exclude]], 0,4)</f>
        <v/>
      </c>
      <c r="AE112" s="182" t="str" cm="1">
        <f t="array" ref="AE112">Common_InputFunctions.Utility_DisplayArrayInTable(Fertiliser_SourceData.Fertiliser_Products_Data1(),FertiliserProducts[[#Headers],[Include or Exclude]], 0,4)</f>
        <v/>
      </c>
    </row>
    <row r="113" spans="4:31" ht="20.100000000000001" customHeight="1" x14ac:dyDescent="0.25">
      <c r="D113" s="182" t="str" cm="1">
        <f t="array" ref="D113">Common_InputFunctions.Utility_DisplayArrayInTable(Fertiliser_SourceData.Fertiliser_Products_Data1(),FertiliserProducts[[#Headers],[Include or Exclude]], -1)</f>
        <v/>
      </c>
      <c r="E113" s="182" t="str" cm="1">
        <f t="array" ref="E113">Common_InputFunctions.Utility_DisplayArrayInTable(Fertiliser_SourceData.Fertiliser_Products_Data1(),FertiliserProducts[[#Headers],[Include or Exclude]], 0)</f>
        <v/>
      </c>
      <c r="F113" s="182" t="str" cm="1">
        <f t="array" ref="F113">Common_InputFunctions.Utility_DisplayArrayInTable(Fertiliser_SourceData.Fertiliser_Products_Data1(),FertiliserProducts[[#Headers],[Include or Exclude]], 0)</f>
        <v/>
      </c>
      <c r="G113" s="182" t="str" cm="1">
        <f t="array" ref="G113">Common_InputFunctions.Utility_DisplayArrayInTable(Fertiliser_SourceData.Fertiliser_Products_Data1(),FertiliserProducts[[#Headers],[Include or Exclude]], 0)</f>
        <v/>
      </c>
      <c r="H113" s="182" t="str" cm="1">
        <f t="array" ref="H113">Common_InputFunctions.Utility_DisplayArrayInTable(Fertiliser_SourceData.Fertiliser_Products_Data1(),FertiliserProducts[[#Headers],[Include or Exclude]], 0,4)</f>
        <v/>
      </c>
      <c r="I113" s="182" t="str" cm="1">
        <f t="array" ref="I113">Common_InputFunctions.Utility_DisplayArrayInTable(Fertiliser_SourceData.Fertiliser_Products_Data1(),FertiliserProducts[[#Headers],[Include or Exclude]], 0,4)</f>
        <v/>
      </c>
      <c r="J113" s="182" t="str" cm="1">
        <f t="array" ref="J113">Common_InputFunctions.Utility_DisplayArrayInTable(Fertiliser_SourceData.Fertiliser_Products_Data1(),FertiliserProducts[[#Headers],[Include or Exclude]], 0,4)</f>
        <v/>
      </c>
      <c r="K113" s="182" t="str" cm="1">
        <f t="array" ref="K113">Common_InputFunctions.Utility_DisplayArrayInTable(Fertiliser_SourceData.Fertiliser_Products_Data1(),FertiliserProducts[[#Headers],[Include or Exclude]], 0,4)</f>
        <v/>
      </c>
      <c r="L113" s="182" t="str" cm="1">
        <f t="array" ref="L113">Common_InputFunctions.Utility_DisplayArrayInTable(Fertiliser_SourceData.Fertiliser_Products_Data1(),FertiliserProducts[[#Headers],[Include or Exclude]], 0,4)</f>
        <v/>
      </c>
      <c r="M113" s="182" t="str" cm="1">
        <f t="array" ref="M113">Common_InputFunctions.Utility_DisplayArrayInTable(Fertiliser_SourceData.Fertiliser_Products_Data1(),FertiliserProducts[[#Headers],[Include or Exclude]], 0,4)</f>
        <v/>
      </c>
      <c r="N113" s="182" t="str" cm="1">
        <f t="array" ref="N113">Common_InputFunctions.Utility_DisplayArrayInTable(Fertiliser_SourceData.Fertiliser_Products_Data1(),FertiliserProducts[[#Headers],[Include or Exclude]], 0,4)</f>
        <v/>
      </c>
      <c r="O113" s="182" t="str" cm="1">
        <f t="array" ref="O113">Common_InputFunctions.Utility_DisplayArrayInTable(Fertiliser_SourceData.Fertiliser_Products_Data1(),FertiliserProducts[[#Headers],[Include or Exclude]], 0,4)</f>
        <v/>
      </c>
      <c r="P113" s="182" t="str" cm="1">
        <f t="array" ref="P113">Common_InputFunctions.Utility_DisplayArrayInTable(Fertiliser_SourceData.Fertiliser_Products_Data1(),FertiliserProducts[[#Headers],[Include or Exclude]], 0,4)</f>
        <v/>
      </c>
      <c r="Q113" s="182" t="str" cm="1">
        <f t="array" ref="Q113">Common_InputFunctions.Utility_DisplayArrayInTable(Fertiliser_SourceData.Fertiliser_Products_Data1(),FertiliserProducts[[#Headers],[Include or Exclude]], 0,4)</f>
        <v/>
      </c>
      <c r="R113" s="182" t="str" cm="1">
        <f t="array" ref="R113">Common_InputFunctions.Utility_DisplayArrayInTable(Fertiliser_SourceData.Fertiliser_Products_Data1(),FertiliserProducts[[#Headers],[Include or Exclude]], 0,4)</f>
        <v/>
      </c>
      <c r="S113" s="182" t="str" cm="1">
        <f t="array" ref="S113">Common_InputFunctions.Utility_DisplayArrayInTable(Fertiliser_SourceData.Fertiliser_Products_Data1(),FertiliserProducts[[#Headers],[Include or Exclude]], 0,4)</f>
        <v/>
      </c>
      <c r="T113" s="182" t="str" cm="1">
        <f t="array" ref="T113">Common_InputFunctions.Utility_DisplayArrayInTable(Fertiliser_SourceData.Fertiliser_Products_Data1(),FertiliserProducts[[#Headers],[Include or Exclude]], 0,4)</f>
        <v/>
      </c>
      <c r="U113" s="182" t="str" cm="1">
        <f t="array" ref="U113">Common_InputFunctions.Utility_DisplayArrayInTable(Fertiliser_SourceData.Fertiliser_Products_Data1(),FertiliserProducts[[#Headers],[Include or Exclude]], 0,4)</f>
        <v/>
      </c>
      <c r="V113" s="182" t="str" cm="1">
        <f t="array" ref="V113">Common_InputFunctions.Utility_DisplayArrayInTable(Fertiliser_SourceData.Fertiliser_Products_Data1(),FertiliserProducts[[#Headers],[Include or Exclude]], 0,4)</f>
        <v/>
      </c>
      <c r="W113" s="182" t="str" cm="1">
        <f t="array" ref="W113">Common_InputFunctions.Utility_DisplayArrayInTable(Fertiliser_SourceData.Fertiliser_Products_Data1(),FertiliserProducts[[#Headers],[Include or Exclude]], 0,4)</f>
        <v/>
      </c>
      <c r="X113" s="182" t="str" cm="1">
        <f t="array" ref="X113">Common_InputFunctions.Utility_DisplayArrayInTable(Fertiliser_SourceData.Fertiliser_Products_Data1(),FertiliserProducts[[#Headers],[Include or Exclude]], 0,4)</f>
        <v/>
      </c>
      <c r="Y113" s="182" t="str" cm="1">
        <f t="array" ref="Y113">Common_InputFunctions.Utility_DisplayArrayInTable(Fertiliser_SourceData.Fertiliser_Products_Data1(),FertiliserProducts[[#Headers],[Include or Exclude]], 0,4)</f>
        <v/>
      </c>
      <c r="Z113" s="182" t="str" cm="1">
        <f t="array" ref="Z113">Common_InputFunctions.Utility_DisplayArrayInTable(Fertiliser_SourceData.Fertiliser_Products_Data1(),FertiliserProducts[[#Headers],[Include or Exclude]], 0,4)</f>
        <v/>
      </c>
      <c r="AA113" s="182" t="str" cm="1">
        <f t="array" ref="AA113">Common_InputFunctions.Utility_DisplayArrayInTable(Fertiliser_SourceData.Fertiliser_Products_Data1(),FertiliserProducts[[#Headers],[Include or Exclude]], 0,4)</f>
        <v/>
      </c>
      <c r="AB113" s="182" t="str" cm="1">
        <f t="array" ref="AB113">Common_InputFunctions.Utility_DisplayArrayInTable(Fertiliser_SourceData.Fertiliser_Products_Data1(),FertiliserProducts[[#Headers],[Include or Exclude]], 0,4)</f>
        <v/>
      </c>
      <c r="AC113" s="182" t="str" cm="1">
        <f t="array" ref="AC113">Common_InputFunctions.Utility_DisplayArrayInTable(Fertiliser_SourceData.Fertiliser_Products_Data1(),FertiliserProducts[[#Headers],[Include or Exclude]], 0,4)</f>
        <v/>
      </c>
      <c r="AD113" s="182" t="str" cm="1">
        <f t="array" ref="AD113">Common_InputFunctions.Utility_DisplayArrayInTable(Fertiliser_SourceData.Fertiliser_Products_Data1(),FertiliserProducts[[#Headers],[Include or Exclude]], 0,4)</f>
        <v/>
      </c>
      <c r="AE113" s="182" t="str" cm="1">
        <f t="array" ref="AE113">Common_InputFunctions.Utility_DisplayArrayInTable(Fertiliser_SourceData.Fertiliser_Products_Data1(),FertiliserProducts[[#Headers],[Include or Exclude]], 0,4)</f>
        <v/>
      </c>
    </row>
    <row r="114" spans="4:31" ht="20.100000000000001" customHeight="1" x14ac:dyDescent="0.25">
      <c r="D114" s="182" t="str" cm="1">
        <f t="array" ref="D114">Common_InputFunctions.Utility_DisplayArrayInTable(Fertiliser_SourceData.Fertiliser_Products_Data1(),FertiliserProducts[[#Headers],[Include or Exclude]], -1)</f>
        <v/>
      </c>
      <c r="E114" s="182" t="str" cm="1">
        <f t="array" ref="E114">Common_InputFunctions.Utility_DisplayArrayInTable(Fertiliser_SourceData.Fertiliser_Products_Data1(),FertiliserProducts[[#Headers],[Include or Exclude]], 0)</f>
        <v/>
      </c>
      <c r="F114" s="182" t="str" cm="1">
        <f t="array" ref="F114">Common_InputFunctions.Utility_DisplayArrayInTable(Fertiliser_SourceData.Fertiliser_Products_Data1(),FertiliserProducts[[#Headers],[Include or Exclude]], 0)</f>
        <v/>
      </c>
      <c r="G114" s="182" t="str" cm="1">
        <f t="array" ref="G114">Common_InputFunctions.Utility_DisplayArrayInTable(Fertiliser_SourceData.Fertiliser_Products_Data1(),FertiliserProducts[[#Headers],[Include or Exclude]], 0)</f>
        <v/>
      </c>
      <c r="H114" s="182" t="str" cm="1">
        <f t="array" ref="H114">Common_InputFunctions.Utility_DisplayArrayInTable(Fertiliser_SourceData.Fertiliser_Products_Data1(),FertiliserProducts[[#Headers],[Include or Exclude]], 0,4)</f>
        <v/>
      </c>
      <c r="I114" s="182" t="str" cm="1">
        <f t="array" ref="I114">Common_InputFunctions.Utility_DisplayArrayInTable(Fertiliser_SourceData.Fertiliser_Products_Data1(),FertiliserProducts[[#Headers],[Include or Exclude]], 0,4)</f>
        <v/>
      </c>
      <c r="J114" s="182" t="str" cm="1">
        <f t="array" ref="J114">Common_InputFunctions.Utility_DisplayArrayInTable(Fertiliser_SourceData.Fertiliser_Products_Data1(),FertiliserProducts[[#Headers],[Include or Exclude]], 0,4)</f>
        <v/>
      </c>
      <c r="K114" s="182" t="str" cm="1">
        <f t="array" ref="K114">Common_InputFunctions.Utility_DisplayArrayInTable(Fertiliser_SourceData.Fertiliser_Products_Data1(),FertiliserProducts[[#Headers],[Include or Exclude]], 0,4)</f>
        <v/>
      </c>
      <c r="L114" s="182" t="str" cm="1">
        <f t="array" ref="L114">Common_InputFunctions.Utility_DisplayArrayInTable(Fertiliser_SourceData.Fertiliser_Products_Data1(),FertiliserProducts[[#Headers],[Include or Exclude]], 0,4)</f>
        <v/>
      </c>
      <c r="M114" s="182" t="str" cm="1">
        <f t="array" ref="M114">Common_InputFunctions.Utility_DisplayArrayInTable(Fertiliser_SourceData.Fertiliser_Products_Data1(),FertiliserProducts[[#Headers],[Include or Exclude]], 0,4)</f>
        <v/>
      </c>
      <c r="N114" s="182" t="str" cm="1">
        <f t="array" ref="N114">Common_InputFunctions.Utility_DisplayArrayInTable(Fertiliser_SourceData.Fertiliser_Products_Data1(),FertiliserProducts[[#Headers],[Include or Exclude]], 0,4)</f>
        <v/>
      </c>
      <c r="O114" s="182" t="str" cm="1">
        <f t="array" ref="O114">Common_InputFunctions.Utility_DisplayArrayInTable(Fertiliser_SourceData.Fertiliser_Products_Data1(),FertiliserProducts[[#Headers],[Include or Exclude]], 0,4)</f>
        <v/>
      </c>
      <c r="P114" s="182" t="str" cm="1">
        <f t="array" ref="P114">Common_InputFunctions.Utility_DisplayArrayInTable(Fertiliser_SourceData.Fertiliser_Products_Data1(),FertiliserProducts[[#Headers],[Include or Exclude]], 0,4)</f>
        <v/>
      </c>
      <c r="Q114" s="182" t="str" cm="1">
        <f t="array" ref="Q114">Common_InputFunctions.Utility_DisplayArrayInTable(Fertiliser_SourceData.Fertiliser_Products_Data1(),FertiliserProducts[[#Headers],[Include or Exclude]], 0,4)</f>
        <v/>
      </c>
      <c r="R114" s="182" t="str" cm="1">
        <f t="array" ref="R114">Common_InputFunctions.Utility_DisplayArrayInTable(Fertiliser_SourceData.Fertiliser_Products_Data1(),FertiliserProducts[[#Headers],[Include or Exclude]], 0,4)</f>
        <v/>
      </c>
      <c r="S114" s="182" t="str" cm="1">
        <f t="array" ref="S114">Common_InputFunctions.Utility_DisplayArrayInTable(Fertiliser_SourceData.Fertiliser_Products_Data1(),FertiliserProducts[[#Headers],[Include or Exclude]], 0,4)</f>
        <v/>
      </c>
      <c r="T114" s="182" t="str" cm="1">
        <f t="array" ref="T114">Common_InputFunctions.Utility_DisplayArrayInTable(Fertiliser_SourceData.Fertiliser_Products_Data1(),FertiliserProducts[[#Headers],[Include or Exclude]], 0,4)</f>
        <v/>
      </c>
      <c r="U114" s="182" t="str" cm="1">
        <f t="array" ref="U114">Common_InputFunctions.Utility_DisplayArrayInTable(Fertiliser_SourceData.Fertiliser_Products_Data1(),FertiliserProducts[[#Headers],[Include or Exclude]], 0,4)</f>
        <v/>
      </c>
      <c r="V114" s="182" t="str" cm="1">
        <f t="array" ref="V114">Common_InputFunctions.Utility_DisplayArrayInTable(Fertiliser_SourceData.Fertiliser_Products_Data1(),FertiliserProducts[[#Headers],[Include or Exclude]], 0,4)</f>
        <v/>
      </c>
      <c r="W114" s="182" t="str" cm="1">
        <f t="array" ref="W114">Common_InputFunctions.Utility_DisplayArrayInTable(Fertiliser_SourceData.Fertiliser_Products_Data1(),FertiliserProducts[[#Headers],[Include or Exclude]], 0,4)</f>
        <v/>
      </c>
      <c r="X114" s="182" t="str" cm="1">
        <f t="array" ref="X114">Common_InputFunctions.Utility_DisplayArrayInTable(Fertiliser_SourceData.Fertiliser_Products_Data1(),FertiliserProducts[[#Headers],[Include or Exclude]], 0,4)</f>
        <v/>
      </c>
      <c r="Y114" s="182" t="str" cm="1">
        <f t="array" ref="Y114">Common_InputFunctions.Utility_DisplayArrayInTable(Fertiliser_SourceData.Fertiliser_Products_Data1(),FertiliserProducts[[#Headers],[Include or Exclude]], 0,4)</f>
        <v/>
      </c>
      <c r="Z114" s="182" t="str" cm="1">
        <f t="array" ref="Z114">Common_InputFunctions.Utility_DisplayArrayInTable(Fertiliser_SourceData.Fertiliser_Products_Data1(),FertiliserProducts[[#Headers],[Include or Exclude]], 0,4)</f>
        <v/>
      </c>
      <c r="AA114" s="182" t="str" cm="1">
        <f t="array" ref="AA114">Common_InputFunctions.Utility_DisplayArrayInTable(Fertiliser_SourceData.Fertiliser_Products_Data1(),FertiliserProducts[[#Headers],[Include or Exclude]], 0,4)</f>
        <v/>
      </c>
      <c r="AB114" s="182" t="str" cm="1">
        <f t="array" ref="AB114">Common_InputFunctions.Utility_DisplayArrayInTable(Fertiliser_SourceData.Fertiliser_Products_Data1(),FertiliserProducts[[#Headers],[Include or Exclude]], 0,4)</f>
        <v/>
      </c>
      <c r="AC114" s="182" t="str" cm="1">
        <f t="array" ref="AC114">Common_InputFunctions.Utility_DisplayArrayInTable(Fertiliser_SourceData.Fertiliser_Products_Data1(),FertiliserProducts[[#Headers],[Include or Exclude]], 0,4)</f>
        <v/>
      </c>
      <c r="AD114" s="182" t="str" cm="1">
        <f t="array" ref="AD114">Common_InputFunctions.Utility_DisplayArrayInTable(Fertiliser_SourceData.Fertiliser_Products_Data1(),FertiliserProducts[[#Headers],[Include or Exclude]], 0,4)</f>
        <v/>
      </c>
      <c r="AE114" s="182" t="str" cm="1">
        <f t="array" ref="AE114">Common_InputFunctions.Utility_DisplayArrayInTable(Fertiliser_SourceData.Fertiliser_Products_Data1(),FertiliserProducts[[#Headers],[Include or Exclude]], 0,4)</f>
        <v/>
      </c>
    </row>
    <row r="115" spans="4:31" ht="20.100000000000001" customHeight="1" x14ac:dyDescent="0.25">
      <c r="D115" s="182" t="str" cm="1">
        <f t="array" ref="D115">Common_InputFunctions.Utility_DisplayArrayInTable(Fertiliser_SourceData.Fertiliser_Products_Data1(),FertiliserProducts[[#Headers],[Include or Exclude]], -1)</f>
        <v/>
      </c>
      <c r="E115" s="182" t="str" cm="1">
        <f t="array" ref="E115">Common_InputFunctions.Utility_DisplayArrayInTable(Fertiliser_SourceData.Fertiliser_Products_Data1(),FertiliserProducts[[#Headers],[Include or Exclude]], 0)</f>
        <v/>
      </c>
      <c r="F115" s="182" t="str" cm="1">
        <f t="array" ref="F115">Common_InputFunctions.Utility_DisplayArrayInTable(Fertiliser_SourceData.Fertiliser_Products_Data1(),FertiliserProducts[[#Headers],[Include or Exclude]], 0)</f>
        <v/>
      </c>
      <c r="G115" s="182" t="str" cm="1">
        <f t="array" ref="G115">Common_InputFunctions.Utility_DisplayArrayInTable(Fertiliser_SourceData.Fertiliser_Products_Data1(),FertiliserProducts[[#Headers],[Include or Exclude]], 0)</f>
        <v/>
      </c>
      <c r="H115" s="182" t="str" cm="1">
        <f t="array" ref="H115">Common_InputFunctions.Utility_DisplayArrayInTable(Fertiliser_SourceData.Fertiliser_Products_Data1(),FertiliserProducts[[#Headers],[Include or Exclude]], 0,4)</f>
        <v/>
      </c>
      <c r="I115" s="182" t="str" cm="1">
        <f t="array" ref="I115">Common_InputFunctions.Utility_DisplayArrayInTable(Fertiliser_SourceData.Fertiliser_Products_Data1(),FertiliserProducts[[#Headers],[Include or Exclude]], 0,4)</f>
        <v/>
      </c>
      <c r="J115" s="182" t="str" cm="1">
        <f t="array" ref="J115">Common_InputFunctions.Utility_DisplayArrayInTable(Fertiliser_SourceData.Fertiliser_Products_Data1(),FertiliserProducts[[#Headers],[Include or Exclude]], 0,4)</f>
        <v/>
      </c>
      <c r="K115" s="182" t="str" cm="1">
        <f t="array" ref="K115">Common_InputFunctions.Utility_DisplayArrayInTable(Fertiliser_SourceData.Fertiliser_Products_Data1(),FertiliserProducts[[#Headers],[Include or Exclude]], 0,4)</f>
        <v/>
      </c>
      <c r="L115" s="182" t="str" cm="1">
        <f t="array" ref="L115">Common_InputFunctions.Utility_DisplayArrayInTable(Fertiliser_SourceData.Fertiliser_Products_Data1(),FertiliserProducts[[#Headers],[Include or Exclude]], 0,4)</f>
        <v/>
      </c>
      <c r="M115" s="182" t="str" cm="1">
        <f t="array" ref="M115">Common_InputFunctions.Utility_DisplayArrayInTable(Fertiliser_SourceData.Fertiliser_Products_Data1(),FertiliserProducts[[#Headers],[Include or Exclude]], 0,4)</f>
        <v/>
      </c>
      <c r="N115" s="182" t="str" cm="1">
        <f t="array" ref="N115">Common_InputFunctions.Utility_DisplayArrayInTable(Fertiliser_SourceData.Fertiliser_Products_Data1(),FertiliserProducts[[#Headers],[Include or Exclude]], 0,4)</f>
        <v/>
      </c>
      <c r="O115" s="182" t="str" cm="1">
        <f t="array" ref="O115">Common_InputFunctions.Utility_DisplayArrayInTable(Fertiliser_SourceData.Fertiliser_Products_Data1(),FertiliserProducts[[#Headers],[Include or Exclude]], 0,4)</f>
        <v/>
      </c>
      <c r="P115" s="182" t="str" cm="1">
        <f t="array" ref="P115">Common_InputFunctions.Utility_DisplayArrayInTable(Fertiliser_SourceData.Fertiliser_Products_Data1(),FertiliserProducts[[#Headers],[Include or Exclude]], 0,4)</f>
        <v/>
      </c>
      <c r="Q115" s="182" t="str" cm="1">
        <f t="array" ref="Q115">Common_InputFunctions.Utility_DisplayArrayInTable(Fertiliser_SourceData.Fertiliser_Products_Data1(),FertiliserProducts[[#Headers],[Include or Exclude]], 0,4)</f>
        <v/>
      </c>
      <c r="R115" s="182" t="str" cm="1">
        <f t="array" ref="R115">Common_InputFunctions.Utility_DisplayArrayInTable(Fertiliser_SourceData.Fertiliser_Products_Data1(),FertiliserProducts[[#Headers],[Include or Exclude]], 0,4)</f>
        <v/>
      </c>
      <c r="S115" s="182" t="str" cm="1">
        <f t="array" ref="S115">Common_InputFunctions.Utility_DisplayArrayInTable(Fertiliser_SourceData.Fertiliser_Products_Data1(),FertiliserProducts[[#Headers],[Include or Exclude]], 0,4)</f>
        <v/>
      </c>
      <c r="T115" s="182" t="str" cm="1">
        <f t="array" ref="T115">Common_InputFunctions.Utility_DisplayArrayInTable(Fertiliser_SourceData.Fertiliser_Products_Data1(),FertiliserProducts[[#Headers],[Include or Exclude]], 0,4)</f>
        <v/>
      </c>
      <c r="U115" s="182" t="str" cm="1">
        <f t="array" ref="U115">Common_InputFunctions.Utility_DisplayArrayInTable(Fertiliser_SourceData.Fertiliser_Products_Data1(),FertiliserProducts[[#Headers],[Include or Exclude]], 0,4)</f>
        <v/>
      </c>
      <c r="V115" s="182" t="str" cm="1">
        <f t="array" ref="V115">Common_InputFunctions.Utility_DisplayArrayInTable(Fertiliser_SourceData.Fertiliser_Products_Data1(),FertiliserProducts[[#Headers],[Include or Exclude]], 0,4)</f>
        <v/>
      </c>
      <c r="W115" s="182" t="str" cm="1">
        <f t="array" ref="W115">Common_InputFunctions.Utility_DisplayArrayInTable(Fertiliser_SourceData.Fertiliser_Products_Data1(),FertiliserProducts[[#Headers],[Include or Exclude]], 0,4)</f>
        <v/>
      </c>
      <c r="X115" s="182" t="str" cm="1">
        <f t="array" ref="X115">Common_InputFunctions.Utility_DisplayArrayInTable(Fertiliser_SourceData.Fertiliser_Products_Data1(),FertiliserProducts[[#Headers],[Include or Exclude]], 0,4)</f>
        <v/>
      </c>
      <c r="Y115" s="182" t="str" cm="1">
        <f t="array" ref="Y115">Common_InputFunctions.Utility_DisplayArrayInTable(Fertiliser_SourceData.Fertiliser_Products_Data1(),FertiliserProducts[[#Headers],[Include or Exclude]], 0,4)</f>
        <v/>
      </c>
      <c r="Z115" s="182" t="str" cm="1">
        <f t="array" ref="Z115">Common_InputFunctions.Utility_DisplayArrayInTable(Fertiliser_SourceData.Fertiliser_Products_Data1(),FertiliserProducts[[#Headers],[Include or Exclude]], 0,4)</f>
        <v/>
      </c>
      <c r="AA115" s="182" t="str" cm="1">
        <f t="array" ref="AA115">Common_InputFunctions.Utility_DisplayArrayInTable(Fertiliser_SourceData.Fertiliser_Products_Data1(),FertiliserProducts[[#Headers],[Include or Exclude]], 0,4)</f>
        <v/>
      </c>
      <c r="AB115" s="182" t="str" cm="1">
        <f t="array" ref="AB115">Common_InputFunctions.Utility_DisplayArrayInTable(Fertiliser_SourceData.Fertiliser_Products_Data1(),FertiliserProducts[[#Headers],[Include or Exclude]], 0,4)</f>
        <v/>
      </c>
      <c r="AC115" s="182" t="str" cm="1">
        <f t="array" ref="AC115">Common_InputFunctions.Utility_DisplayArrayInTable(Fertiliser_SourceData.Fertiliser_Products_Data1(),FertiliserProducts[[#Headers],[Include or Exclude]], 0,4)</f>
        <v/>
      </c>
      <c r="AD115" s="182" t="str" cm="1">
        <f t="array" ref="AD115">Common_InputFunctions.Utility_DisplayArrayInTable(Fertiliser_SourceData.Fertiliser_Products_Data1(),FertiliserProducts[[#Headers],[Include or Exclude]], 0,4)</f>
        <v/>
      </c>
      <c r="AE115" s="182" t="str" cm="1">
        <f t="array" ref="AE115">Common_InputFunctions.Utility_DisplayArrayInTable(Fertiliser_SourceData.Fertiliser_Products_Data1(),FertiliserProducts[[#Headers],[Include or Exclude]], 0,4)</f>
        <v/>
      </c>
    </row>
    <row r="116" spans="4:31" ht="20.100000000000001" customHeight="1" x14ac:dyDescent="0.25">
      <c r="D116" s="182" t="str" cm="1">
        <f t="array" ref="D116">Common_InputFunctions.Utility_DisplayArrayInTable(Fertiliser_SourceData.Fertiliser_Products_Data1(),FertiliserProducts[[#Headers],[Include or Exclude]], -1)</f>
        <v/>
      </c>
      <c r="E116" s="182" t="str" cm="1">
        <f t="array" ref="E116">Common_InputFunctions.Utility_DisplayArrayInTable(Fertiliser_SourceData.Fertiliser_Products_Data1(),FertiliserProducts[[#Headers],[Include or Exclude]], 0)</f>
        <v/>
      </c>
      <c r="F116" s="182" t="str" cm="1">
        <f t="array" ref="F116">Common_InputFunctions.Utility_DisplayArrayInTable(Fertiliser_SourceData.Fertiliser_Products_Data1(),FertiliserProducts[[#Headers],[Include or Exclude]], 0)</f>
        <v/>
      </c>
      <c r="G116" s="182" t="str" cm="1">
        <f t="array" ref="G116">Common_InputFunctions.Utility_DisplayArrayInTable(Fertiliser_SourceData.Fertiliser_Products_Data1(),FertiliserProducts[[#Headers],[Include or Exclude]], 0)</f>
        <v/>
      </c>
      <c r="H116" s="182" t="str" cm="1">
        <f t="array" ref="H116">Common_InputFunctions.Utility_DisplayArrayInTable(Fertiliser_SourceData.Fertiliser_Products_Data1(),FertiliserProducts[[#Headers],[Include or Exclude]], 0,4)</f>
        <v/>
      </c>
      <c r="I116" s="182" t="str" cm="1">
        <f t="array" ref="I116">Common_InputFunctions.Utility_DisplayArrayInTable(Fertiliser_SourceData.Fertiliser_Products_Data1(),FertiliserProducts[[#Headers],[Include or Exclude]], 0,4)</f>
        <v/>
      </c>
      <c r="J116" s="182" t="str" cm="1">
        <f t="array" ref="J116">Common_InputFunctions.Utility_DisplayArrayInTable(Fertiliser_SourceData.Fertiliser_Products_Data1(),FertiliserProducts[[#Headers],[Include or Exclude]], 0,4)</f>
        <v/>
      </c>
      <c r="K116" s="182" t="str" cm="1">
        <f t="array" ref="K116">Common_InputFunctions.Utility_DisplayArrayInTable(Fertiliser_SourceData.Fertiliser_Products_Data1(),FertiliserProducts[[#Headers],[Include or Exclude]], 0,4)</f>
        <v/>
      </c>
      <c r="L116" s="182" t="str" cm="1">
        <f t="array" ref="L116">Common_InputFunctions.Utility_DisplayArrayInTable(Fertiliser_SourceData.Fertiliser_Products_Data1(),FertiliserProducts[[#Headers],[Include or Exclude]], 0,4)</f>
        <v/>
      </c>
      <c r="M116" s="182" t="str" cm="1">
        <f t="array" ref="M116">Common_InputFunctions.Utility_DisplayArrayInTable(Fertiliser_SourceData.Fertiliser_Products_Data1(),FertiliserProducts[[#Headers],[Include or Exclude]], 0,4)</f>
        <v/>
      </c>
      <c r="N116" s="182" t="str" cm="1">
        <f t="array" ref="N116">Common_InputFunctions.Utility_DisplayArrayInTable(Fertiliser_SourceData.Fertiliser_Products_Data1(),FertiliserProducts[[#Headers],[Include or Exclude]], 0,4)</f>
        <v/>
      </c>
      <c r="O116" s="182" t="str" cm="1">
        <f t="array" ref="O116">Common_InputFunctions.Utility_DisplayArrayInTable(Fertiliser_SourceData.Fertiliser_Products_Data1(),FertiliserProducts[[#Headers],[Include or Exclude]], 0,4)</f>
        <v/>
      </c>
      <c r="P116" s="182" t="str" cm="1">
        <f t="array" ref="P116">Common_InputFunctions.Utility_DisplayArrayInTable(Fertiliser_SourceData.Fertiliser_Products_Data1(),FertiliserProducts[[#Headers],[Include or Exclude]], 0,4)</f>
        <v/>
      </c>
      <c r="Q116" s="182" t="str" cm="1">
        <f t="array" ref="Q116">Common_InputFunctions.Utility_DisplayArrayInTable(Fertiliser_SourceData.Fertiliser_Products_Data1(),FertiliserProducts[[#Headers],[Include or Exclude]], 0,4)</f>
        <v/>
      </c>
      <c r="R116" s="182" t="str" cm="1">
        <f t="array" ref="R116">Common_InputFunctions.Utility_DisplayArrayInTable(Fertiliser_SourceData.Fertiliser_Products_Data1(),FertiliserProducts[[#Headers],[Include or Exclude]], 0,4)</f>
        <v/>
      </c>
      <c r="S116" s="182" t="str" cm="1">
        <f t="array" ref="S116">Common_InputFunctions.Utility_DisplayArrayInTable(Fertiliser_SourceData.Fertiliser_Products_Data1(),FertiliserProducts[[#Headers],[Include or Exclude]], 0,4)</f>
        <v/>
      </c>
      <c r="T116" s="182" t="str" cm="1">
        <f t="array" ref="T116">Common_InputFunctions.Utility_DisplayArrayInTable(Fertiliser_SourceData.Fertiliser_Products_Data1(),FertiliserProducts[[#Headers],[Include or Exclude]], 0,4)</f>
        <v/>
      </c>
      <c r="U116" s="182" t="str" cm="1">
        <f t="array" ref="U116">Common_InputFunctions.Utility_DisplayArrayInTable(Fertiliser_SourceData.Fertiliser_Products_Data1(),FertiliserProducts[[#Headers],[Include or Exclude]], 0,4)</f>
        <v/>
      </c>
      <c r="V116" s="182" t="str" cm="1">
        <f t="array" ref="V116">Common_InputFunctions.Utility_DisplayArrayInTable(Fertiliser_SourceData.Fertiliser_Products_Data1(),FertiliserProducts[[#Headers],[Include or Exclude]], 0,4)</f>
        <v/>
      </c>
      <c r="W116" s="182" t="str" cm="1">
        <f t="array" ref="W116">Common_InputFunctions.Utility_DisplayArrayInTable(Fertiliser_SourceData.Fertiliser_Products_Data1(),FertiliserProducts[[#Headers],[Include or Exclude]], 0,4)</f>
        <v/>
      </c>
      <c r="X116" s="182" t="str" cm="1">
        <f t="array" ref="X116">Common_InputFunctions.Utility_DisplayArrayInTable(Fertiliser_SourceData.Fertiliser_Products_Data1(),FertiliserProducts[[#Headers],[Include or Exclude]], 0,4)</f>
        <v/>
      </c>
      <c r="Y116" s="182" t="str" cm="1">
        <f t="array" ref="Y116">Common_InputFunctions.Utility_DisplayArrayInTable(Fertiliser_SourceData.Fertiliser_Products_Data1(),FertiliserProducts[[#Headers],[Include or Exclude]], 0,4)</f>
        <v/>
      </c>
      <c r="Z116" s="182" t="str" cm="1">
        <f t="array" ref="Z116">Common_InputFunctions.Utility_DisplayArrayInTable(Fertiliser_SourceData.Fertiliser_Products_Data1(),FertiliserProducts[[#Headers],[Include or Exclude]], 0,4)</f>
        <v/>
      </c>
      <c r="AA116" s="182" t="str" cm="1">
        <f t="array" ref="AA116">Common_InputFunctions.Utility_DisplayArrayInTable(Fertiliser_SourceData.Fertiliser_Products_Data1(),FertiliserProducts[[#Headers],[Include or Exclude]], 0,4)</f>
        <v/>
      </c>
      <c r="AB116" s="182" t="str" cm="1">
        <f t="array" ref="AB116">Common_InputFunctions.Utility_DisplayArrayInTable(Fertiliser_SourceData.Fertiliser_Products_Data1(),FertiliserProducts[[#Headers],[Include or Exclude]], 0,4)</f>
        <v/>
      </c>
      <c r="AC116" s="182" t="str" cm="1">
        <f t="array" ref="AC116">Common_InputFunctions.Utility_DisplayArrayInTable(Fertiliser_SourceData.Fertiliser_Products_Data1(),FertiliserProducts[[#Headers],[Include or Exclude]], 0,4)</f>
        <v/>
      </c>
      <c r="AD116" s="182" t="str" cm="1">
        <f t="array" ref="AD116">Common_InputFunctions.Utility_DisplayArrayInTable(Fertiliser_SourceData.Fertiliser_Products_Data1(),FertiliserProducts[[#Headers],[Include or Exclude]], 0,4)</f>
        <v/>
      </c>
      <c r="AE116" s="182" t="str" cm="1">
        <f t="array" ref="AE116">Common_InputFunctions.Utility_DisplayArrayInTable(Fertiliser_SourceData.Fertiliser_Products_Data1(),FertiliserProducts[[#Headers],[Include or Exclude]], 0,4)</f>
        <v/>
      </c>
    </row>
    <row r="117" spans="4:31" ht="20.100000000000001" customHeight="1" x14ac:dyDescent="0.25">
      <c r="D117" s="182" t="str" cm="1">
        <f t="array" ref="D117">Common_InputFunctions.Utility_DisplayArrayInTable(Fertiliser_SourceData.Fertiliser_Products_Data1(),FertiliserProducts[[#Headers],[Include or Exclude]], -1)</f>
        <v/>
      </c>
      <c r="E117" s="182" t="str" cm="1">
        <f t="array" ref="E117">Common_InputFunctions.Utility_DisplayArrayInTable(Fertiliser_SourceData.Fertiliser_Products_Data1(),FertiliserProducts[[#Headers],[Include or Exclude]], 0)</f>
        <v/>
      </c>
      <c r="F117" s="182" t="str" cm="1">
        <f t="array" ref="F117">Common_InputFunctions.Utility_DisplayArrayInTable(Fertiliser_SourceData.Fertiliser_Products_Data1(),FertiliserProducts[[#Headers],[Include or Exclude]], 0)</f>
        <v/>
      </c>
      <c r="G117" s="182" t="str" cm="1">
        <f t="array" ref="G117">Common_InputFunctions.Utility_DisplayArrayInTable(Fertiliser_SourceData.Fertiliser_Products_Data1(),FertiliserProducts[[#Headers],[Include or Exclude]], 0)</f>
        <v/>
      </c>
      <c r="H117" s="182" t="str" cm="1">
        <f t="array" ref="H117">Common_InputFunctions.Utility_DisplayArrayInTable(Fertiliser_SourceData.Fertiliser_Products_Data1(),FertiliserProducts[[#Headers],[Include or Exclude]], 0,4)</f>
        <v/>
      </c>
      <c r="I117" s="182" t="str" cm="1">
        <f t="array" ref="I117">Common_InputFunctions.Utility_DisplayArrayInTable(Fertiliser_SourceData.Fertiliser_Products_Data1(),FertiliserProducts[[#Headers],[Include or Exclude]], 0,4)</f>
        <v/>
      </c>
      <c r="J117" s="182" t="str" cm="1">
        <f t="array" ref="J117">Common_InputFunctions.Utility_DisplayArrayInTable(Fertiliser_SourceData.Fertiliser_Products_Data1(),FertiliserProducts[[#Headers],[Include or Exclude]], 0,4)</f>
        <v/>
      </c>
      <c r="K117" s="182" t="str" cm="1">
        <f t="array" ref="K117">Common_InputFunctions.Utility_DisplayArrayInTable(Fertiliser_SourceData.Fertiliser_Products_Data1(),FertiliserProducts[[#Headers],[Include or Exclude]], 0,4)</f>
        <v/>
      </c>
      <c r="L117" s="182" t="str" cm="1">
        <f t="array" ref="L117">Common_InputFunctions.Utility_DisplayArrayInTable(Fertiliser_SourceData.Fertiliser_Products_Data1(),FertiliserProducts[[#Headers],[Include or Exclude]], 0,4)</f>
        <v/>
      </c>
      <c r="M117" s="182" t="str" cm="1">
        <f t="array" ref="M117">Common_InputFunctions.Utility_DisplayArrayInTable(Fertiliser_SourceData.Fertiliser_Products_Data1(),FertiliserProducts[[#Headers],[Include or Exclude]], 0,4)</f>
        <v/>
      </c>
      <c r="N117" s="182" t="str" cm="1">
        <f t="array" ref="N117">Common_InputFunctions.Utility_DisplayArrayInTable(Fertiliser_SourceData.Fertiliser_Products_Data1(),FertiliserProducts[[#Headers],[Include or Exclude]], 0,4)</f>
        <v/>
      </c>
      <c r="O117" s="182" t="str" cm="1">
        <f t="array" ref="O117">Common_InputFunctions.Utility_DisplayArrayInTable(Fertiliser_SourceData.Fertiliser_Products_Data1(),FertiliserProducts[[#Headers],[Include or Exclude]], 0,4)</f>
        <v/>
      </c>
      <c r="P117" s="182" t="str" cm="1">
        <f t="array" ref="P117">Common_InputFunctions.Utility_DisplayArrayInTable(Fertiliser_SourceData.Fertiliser_Products_Data1(),FertiliserProducts[[#Headers],[Include or Exclude]], 0,4)</f>
        <v/>
      </c>
      <c r="Q117" s="182" t="str" cm="1">
        <f t="array" ref="Q117">Common_InputFunctions.Utility_DisplayArrayInTable(Fertiliser_SourceData.Fertiliser_Products_Data1(),FertiliserProducts[[#Headers],[Include or Exclude]], 0,4)</f>
        <v/>
      </c>
      <c r="R117" s="182" t="str" cm="1">
        <f t="array" ref="R117">Common_InputFunctions.Utility_DisplayArrayInTable(Fertiliser_SourceData.Fertiliser_Products_Data1(),FertiliserProducts[[#Headers],[Include or Exclude]], 0,4)</f>
        <v/>
      </c>
      <c r="S117" s="182" t="str" cm="1">
        <f t="array" ref="S117">Common_InputFunctions.Utility_DisplayArrayInTable(Fertiliser_SourceData.Fertiliser_Products_Data1(),FertiliserProducts[[#Headers],[Include or Exclude]], 0,4)</f>
        <v/>
      </c>
      <c r="T117" s="182" t="str" cm="1">
        <f t="array" ref="T117">Common_InputFunctions.Utility_DisplayArrayInTable(Fertiliser_SourceData.Fertiliser_Products_Data1(),FertiliserProducts[[#Headers],[Include or Exclude]], 0,4)</f>
        <v/>
      </c>
      <c r="U117" s="182" t="str" cm="1">
        <f t="array" ref="U117">Common_InputFunctions.Utility_DisplayArrayInTable(Fertiliser_SourceData.Fertiliser_Products_Data1(),FertiliserProducts[[#Headers],[Include or Exclude]], 0,4)</f>
        <v/>
      </c>
      <c r="V117" s="182" t="str" cm="1">
        <f t="array" ref="V117">Common_InputFunctions.Utility_DisplayArrayInTable(Fertiliser_SourceData.Fertiliser_Products_Data1(),FertiliserProducts[[#Headers],[Include or Exclude]], 0,4)</f>
        <v/>
      </c>
      <c r="W117" s="182" t="str" cm="1">
        <f t="array" ref="W117">Common_InputFunctions.Utility_DisplayArrayInTable(Fertiliser_SourceData.Fertiliser_Products_Data1(),FertiliserProducts[[#Headers],[Include or Exclude]], 0,4)</f>
        <v/>
      </c>
      <c r="X117" s="182" t="str" cm="1">
        <f t="array" ref="X117">Common_InputFunctions.Utility_DisplayArrayInTable(Fertiliser_SourceData.Fertiliser_Products_Data1(),FertiliserProducts[[#Headers],[Include or Exclude]], 0,4)</f>
        <v/>
      </c>
      <c r="Y117" s="182" t="str" cm="1">
        <f t="array" ref="Y117">Common_InputFunctions.Utility_DisplayArrayInTable(Fertiliser_SourceData.Fertiliser_Products_Data1(),FertiliserProducts[[#Headers],[Include or Exclude]], 0,4)</f>
        <v/>
      </c>
      <c r="Z117" s="182" t="str" cm="1">
        <f t="array" ref="Z117">Common_InputFunctions.Utility_DisplayArrayInTable(Fertiliser_SourceData.Fertiliser_Products_Data1(),FertiliserProducts[[#Headers],[Include or Exclude]], 0,4)</f>
        <v/>
      </c>
      <c r="AA117" s="182" t="str" cm="1">
        <f t="array" ref="AA117">Common_InputFunctions.Utility_DisplayArrayInTable(Fertiliser_SourceData.Fertiliser_Products_Data1(),FertiliserProducts[[#Headers],[Include or Exclude]], 0,4)</f>
        <v/>
      </c>
      <c r="AB117" s="182" t="str" cm="1">
        <f t="array" ref="AB117">Common_InputFunctions.Utility_DisplayArrayInTable(Fertiliser_SourceData.Fertiliser_Products_Data1(),FertiliserProducts[[#Headers],[Include or Exclude]], 0,4)</f>
        <v/>
      </c>
      <c r="AC117" s="182" t="str" cm="1">
        <f t="array" ref="AC117">Common_InputFunctions.Utility_DisplayArrayInTable(Fertiliser_SourceData.Fertiliser_Products_Data1(),FertiliserProducts[[#Headers],[Include or Exclude]], 0,4)</f>
        <v/>
      </c>
      <c r="AD117" s="182" t="str" cm="1">
        <f t="array" ref="AD117">Common_InputFunctions.Utility_DisplayArrayInTable(Fertiliser_SourceData.Fertiliser_Products_Data1(),FertiliserProducts[[#Headers],[Include or Exclude]], 0,4)</f>
        <v/>
      </c>
      <c r="AE117" s="182" t="str" cm="1">
        <f t="array" ref="AE117">Common_InputFunctions.Utility_DisplayArrayInTable(Fertiliser_SourceData.Fertiliser_Products_Data1(),FertiliserProducts[[#Headers],[Include or Exclude]], 0,4)</f>
        <v/>
      </c>
    </row>
    <row r="118" spans="4:31" ht="20.100000000000001" customHeight="1" x14ac:dyDescent="0.25">
      <c r="D118" s="182" t="str" cm="1">
        <f t="array" ref="D118">Common_InputFunctions.Utility_DisplayArrayInTable(Fertiliser_SourceData.Fertiliser_Products_Data1(),FertiliserProducts[[#Headers],[Include or Exclude]], -1)</f>
        <v/>
      </c>
      <c r="E118" s="182" t="str" cm="1">
        <f t="array" ref="E118">Common_InputFunctions.Utility_DisplayArrayInTable(Fertiliser_SourceData.Fertiliser_Products_Data1(),FertiliserProducts[[#Headers],[Include or Exclude]], 0)</f>
        <v/>
      </c>
      <c r="F118" s="182" t="str" cm="1">
        <f t="array" ref="F118">Common_InputFunctions.Utility_DisplayArrayInTable(Fertiliser_SourceData.Fertiliser_Products_Data1(),FertiliserProducts[[#Headers],[Include or Exclude]], 0)</f>
        <v/>
      </c>
      <c r="G118" s="182" t="str" cm="1">
        <f t="array" ref="G118">Common_InputFunctions.Utility_DisplayArrayInTable(Fertiliser_SourceData.Fertiliser_Products_Data1(),FertiliserProducts[[#Headers],[Include or Exclude]], 0)</f>
        <v/>
      </c>
      <c r="H118" s="182" t="str" cm="1">
        <f t="array" ref="H118">Common_InputFunctions.Utility_DisplayArrayInTable(Fertiliser_SourceData.Fertiliser_Products_Data1(),FertiliserProducts[[#Headers],[Include or Exclude]], 0,4)</f>
        <v/>
      </c>
      <c r="I118" s="182" t="str" cm="1">
        <f t="array" ref="I118">Common_InputFunctions.Utility_DisplayArrayInTable(Fertiliser_SourceData.Fertiliser_Products_Data1(),FertiliserProducts[[#Headers],[Include or Exclude]], 0,4)</f>
        <v/>
      </c>
      <c r="J118" s="182" t="str" cm="1">
        <f t="array" ref="J118">Common_InputFunctions.Utility_DisplayArrayInTable(Fertiliser_SourceData.Fertiliser_Products_Data1(),FertiliserProducts[[#Headers],[Include or Exclude]], 0,4)</f>
        <v/>
      </c>
      <c r="K118" s="182" t="str" cm="1">
        <f t="array" ref="K118">Common_InputFunctions.Utility_DisplayArrayInTable(Fertiliser_SourceData.Fertiliser_Products_Data1(),FertiliserProducts[[#Headers],[Include or Exclude]], 0,4)</f>
        <v/>
      </c>
      <c r="L118" s="182" t="str" cm="1">
        <f t="array" ref="L118">Common_InputFunctions.Utility_DisplayArrayInTable(Fertiliser_SourceData.Fertiliser_Products_Data1(),FertiliserProducts[[#Headers],[Include or Exclude]], 0,4)</f>
        <v/>
      </c>
      <c r="M118" s="182" t="str" cm="1">
        <f t="array" ref="M118">Common_InputFunctions.Utility_DisplayArrayInTable(Fertiliser_SourceData.Fertiliser_Products_Data1(),FertiliserProducts[[#Headers],[Include or Exclude]], 0,4)</f>
        <v/>
      </c>
      <c r="N118" s="182" t="str" cm="1">
        <f t="array" ref="N118">Common_InputFunctions.Utility_DisplayArrayInTable(Fertiliser_SourceData.Fertiliser_Products_Data1(),FertiliserProducts[[#Headers],[Include or Exclude]], 0,4)</f>
        <v/>
      </c>
      <c r="O118" s="182" t="str" cm="1">
        <f t="array" ref="O118">Common_InputFunctions.Utility_DisplayArrayInTable(Fertiliser_SourceData.Fertiliser_Products_Data1(),FertiliserProducts[[#Headers],[Include or Exclude]], 0,4)</f>
        <v/>
      </c>
      <c r="P118" s="182" t="str" cm="1">
        <f t="array" ref="P118">Common_InputFunctions.Utility_DisplayArrayInTable(Fertiliser_SourceData.Fertiliser_Products_Data1(),FertiliserProducts[[#Headers],[Include or Exclude]], 0,4)</f>
        <v/>
      </c>
      <c r="Q118" s="182" t="str" cm="1">
        <f t="array" ref="Q118">Common_InputFunctions.Utility_DisplayArrayInTable(Fertiliser_SourceData.Fertiliser_Products_Data1(),FertiliserProducts[[#Headers],[Include or Exclude]], 0,4)</f>
        <v/>
      </c>
      <c r="R118" s="182" t="str" cm="1">
        <f t="array" ref="R118">Common_InputFunctions.Utility_DisplayArrayInTable(Fertiliser_SourceData.Fertiliser_Products_Data1(),FertiliserProducts[[#Headers],[Include or Exclude]], 0,4)</f>
        <v/>
      </c>
      <c r="S118" s="182" t="str" cm="1">
        <f t="array" ref="S118">Common_InputFunctions.Utility_DisplayArrayInTable(Fertiliser_SourceData.Fertiliser_Products_Data1(),FertiliserProducts[[#Headers],[Include or Exclude]], 0,4)</f>
        <v/>
      </c>
      <c r="T118" s="182" t="str" cm="1">
        <f t="array" ref="T118">Common_InputFunctions.Utility_DisplayArrayInTable(Fertiliser_SourceData.Fertiliser_Products_Data1(),FertiliserProducts[[#Headers],[Include or Exclude]], 0,4)</f>
        <v/>
      </c>
      <c r="U118" s="182" t="str" cm="1">
        <f t="array" ref="U118">Common_InputFunctions.Utility_DisplayArrayInTable(Fertiliser_SourceData.Fertiliser_Products_Data1(),FertiliserProducts[[#Headers],[Include or Exclude]], 0,4)</f>
        <v/>
      </c>
      <c r="V118" s="182" t="str" cm="1">
        <f t="array" ref="V118">Common_InputFunctions.Utility_DisplayArrayInTable(Fertiliser_SourceData.Fertiliser_Products_Data1(),FertiliserProducts[[#Headers],[Include or Exclude]], 0,4)</f>
        <v/>
      </c>
      <c r="W118" s="182" t="str" cm="1">
        <f t="array" ref="W118">Common_InputFunctions.Utility_DisplayArrayInTable(Fertiliser_SourceData.Fertiliser_Products_Data1(),FertiliserProducts[[#Headers],[Include or Exclude]], 0,4)</f>
        <v/>
      </c>
      <c r="X118" s="182" t="str" cm="1">
        <f t="array" ref="X118">Common_InputFunctions.Utility_DisplayArrayInTable(Fertiliser_SourceData.Fertiliser_Products_Data1(),FertiliserProducts[[#Headers],[Include or Exclude]], 0,4)</f>
        <v/>
      </c>
      <c r="Y118" s="182" t="str" cm="1">
        <f t="array" ref="Y118">Common_InputFunctions.Utility_DisplayArrayInTable(Fertiliser_SourceData.Fertiliser_Products_Data1(),FertiliserProducts[[#Headers],[Include or Exclude]], 0,4)</f>
        <v/>
      </c>
      <c r="Z118" s="182" t="str" cm="1">
        <f t="array" ref="Z118">Common_InputFunctions.Utility_DisplayArrayInTable(Fertiliser_SourceData.Fertiliser_Products_Data1(),FertiliserProducts[[#Headers],[Include or Exclude]], 0,4)</f>
        <v/>
      </c>
      <c r="AA118" s="182" t="str" cm="1">
        <f t="array" ref="AA118">Common_InputFunctions.Utility_DisplayArrayInTable(Fertiliser_SourceData.Fertiliser_Products_Data1(),FertiliserProducts[[#Headers],[Include or Exclude]], 0,4)</f>
        <v/>
      </c>
      <c r="AB118" s="182" t="str" cm="1">
        <f t="array" ref="AB118">Common_InputFunctions.Utility_DisplayArrayInTable(Fertiliser_SourceData.Fertiliser_Products_Data1(),FertiliserProducts[[#Headers],[Include or Exclude]], 0,4)</f>
        <v/>
      </c>
      <c r="AC118" s="182" t="str" cm="1">
        <f t="array" ref="AC118">Common_InputFunctions.Utility_DisplayArrayInTable(Fertiliser_SourceData.Fertiliser_Products_Data1(),FertiliserProducts[[#Headers],[Include or Exclude]], 0,4)</f>
        <v/>
      </c>
      <c r="AD118" s="182" t="str" cm="1">
        <f t="array" ref="AD118">Common_InputFunctions.Utility_DisplayArrayInTable(Fertiliser_SourceData.Fertiliser_Products_Data1(),FertiliserProducts[[#Headers],[Include or Exclude]], 0,4)</f>
        <v/>
      </c>
      <c r="AE118" s="182" t="str" cm="1">
        <f t="array" ref="AE118">Common_InputFunctions.Utility_DisplayArrayInTable(Fertiliser_SourceData.Fertiliser_Products_Data1(),FertiliserProducts[[#Headers],[Include or Exclude]], 0,4)</f>
        <v/>
      </c>
    </row>
    <row r="119" spans="4:31" ht="20.100000000000001" customHeight="1" x14ac:dyDescent="0.25">
      <c r="D119" s="182" t="str" cm="1">
        <f t="array" ref="D119">Common_InputFunctions.Utility_DisplayArrayInTable(Fertiliser_SourceData.Fertiliser_Products_Data1(),FertiliserProducts[[#Headers],[Include or Exclude]], -1)</f>
        <v/>
      </c>
      <c r="E119" s="182" t="str" cm="1">
        <f t="array" ref="E119">Common_InputFunctions.Utility_DisplayArrayInTable(Fertiliser_SourceData.Fertiliser_Products_Data1(),FertiliserProducts[[#Headers],[Include or Exclude]], 0)</f>
        <v/>
      </c>
      <c r="F119" s="182" t="str" cm="1">
        <f t="array" ref="F119">Common_InputFunctions.Utility_DisplayArrayInTable(Fertiliser_SourceData.Fertiliser_Products_Data1(),FertiliserProducts[[#Headers],[Include or Exclude]], 0)</f>
        <v/>
      </c>
      <c r="G119" s="182" t="str" cm="1">
        <f t="array" ref="G119">Common_InputFunctions.Utility_DisplayArrayInTable(Fertiliser_SourceData.Fertiliser_Products_Data1(),FertiliserProducts[[#Headers],[Include or Exclude]], 0)</f>
        <v/>
      </c>
      <c r="H119" s="182" t="str" cm="1">
        <f t="array" ref="H119">Common_InputFunctions.Utility_DisplayArrayInTable(Fertiliser_SourceData.Fertiliser_Products_Data1(),FertiliserProducts[[#Headers],[Include or Exclude]], 0,4)</f>
        <v/>
      </c>
      <c r="I119" s="182" t="str" cm="1">
        <f t="array" ref="I119">Common_InputFunctions.Utility_DisplayArrayInTable(Fertiliser_SourceData.Fertiliser_Products_Data1(),FertiliserProducts[[#Headers],[Include or Exclude]], 0,4)</f>
        <v/>
      </c>
      <c r="J119" s="182" t="str" cm="1">
        <f t="array" ref="J119">Common_InputFunctions.Utility_DisplayArrayInTable(Fertiliser_SourceData.Fertiliser_Products_Data1(),FertiliserProducts[[#Headers],[Include or Exclude]], 0,4)</f>
        <v/>
      </c>
      <c r="K119" s="182" t="str" cm="1">
        <f t="array" ref="K119">Common_InputFunctions.Utility_DisplayArrayInTable(Fertiliser_SourceData.Fertiliser_Products_Data1(),FertiliserProducts[[#Headers],[Include or Exclude]], 0,4)</f>
        <v/>
      </c>
      <c r="L119" s="182" t="str" cm="1">
        <f t="array" ref="L119">Common_InputFunctions.Utility_DisplayArrayInTable(Fertiliser_SourceData.Fertiliser_Products_Data1(),FertiliserProducts[[#Headers],[Include or Exclude]], 0,4)</f>
        <v/>
      </c>
      <c r="M119" s="182" t="str" cm="1">
        <f t="array" ref="M119">Common_InputFunctions.Utility_DisplayArrayInTable(Fertiliser_SourceData.Fertiliser_Products_Data1(),FertiliserProducts[[#Headers],[Include or Exclude]], 0,4)</f>
        <v/>
      </c>
      <c r="N119" s="182" t="str" cm="1">
        <f t="array" ref="N119">Common_InputFunctions.Utility_DisplayArrayInTable(Fertiliser_SourceData.Fertiliser_Products_Data1(),FertiliserProducts[[#Headers],[Include or Exclude]], 0,4)</f>
        <v/>
      </c>
      <c r="O119" s="182" t="str" cm="1">
        <f t="array" ref="O119">Common_InputFunctions.Utility_DisplayArrayInTable(Fertiliser_SourceData.Fertiliser_Products_Data1(),FertiliserProducts[[#Headers],[Include or Exclude]], 0,4)</f>
        <v/>
      </c>
      <c r="P119" s="182" t="str" cm="1">
        <f t="array" ref="P119">Common_InputFunctions.Utility_DisplayArrayInTable(Fertiliser_SourceData.Fertiliser_Products_Data1(),FertiliserProducts[[#Headers],[Include or Exclude]], 0,4)</f>
        <v/>
      </c>
      <c r="Q119" s="182" t="str" cm="1">
        <f t="array" ref="Q119">Common_InputFunctions.Utility_DisplayArrayInTable(Fertiliser_SourceData.Fertiliser_Products_Data1(),FertiliserProducts[[#Headers],[Include or Exclude]], 0,4)</f>
        <v/>
      </c>
      <c r="R119" s="182" t="str" cm="1">
        <f t="array" ref="R119">Common_InputFunctions.Utility_DisplayArrayInTable(Fertiliser_SourceData.Fertiliser_Products_Data1(),FertiliserProducts[[#Headers],[Include or Exclude]], 0,4)</f>
        <v/>
      </c>
      <c r="S119" s="182" t="str" cm="1">
        <f t="array" ref="S119">Common_InputFunctions.Utility_DisplayArrayInTable(Fertiliser_SourceData.Fertiliser_Products_Data1(),FertiliserProducts[[#Headers],[Include or Exclude]], 0,4)</f>
        <v/>
      </c>
      <c r="T119" s="182" t="str" cm="1">
        <f t="array" ref="T119">Common_InputFunctions.Utility_DisplayArrayInTable(Fertiliser_SourceData.Fertiliser_Products_Data1(),FertiliserProducts[[#Headers],[Include or Exclude]], 0,4)</f>
        <v/>
      </c>
      <c r="U119" s="182" t="str" cm="1">
        <f t="array" ref="U119">Common_InputFunctions.Utility_DisplayArrayInTable(Fertiliser_SourceData.Fertiliser_Products_Data1(),FertiliserProducts[[#Headers],[Include or Exclude]], 0,4)</f>
        <v/>
      </c>
      <c r="V119" s="182" t="str" cm="1">
        <f t="array" ref="V119">Common_InputFunctions.Utility_DisplayArrayInTable(Fertiliser_SourceData.Fertiliser_Products_Data1(),FertiliserProducts[[#Headers],[Include or Exclude]], 0,4)</f>
        <v/>
      </c>
      <c r="W119" s="182" t="str" cm="1">
        <f t="array" ref="W119">Common_InputFunctions.Utility_DisplayArrayInTable(Fertiliser_SourceData.Fertiliser_Products_Data1(),FertiliserProducts[[#Headers],[Include or Exclude]], 0,4)</f>
        <v/>
      </c>
      <c r="X119" s="182" t="str" cm="1">
        <f t="array" ref="X119">Common_InputFunctions.Utility_DisplayArrayInTable(Fertiliser_SourceData.Fertiliser_Products_Data1(),FertiliserProducts[[#Headers],[Include or Exclude]], 0,4)</f>
        <v/>
      </c>
      <c r="Y119" s="182" t="str" cm="1">
        <f t="array" ref="Y119">Common_InputFunctions.Utility_DisplayArrayInTable(Fertiliser_SourceData.Fertiliser_Products_Data1(),FertiliserProducts[[#Headers],[Include or Exclude]], 0,4)</f>
        <v/>
      </c>
      <c r="Z119" s="182" t="str" cm="1">
        <f t="array" ref="Z119">Common_InputFunctions.Utility_DisplayArrayInTable(Fertiliser_SourceData.Fertiliser_Products_Data1(),FertiliserProducts[[#Headers],[Include or Exclude]], 0,4)</f>
        <v/>
      </c>
      <c r="AA119" s="182" t="str" cm="1">
        <f t="array" ref="AA119">Common_InputFunctions.Utility_DisplayArrayInTable(Fertiliser_SourceData.Fertiliser_Products_Data1(),FertiliserProducts[[#Headers],[Include or Exclude]], 0,4)</f>
        <v/>
      </c>
      <c r="AB119" s="182" t="str" cm="1">
        <f t="array" ref="AB119">Common_InputFunctions.Utility_DisplayArrayInTable(Fertiliser_SourceData.Fertiliser_Products_Data1(),FertiliserProducts[[#Headers],[Include or Exclude]], 0,4)</f>
        <v/>
      </c>
      <c r="AC119" s="182" t="str" cm="1">
        <f t="array" ref="AC119">Common_InputFunctions.Utility_DisplayArrayInTable(Fertiliser_SourceData.Fertiliser_Products_Data1(),FertiliserProducts[[#Headers],[Include or Exclude]], 0,4)</f>
        <v/>
      </c>
      <c r="AD119" s="182" t="str" cm="1">
        <f t="array" ref="AD119">Common_InputFunctions.Utility_DisplayArrayInTable(Fertiliser_SourceData.Fertiliser_Products_Data1(),FertiliserProducts[[#Headers],[Include or Exclude]], 0,4)</f>
        <v/>
      </c>
      <c r="AE119" s="182" t="str" cm="1">
        <f t="array" ref="AE119">Common_InputFunctions.Utility_DisplayArrayInTable(Fertiliser_SourceData.Fertiliser_Products_Data1(),FertiliserProducts[[#Headers],[Include or Exclude]], 0,4)</f>
        <v/>
      </c>
    </row>
    <row r="120" spans="4:31" ht="20.100000000000001" customHeight="1" x14ac:dyDescent="0.25">
      <c r="D120" s="182" t="str" cm="1">
        <f t="array" ref="D120">Common_InputFunctions.Utility_DisplayArrayInTable(Fertiliser_SourceData.Fertiliser_Products_Data1(),FertiliserProducts[[#Headers],[Include or Exclude]], -1)</f>
        <v/>
      </c>
      <c r="E120" s="182" t="str" cm="1">
        <f t="array" ref="E120">Common_InputFunctions.Utility_DisplayArrayInTable(Fertiliser_SourceData.Fertiliser_Products_Data1(),FertiliserProducts[[#Headers],[Include or Exclude]], 0)</f>
        <v/>
      </c>
      <c r="F120" s="182" t="str" cm="1">
        <f t="array" ref="F120">Common_InputFunctions.Utility_DisplayArrayInTable(Fertiliser_SourceData.Fertiliser_Products_Data1(),FertiliserProducts[[#Headers],[Include or Exclude]], 0)</f>
        <v/>
      </c>
      <c r="G120" s="182" t="str" cm="1">
        <f t="array" ref="G120">Common_InputFunctions.Utility_DisplayArrayInTable(Fertiliser_SourceData.Fertiliser_Products_Data1(),FertiliserProducts[[#Headers],[Include or Exclude]], 0)</f>
        <v/>
      </c>
      <c r="H120" s="182" t="str" cm="1">
        <f t="array" ref="H120">Common_InputFunctions.Utility_DisplayArrayInTable(Fertiliser_SourceData.Fertiliser_Products_Data1(),FertiliserProducts[[#Headers],[Include or Exclude]], 0,4)</f>
        <v/>
      </c>
      <c r="I120" s="182" t="str" cm="1">
        <f t="array" ref="I120">Common_InputFunctions.Utility_DisplayArrayInTable(Fertiliser_SourceData.Fertiliser_Products_Data1(),FertiliserProducts[[#Headers],[Include or Exclude]], 0,4)</f>
        <v/>
      </c>
      <c r="J120" s="182" t="str" cm="1">
        <f t="array" ref="J120">Common_InputFunctions.Utility_DisplayArrayInTable(Fertiliser_SourceData.Fertiliser_Products_Data1(),FertiliserProducts[[#Headers],[Include or Exclude]], 0,4)</f>
        <v/>
      </c>
      <c r="K120" s="182" t="str" cm="1">
        <f t="array" ref="K120">Common_InputFunctions.Utility_DisplayArrayInTable(Fertiliser_SourceData.Fertiliser_Products_Data1(),FertiliserProducts[[#Headers],[Include or Exclude]], 0,4)</f>
        <v/>
      </c>
      <c r="L120" s="182" t="str" cm="1">
        <f t="array" ref="L120">Common_InputFunctions.Utility_DisplayArrayInTable(Fertiliser_SourceData.Fertiliser_Products_Data1(),FertiliserProducts[[#Headers],[Include or Exclude]], 0,4)</f>
        <v/>
      </c>
      <c r="M120" s="182" t="str" cm="1">
        <f t="array" ref="M120">Common_InputFunctions.Utility_DisplayArrayInTable(Fertiliser_SourceData.Fertiliser_Products_Data1(),FertiliserProducts[[#Headers],[Include or Exclude]], 0,4)</f>
        <v/>
      </c>
      <c r="N120" s="182" t="str" cm="1">
        <f t="array" ref="N120">Common_InputFunctions.Utility_DisplayArrayInTable(Fertiliser_SourceData.Fertiliser_Products_Data1(),FertiliserProducts[[#Headers],[Include or Exclude]], 0,4)</f>
        <v/>
      </c>
      <c r="O120" s="182" t="str" cm="1">
        <f t="array" ref="O120">Common_InputFunctions.Utility_DisplayArrayInTable(Fertiliser_SourceData.Fertiliser_Products_Data1(),FertiliserProducts[[#Headers],[Include or Exclude]], 0,4)</f>
        <v/>
      </c>
      <c r="P120" s="182" t="str" cm="1">
        <f t="array" ref="P120">Common_InputFunctions.Utility_DisplayArrayInTable(Fertiliser_SourceData.Fertiliser_Products_Data1(),FertiliserProducts[[#Headers],[Include or Exclude]], 0,4)</f>
        <v/>
      </c>
      <c r="Q120" s="182" t="str" cm="1">
        <f t="array" ref="Q120">Common_InputFunctions.Utility_DisplayArrayInTable(Fertiliser_SourceData.Fertiliser_Products_Data1(),FertiliserProducts[[#Headers],[Include or Exclude]], 0,4)</f>
        <v/>
      </c>
      <c r="R120" s="182" t="str" cm="1">
        <f t="array" ref="R120">Common_InputFunctions.Utility_DisplayArrayInTable(Fertiliser_SourceData.Fertiliser_Products_Data1(),FertiliserProducts[[#Headers],[Include or Exclude]], 0,4)</f>
        <v/>
      </c>
      <c r="S120" s="182" t="str" cm="1">
        <f t="array" ref="S120">Common_InputFunctions.Utility_DisplayArrayInTable(Fertiliser_SourceData.Fertiliser_Products_Data1(),FertiliserProducts[[#Headers],[Include or Exclude]], 0,4)</f>
        <v/>
      </c>
      <c r="T120" s="182" t="str" cm="1">
        <f t="array" ref="T120">Common_InputFunctions.Utility_DisplayArrayInTable(Fertiliser_SourceData.Fertiliser_Products_Data1(),FertiliserProducts[[#Headers],[Include or Exclude]], 0,4)</f>
        <v/>
      </c>
      <c r="U120" s="182" t="str" cm="1">
        <f t="array" ref="U120">Common_InputFunctions.Utility_DisplayArrayInTable(Fertiliser_SourceData.Fertiliser_Products_Data1(),FertiliserProducts[[#Headers],[Include or Exclude]], 0,4)</f>
        <v/>
      </c>
      <c r="V120" s="182" t="str" cm="1">
        <f t="array" ref="V120">Common_InputFunctions.Utility_DisplayArrayInTable(Fertiliser_SourceData.Fertiliser_Products_Data1(),FertiliserProducts[[#Headers],[Include or Exclude]], 0,4)</f>
        <v/>
      </c>
      <c r="W120" s="182" t="str" cm="1">
        <f t="array" ref="W120">Common_InputFunctions.Utility_DisplayArrayInTable(Fertiliser_SourceData.Fertiliser_Products_Data1(),FertiliserProducts[[#Headers],[Include or Exclude]], 0,4)</f>
        <v/>
      </c>
      <c r="X120" s="182" t="str" cm="1">
        <f t="array" ref="X120">Common_InputFunctions.Utility_DisplayArrayInTable(Fertiliser_SourceData.Fertiliser_Products_Data1(),FertiliserProducts[[#Headers],[Include or Exclude]], 0,4)</f>
        <v/>
      </c>
      <c r="Y120" s="182" t="str" cm="1">
        <f t="array" ref="Y120">Common_InputFunctions.Utility_DisplayArrayInTable(Fertiliser_SourceData.Fertiliser_Products_Data1(),FertiliserProducts[[#Headers],[Include or Exclude]], 0,4)</f>
        <v/>
      </c>
      <c r="Z120" s="182" t="str" cm="1">
        <f t="array" ref="Z120">Common_InputFunctions.Utility_DisplayArrayInTable(Fertiliser_SourceData.Fertiliser_Products_Data1(),FertiliserProducts[[#Headers],[Include or Exclude]], 0,4)</f>
        <v/>
      </c>
      <c r="AA120" s="182" t="str" cm="1">
        <f t="array" ref="AA120">Common_InputFunctions.Utility_DisplayArrayInTable(Fertiliser_SourceData.Fertiliser_Products_Data1(),FertiliserProducts[[#Headers],[Include or Exclude]], 0,4)</f>
        <v/>
      </c>
      <c r="AB120" s="182" t="str" cm="1">
        <f t="array" ref="AB120">Common_InputFunctions.Utility_DisplayArrayInTable(Fertiliser_SourceData.Fertiliser_Products_Data1(),FertiliserProducts[[#Headers],[Include or Exclude]], 0,4)</f>
        <v/>
      </c>
      <c r="AC120" s="182" t="str" cm="1">
        <f t="array" ref="AC120">Common_InputFunctions.Utility_DisplayArrayInTable(Fertiliser_SourceData.Fertiliser_Products_Data1(),FertiliserProducts[[#Headers],[Include or Exclude]], 0,4)</f>
        <v/>
      </c>
      <c r="AD120" s="182" t="str" cm="1">
        <f t="array" ref="AD120">Common_InputFunctions.Utility_DisplayArrayInTable(Fertiliser_SourceData.Fertiliser_Products_Data1(),FertiliserProducts[[#Headers],[Include or Exclude]], 0,4)</f>
        <v/>
      </c>
      <c r="AE120" s="182" t="str" cm="1">
        <f t="array" ref="AE120">Common_InputFunctions.Utility_DisplayArrayInTable(Fertiliser_SourceData.Fertiliser_Products_Data1(),FertiliserProducts[[#Headers],[Include or Exclude]], 0,4)</f>
        <v/>
      </c>
    </row>
    <row r="121" spans="4:31" ht="20.100000000000001" customHeight="1" x14ac:dyDescent="0.25">
      <c r="D121" s="182" t="str" cm="1">
        <f t="array" ref="D121">Common_InputFunctions.Utility_DisplayArrayInTable(Fertiliser_SourceData.Fertiliser_Products_Data1(),FertiliserProducts[[#Headers],[Include or Exclude]], -1)</f>
        <v/>
      </c>
      <c r="E121" s="182" t="str" cm="1">
        <f t="array" ref="E121">Common_InputFunctions.Utility_DisplayArrayInTable(Fertiliser_SourceData.Fertiliser_Products_Data1(),FertiliserProducts[[#Headers],[Include or Exclude]], 0)</f>
        <v/>
      </c>
      <c r="F121" s="182" t="str" cm="1">
        <f t="array" ref="F121">Common_InputFunctions.Utility_DisplayArrayInTable(Fertiliser_SourceData.Fertiliser_Products_Data1(),FertiliserProducts[[#Headers],[Include or Exclude]], 0)</f>
        <v/>
      </c>
      <c r="G121" s="182" t="str" cm="1">
        <f t="array" ref="G121">Common_InputFunctions.Utility_DisplayArrayInTable(Fertiliser_SourceData.Fertiliser_Products_Data1(),FertiliserProducts[[#Headers],[Include or Exclude]], 0)</f>
        <v/>
      </c>
      <c r="H121" s="182" t="str" cm="1">
        <f t="array" ref="H121">Common_InputFunctions.Utility_DisplayArrayInTable(Fertiliser_SourceData.Fertiliser_Products_Data1(),FertiliserProducts[[#Headers],[Include or Exclude]], 0,4)</f>
        <v/>
      </c>
      <c r="I121" s="182" t="str" cm="1">
        <f t="array" ref="I121">Common_InputFunctions.Utility_DisplayArrayInTable(Fertiliser_SourceData.Fertiliser_Products_Data1(),FertiliserProducts[[#Headers],[Include or Exclude]], 0,4)</f>
        <v/>
      </c>
      <c r="J121" s="182" t="str" cm="1">
        <f t="array" ref="J121">Common_InputFunctions.Utility_DisplayArrayInTable(Fertiliser_SourceData.Fertiliser_Products_Data1(),FertiliserProducts[[#Headers],[Include or Exclude]], 0,4)</f>
        <v/>
      </c>
      <c r="K121" s="182" t="str" cm="1">
        <f t="array" ref="K121">Common_InputFunctions.Utility_DisplayArrayInTable(Fertiliser_SourceData.Fertiliser_Products_Data1(),FertiliserProducts[[#Headers],[Include or Exclude]], 0,4)</f>
        <v/>
      </c>
      <c r="L121" s="182" t="str" cm="1">
        <f t="array" ref="L121">Common_InputFunctions.Utility_DisplayArrayInTable(Fertiliser_SourceData.Fertiliser_Products_Data1(),FertiliserProducts[[#Headers],[Include or Exclude]], 0,4)</f>
        <v/>
      </c>
      <c r="M121" s="182" t="str" cm="1">
        <f t="array" ref="M121">Common_InputFunctions.Utility_DisplayArrayInTable(Fertiliser_SourceData.Fertiliser_Products_Data1(),FertiliserProducts[[#Headers],[Include or Exclude]], 0,4)</f>
        <v/>
      </c>
      <c r="N121" s="182" t="str" cm="1">
        <f t="array" ref="N121">Common_InputFunctions.Utility_DisplayArrayInTable(Fertiliser_SourceData.Fertiliser_Products_Data1(),FertiliserProducts[[#Headers],[Include or Exclude]], 0,4)</f>
        <v/>
      </c>
      <c r="O121" s="182" t="str" cm="1">
        <f t="array" ref="O121">Common_InputFunctions.Utility_DisplayArrayInTable(Fertiliser_SourceData.Fertiliser_Products_Data1(),FertiliserProducts[[#Headers],[Include or Exclude]], 0,4)</f>
        <v/>
      </c>
      <c r="P121" s="182" t="str" cm="1">
        <f t="array" ref="P121">Common_InputFunctions.Utility_DisplayArrayInTable(Fertiliser_SourceData.Fertiliser_Products_Data1(),FertiliserProducts[[#Headers],[Include or Exclude]], 0,4)</f>
        <v/>
      </c>
      <c r="Q121" s="182" t="str" cm="1">
        <f t="array" ref="Q121">Common_InputFunctions.Utility_DisplayArrayInTable(Fertiliser_SourceData.Fertiliser_Products_Data1(),FertiliserProducts[[#Headers],[Include or Exclude]], 0,4)</f>
        <v/>
      </c>
      <c r="R121" s="182" t="str" cm="1">
        <f t="array" ref="R121">Common_InputFunctions.Utility_DisplayArrayInTable(Fertiliser_SourceData.Fertiliser_Products_Data1(),FertiliserProducts[[#Headers],[Include or Exclude]], 0,4)</f>
        <v/>
      </c>
      <c r="S121" s="182" t="str" cm="1">
        <f t="array" ref="S121">Common_InputFunctions.Utility_DisplayArrayInTable(Fertiliser_SourceData.Fertiliser_Products_Data1(),FertiliserProducts[[#Headers],[Include or Exclude]], 0,4)</f>
        <v/>
      </c>
      <c r="T121" s="182" t="str" cm="1">
        <f t="array" ref="T121">Common_InputFunctions.Utility_DisplayArrayInTable(Fertiliser_SourceData.Fertiliser_Products_Data1(),FertiliserProducts[[#Headers],[Include or Exclude]], 0,4)</f>
        <v/>
      </c>
      <c r="U121" s="182" t="str" cm="1">
        <f t="array" ref="U121">Common_InputFunctions.Utility_DisplayArrayInTable(Fertiliser_SourceData.Fertiliser_Products_Data1(),FertiliserProducts[[#Headers],[Include or Exclude]], 0,4)</f>
        <v/>
      </c>
      <c r="V121" s="182" t="str" cm="1">
        <f t="array" ref="V121">Common_InputFunctions.Utility_DisplayArrayInTable(Fertiliser_SourceData.Fertiliser_Products_Data1(),FertiliserProducts[[#Headers],[Include or Exclude]], 0,4)</f>
        <v/>
      </c>
      <c r="W121" s="182" t="str" cm="1">
        <f t="array" ref="W121">Common_InputFunctions.Utility_DisplayArrayInTable(Fertiliser_SourceData.Fertiliser_Products_Data1(),FertiliserProducts[[#Headers],[Include or Exclude]], 0,4)</f>
        <v/>
      </c>
      <c r="X121" s="182" t="str" cm="1">
        <f t="array" ref="X121">Common_InputFunctions.Utility_DisplayArrayInTable(Fertiliser_SourceData.Fertiliser_Products_Data1(),FertiliserProducts[[#Headers],[Include or Exclude]], 0,4)</f>
        <v/>
      </c>
      <c r="Y121" s="182" t="str" cm="1">
        <f t="array" ref="Y121">Common_InputFunctions.Utility_DisplayArrayInTable(Fertiliser_SourceData.Fertiliser_Products_Data1(),FertiliserProducts[[#Headers],[Include or Exclude]], 0,4)</f>
        <v/>
      </c>
      <c r="Z121" s="182" t="str" cm="1">
        <f t="array" ref="Z121">Common_InputFunctions.Utility_DisplayArrayInTable(Fertiliser_SourceData.Fertiliser_Products_Data1(),FertiliserProducts[[#Headers],[Include or Exclude]], 0,4)</f>
        <v/>
      </c>
      <c r="AA121" s="182" t="str" cm="1">
        <f t="array" ref="AA121">Common_InputFunctions.Utility_DisplayArrayInTable(Fertiliser_SourceData.Fertiliser_Products_Data1(),FertiliserProducts[[#Headers],[Include or Exclude]], 0,4)</f>
        <v/>
      </c>
      <c r="AB121" s="182" t="str" cm="1">
        <f t="array" ref="AB121">Common_InputFunctions.Utility_DisplayArrayInTable(Fertiliser_SourceData.Fertiliser_Products_Data1(),FertiliserProducts[[#Headers],[Include or Exclude]], 0,4)</f>
        <v/>
      </c>
      <c r="AC121" s="182" t="str" cm="1">
        <f t="array" ref="AC121">Common_InputFunctions.Utility_DisplayArrayInTable(Fertiliser_SourceData.Fertiliser_Products_Data1(),FertiliserProducts[[#Headers],[Include or Exclude]], 0,4)</f>
        <v/>
      </c>
      <c r="AD121" s="182" t="str" cm="1">
        <f t="array" ref="AD121">Common_InputFunctions.Utility_DisplayArrayInTable(Fertiliser_SourceData.Fertiliser_Products_Data1(),FertiliserProducts[[#Headers],[Include or Exclude]], 0,4)</f>
        <v/>
      </c>
      <c r="AE121" s="182" t="str" cm="1">
        <f t="array" ref="AE121">Common_InputFunctions.Utility_DisplayArrayInTable(Fertiliser_SourceData.Fertiliser_Products_Data1(),FertiliserProducts[[#Headers],[Include or Exclude]], 0,4)</f>
        <v/>
      </c>
    </row>
    <row r="122" spans="4:31" ht="20.100000000000001" customHeight="1" x14ac:dyDescent="0.25">
      <c r="D122" s="182" t="str" cm="1">
        <f t="array" ref="D122">Common_InputFunctions.Utility_DisplayArrayInTable(Fertiliser_SourceData.Fertiliser_Products_Data1(),FertiliserProducts[[#Headers],[Include or Exclude]], -1)</f>
        <v/>
      </c>
      <c r="E122" s="182" t="str" cm="1">
        <f t="array" ref="E122">Common_InputFunctions.Utility_DisplayArrayInTable(Fertiliser_SourceData.Fertiliser_Products_Data1(),FertiliserProducts[[#Headers],[Include or Exclude]], 0)</f>
        <v/>
      </c>
      <c r="F122" s="182" t="str" cm="1">
        <f t="array" ref="F122">Common_InputFunctions.Utility_DisplayArrayInTable(Fertiliser_SourceData.Fertiliser_Products_Data1(),FertiliserProducts[[#Headers],[Include or Exclude]], 0)</f>
        <v/>
      </c>
      <c r="G122" s="182" t="str" cm="1">
        <f t="array" ref="G122">Common_InputFunctions.Utility_DisplayArrayInTable(Fertiliser_SourceData.Fertiliser_Products_Data1(),FertiliserProducts[[#Headers],[Include or Exclude]], 0)</f>
        <v/>
      </c>
      <c r="H122" s="182" t="str" cm="1">
        <f t="array" ref="H122">Common_InputFunctions.Utility_DisplayArrayInTable(Fertiliser_SourceData.Fertiliser_Products_Data1(),FertiliserProducts[[#Headers],[Include or Exclude]], 0,4)</f>
        <v/>
      </c>
      <c r="I122" s="182" t="str" cm="1">
        <f t="array" ref="I122">Common_InputFunctions.Utility_DisplayArrayInTable(Fertiliser_SourceData.Fertiliser_Products_Data1(),FertiliserProducts[[#Headers],[Include or Exclude]], 0,4)</f>
        <v/>
      </c>
      <c r="J122" s="182" t="str" cm="1">
        <f t="array" ref="J122">Common_InputFunctions.Utility_DisplayArrayInTable(Fertiliser_SourceData.Fertiliser_Products_Data1(),FertiliserProducts[[#Headers],[Include or Exclude]], 0,4)</f>
        <v/>
      </c>
      <c r="K122" s="182" t="str" cm="1">
        <f t="array" ref="K122">Common_InputFunctions.Utility_DisplayArrayInTable(Fertiliser_SourceData.Fertiliser_Products_Data1(),FertiliserProducts[[#Headers],[Include or Exclude]], 0,4)</f>
        <v/>
      </c>
      <c r="L122" s="182" t="str" cm="1">
        <f t="array" ref="L122">Common_InputFunctions.Utility_DisplayArrayInTable(Fertiliser_SourceData.Fertiliser_Products_Data1(),FertiliserProducts[[#Headers],[Include or Exclude]], 0,4)</f>
        <v/>
      </c>
      <c r="M122" s="182" t="str" cm="1">
        <f t="array" ref="M122">Common_InputFunctions.Utility_DisplayArrayInTable(Fertiliser_SourceData.Fertiliser_Products_Data1(),FertiliserProducts[[#Headers],[Include or Exclude]], 0,4)</f>
        <v/>
      </c>
      <c r="N122" s="182" t="str" cm="1">
        <f t="array" ref="N122">Common_InputFunctions.Utility_DisplayArrayInTable(Fertiliser_SourceData.Fertiliser_Products_Data1(),FertiliserProducts[[#Headers],[Include or Exclude]], 0,4)</f>
        <v/>
      </c>
      <c r="O122" s="182" t="str" cm="1">
        <f t="array" ref="O122">Common_InputFunctions.Utility_DisplayArrayInTable(Fertiliser_SourceData.Fertiliser_Products_Data1(),FertiliserProducts[[#Headers],[Include or Exclude]], 0,4)</f>
        <v/>
      </c>
      <c r="P122" s="182" t="str" cm="1">
        <f t="array" ref="P122">Common_InputFunctions.Utility_DisplayArrayInTable(Fertiliser_SourceData.Fertiliser_Products_Data1(),FertiliserProducts[[#Headers],[Include or Exclude]], 0,4)</f>
        <v/>
      </c>
      <c r="Q122" s="182" t="str" cm="1">
        <f t="array" ref="Q122">Common_InputFunctions.Utility_DisplayArrayInTable(Fertiliser_SourceData.Fertiliser_Products_Data1(),FertiliserProducts[[#Headers],[Include or Exclude]], 0,4)</f>
        <v/>
      </c>
      <c r="R122" s="182" t="str" cm="1">
        <f t="array" ref="R122">Common_InputFunctions.Utility_DisplayArrayInTable(Fertiliser_SourceData.Fertiliser_Products_Data1(),FertiliserProducts[[#Headers],[Include or Exclude]], 0,4)</f>
        <v/>
      </c>
      <c r="S122" s="182" t="str" cm="1">
        <f t="array" ref="S122">Common_InputFunctions.Utility_DisplayArrayInTable(Fertiliser_SourceData.Fertiliser_Products_Data1(),FertiliserProducts[[#Headers],[Include or Exclude]], 0,4)</f>
        <v/>
      </c>
      <c r="T122" s="182" t="str" cm="1">
        <f t="array" ref="T122">Common_InputFunctions.Utility_DisplayArrayInTable(Fertiliser_SourceData.Fertiliser_Products_Data1(),FertiliserProducts[[#Headers],[Include or Exclude]], 0,4)</f>
        <v/>
      </c>
      <c r="U122" s="182" t="str" cm="1">
        <f t="array" ref="U122">Common_InputFunctions.Utility_DisplayArrayInTable(Fertiliser_SourceData.Fertiliser_Products_Data1(),FertiliserProducts[[#Headers],[Include or Exclude]], 0,4)</f>
        <v/>
      </c>
      <c r="V122" s="182" t="str" cm="1">
        <f t="array" ref="V122">Common_InputFunctions.Utility_DisplayArrayInTable(Fertiliser_SourceData.Fertiliser_Products_Data1(),FertiliserProducts[[#Headers],[Include or Exclude]], 0,4)</f>
        <v/>
      </c>
      <c r="W122" s="182" t="str" cm="1">
        <f t="array" ref="W122">Common_InputFunctions.Utility_DisplayArrayInTable(Fertiliser_SourceData.Fertiliser_Products_Data1(),FertiliserProducts[[#Headers],[Include or Exclude]], 0,4)</f>
        <v/>
      </c>
      <c r="X122" s="182" t="str" cm="1">
        <f t="array" ref="X122">Common_InputFunctions.Utility_DisplayArrayInTable(Fertiliser_SourceData.Fertiliser_Products_Data1(),FertiliserProducts[[#Headers],[Include or Exclude]], 0,4)</f>
        <v/>
      </c>
      <c r="Y122" s="182" t="str" cm="1">
        <f t="array" ref="Y122">Common_InputFunctions.Utility_DisplayArrayInTable(Fertiliser_SourceData.Fertiliser_Products_Data1(),FertiliserProducts[[#Headers],[Include or Exclude]], 0,4)</f>
        <v/>
      </c>
      <c r="Z122" s="182" t="str" cm="1">
        <f t="array" ref="Z122">Common_InputFunctions.Utility_DisplayArrayInTable(Fertiliser_SourceData.Fertiliser_Products_Data1(),FertiliserProducts[[#Headers],[Include or Exclude]], 0,4)</f>
        <v/>
      </c>
      <c r="AA122" s="182" t="str" cm="1">
        <f t="array" ref="AA122">Common_InputFunctions.Utility_DisplayArrayInTable(Fertiliser_SourceData.Fertiliser_Products_Data1(),FertiliserProducts[[#Headers],[Include or Exclude]], 0,4)</f>
        <v/>
      </c>
      <c r="AB122" s="182" t="str" cm="1">
        <f t="array" ref="AB122">Common_InputFunctions.Utility_DisplayArrayInTable(Fertiliser_SourceData.Fertiliser_Products_Data1(),FertiliserProducts[[#Headers],[Include or Exclude]], 0,4)</f>
        <v/>
      </c>
      <c r="AC122" s="182" t="str" cm="1">
        <f t="array" ref="AC122">Common_InputFunctions.Utility_DisplayArrayInTable(Fertiliser_SourceData.Fertiliser_Products_Data1(),FertiliserProducts[[#Headers],[Include or Exclude]], 0,4)</f>
        <v/>
      </c>
      <c r="AD122" s="182" t="str" cm="1">
        <f t="array" ref="AD122">Common_InputFunctions.Utility_DisplayArrayInTable(Fertiliser_SourceData.Fertiliser_Products_Data1(),FertiliserProducts[[#Headers],[Include or Exclude]], 0,4)</f>
        <v/>
      </c>
      <c r="AE122" s="182" t="str" cm="1">
        <f t="array" ref="AE122">Common_InputFunctions.Utility_DisplayArrayInTable(Fertiliser_SourceData.Fertiliser_Products_Data1(),FertiliserProducts[[#Headers],[Include or Exclude]], 0,4)</f>
        <v/>
      </c>
    </row>
    <row r="123" spans="4:31" ht="20.100000000000001" customHeight="1" x14ac:dyDescent="0.25">
      <c r="D123" s="182" t="str" cm="1">
        <f t="array" ref="D123">Common_InputFunctions.Utility_DisplayArrayInTable(Fertiliser_SourceData.Fertiliser_Products_Data1(),FertiliserProducts[[#Headers],[Include or Exclude]], -1)</f>
        <v/>
      </c>
      <c r="E123" s="182" t="str" cm="1">
        <f t="array" ref="E123">Common_InputFunctions.Utility_DisplayArrayInTable(Fertiliser_SourceData.Fertiliser_Products_Data1(),FertiliserProducts[[#Headers],[Include or Exclude]], 0)</f>
        <v/>
      </c>
      <c r="F123" s="182" t="str" cm="1">
        <f t="array" ref="F123">Common_InputFunctions.Utility_DisplayArrayInTable(Fertiliser_SourceData.Fertiliser_Products_Data1(),FertiliserProducts[[#Headers],[Include or Exclude]], 0)</f>
        <v/>
      </c>
      <c r="G123" s="182" t="str" cm="1">
        <f t="array" ref="G123">Common_InputFunctions.Utility_DisplayArrayInTable(Fertiliser_SourceData.Fertiliser_Products_Data1(),FertiliserProducts[[#Headers],[Include or Exclude]], 0)</f>
        <v/>
      </c>
      <c r="H123" s="182" t="str" cm="1">
        <f t="array" ref="H123">Common_InputFunctions.Utility_DisplayArrayInTable(Fertiliser_SourceData.Fertiliser_Products_Data1(),FertiliserProducts[[#Headers],[Include or Exclude]], 0,4)</f>
        <v/>
      </c>
      <c r="I123" s="182" t="str" cm="1">
        <f t="array" ref="I123">Common_InputFunctions.Utility_DisplayArrayInTable(Fertiliser_SourceData.Fertiliser_Products_Data1(),FertiliserProducts[[#Headers],[Include or Exclude]], 0,4)</f>
        <v/>
      </c>
      <c r="J123" s="182" t="str" cm="1">
        <f t="array" ref="J123">Common_InputFunctions.Utility_DisplayArrayInTable(Fertiliser_SourceData.Fertiliser_Products_Data1(),FertiliserProducts[[#Headers],[Include or Exclude]], 0,4)</f>
        <v/>
      </c>
      <c r="K123" s="182" t="str" cm="1">
        <f t="array" ref="K123">Common_InputFunctions.Utility_DisplayArrayInTable(Fertiliser_SourceData.Fertiliser_Products_Data1(),FertiliserProducts[[#Headers],[Include or Exclude]], 0,4)</f>
        <v/>
      </c>
      <c r="L123" s="182" t="str" cm="1">
        <f t="array" ref="L123">Common_InputFunctions.Utility_DisplayArrayInTable(Fertiliser_SourceData.Fertiliser_Products_Data1(),FertiliserProducts[[#Headers],[Include or Exclude]], 0,4)</f>
        <v/>
      </c>
      <c r="M123" s="182" t="str" cm="1">
        <f t="array" ref="M123">Common_InputFunctions.Utility_DisplayArrayInTable(Fertiliser_SourceData.Fertiliser_Products_Data1(),FertiliserProducts[[#Headers],[Include or Exclude]], 0,4)</f>
        <v/>
      </c>
      <c r="N123" s="182" t="str" cm="1">
        <f t="array" ref="N123">Common_InputFunctions.Utility_DisplayArrayInTable(Fertiliser_SourceData.Fertiliser_Products_Data1(),FertiliserProducts[[#Headers],[Include or Exclude]], 0,4)</f>
        <v/>
      </c>
      <c r="O123" s="182" t="str" cm="1">
        <f t="array" ref="O123">Common_InputFunctions.Utility_DisplayArrayInTable(Fertiliser_SourceData.Fertiliser_Products_Data1(),FertiliserProducts[[#Headers],[Include or Exclude]], 0,4)</f>
        <v/>
      </c>
      <c r="P123" s="182" t="str" cm="1">
        <f t="array" ref="P123">Common_InputFunctions.Utility_DisplayArrayInTable(Fertiliser_SourceData.Fertiliser_Products_Data1(),FertiliserProducts[[#Headers],[Include or Exclude]], 0,4)</f>
        <v/>
      </c>
      <c r="Q123" s="182" t="str" cm="1">
        <f t="array" ref="Q123">Common_InputFunctions.Utility_DisplayArrayInTable(Fertiliser_SourceData.Fertiliser_Products_Data1(),FertiliserProducts[[#Headers],[Include or Exclude]], 0,4)</f>
        <v/>
      </c>
      <c r="R123" s="182" t="str" cm="1">
        <f t="array" ref="R123">Common_InputFunctions.Utility_DisplayArrayInTable(Fertiliser_SourceData.Fertiliser_Products_Data1(),FertiliserProducts[[#Headers],[Include or Exclude]], 0,4)</f>
        <v/>
      </c>
      <c r="S123" s="182" t="str" cm="1">
        <f t="array" ref="S123">Common_InputFunctions.Utility_DisplayArrayInTable(Fertiliser_SourceData.Fertiliser_Products_Data1(),FertiliserProducts[[#Headers],[Include or Exclude]], 0,4)</f>
        <v/>
      </c>
      <c r="T123" s="182" t="str" cm="1">
        <f t="array" ref="T123">Common_InputFunctions.Utility_DisplayArrayInTable(Fertiliser_SourceData.Fertiliser_Products_Data1(),FertiliserProducts[[#Headers],[Include or Exclude]], 0,4)</f>
        <v/>
      </c>
      <c r="U123" s="182" t="str" cm="1">
        <f t="array" ref="U123">Common_InputFunctions.Utility_DisplayArrayInTable(Fertiliser_SourceData.Fertiliser_Products_Data1(),FertiliserProducts[[#Headers],[Include or Exclude]], 0,4)</f>
        <v/>
      </c>
      <c r="V123" s="182" t="str" cm="1">
        <f t="array" ref="V123">Common_InputFunctions.Utility_DisplayArrayInTable(Fertiliser_SourceData.Fertiliser_Products_Data1(),FertiliserProducts[[#Headers],[Include or Exclude]], 0,4)</f>
        <v/>
      </c>
      <c r="W123" s="182" t="str" cm="1">
        <f t="array" ref="W123">Common_InputFunctions.Utility_DisplayArrayInTable(Fertiliser_SourceData.Fertiliser_Products_Data1(),FertiliserProducts[[#Headers],[Include or Exclude]], 0,4)</f>
        <v/>
      </c>
      <c r="X123" s="182" t="str" cm="1">
        <f t="array" ref="X123">Common_InputFunctions.Utility_DisplayArrayInTable(Fertiliser_SourceData.Fertiliser_Products_Data1(),FertiliserProducts[[#Headers],[Include or Exclude]], 0,4)</f>
        <v/>
      </c>
      <c r="Y123" s="182" t="str" cm="1">
        <f t="array" ref="Y123">Common_InputFunctions.Utility_DisplayArrayInTable(Fertiliser_SourceData.Fertiliser_Products_Data1(),FertiliserProducts[[#Headers],[Include or Exclude]], 0,4)</f>
        <v/>
      </c>
      <c r="Z123" s="182" t="str" cm="1">
        <f t="array" ref="Z123">Common_InputFunctions.Utility_DisplayArrayInTable(Fertiliser_SourceData.Fertiliser_Products_Data1(),FertiliserProducts[[#Headers],[Include or Exclude]], 0,4)</f>
        <v/>
      </c>
      <c r="AA123" s="182" t="str" cm="1">
        <f t="array" ref="AA123">Common_InputFunctions.Utility_DisplayArrayInTable(Fertiliser_SourceData.Fertiliser_Products_Data1(),FertiliserProducts[[#Headers],[Include or Exclude]], 0,4)</f>
        <v/>
      </c>
      <c r="AB123" s="182" t="str" cm="1">
        <f t="array" ref="AB123">Common_InputFunctions.Utility_DisplayArrayInTable(Fertiliser_SourceData.Fertiliser_Products_Data1(),FertiliserProducts[[#Headers],[Include or Exclude]], 0,4)</f>
        <v/>
      </c>
      <c r="AC123" s="182" t="str" cm="1">
        <f t="array" ref="AC123">Common_InputFunctions.Utility_DisplayArrayInTable(Fertiliser_SourceData.Fertiliser_Products_Data1(),FertiliserProducts[[#Headers],[Include or Exclude]], 0,4)</f>
        <v/>
      </c>
      <c r="AD123" s="182" t="str" cm="1">
        <f t="array" ref="AD123">Common_InputFunctions.Utility_DisplayArrayInTable(Fertiliser_SourceData.Fertiliser_Products_Data1(),FertiliserProducts[[#Headers],[Include or Exclude]], 0,4)</f>
        <v/>
      </c>
      <c r="AE123" s="182" t="str" cm="1">
        <f t="array" ref="AE123">Common_InputFunctions.Utility_DisplayArrayInTable(Fertiliser_SourceData.Fertiliser_Products_Data1(),FertiliserProducts[[#Headers],[Include or Exclude]], 0,4)</f>
        <v/>
      </c>
    </row>
    <row r="124" spans="4:31" ht="20.100000000000001" customHeight="1" x14ac:dyDescent="0.25">
      <c r="D124" s="182" t="str" cm="1">
        <f t="array" ref="D124">Common_InputFunctions.Utility_DisplayArrayInTable(Fertiliser_SourceData.Fertiliser_Products_Data1(),FertiliserProducts[[#Headers],[Include or Exclude]], -1)</f>
        <v/>
      </c>
      <c r="E124" s="182" t="str" cm="1">
        <f t="array" ref="E124">Common_InputFunctions.Utility_DisplayArrayInTable(Fertiliser_SourceData.Fertiliser_Products_Data1(),FertiliserProducts[[#Headers],[Include or Exclude]], 0)</f>
        <v/>
      </c>
      <c r="F124" s="182" t="str" cm="1">
        <f t="array" ref="F124">Common_InputFunctions.Utility_DisplayArrayInTable(Fertiliser_SourceData.Fertiliser_Products_Data1(),FertiliserProducts[[#Headers],[Include or Exclude]], 0)</f>
        <v/>
      </c>
      <c r="G124" s="182" t="str" cm="1">
        <f t="array" ref="G124">Common_InputFunctions.Utility_DisplayArrayInTable(Fertiliser_SourceData.Fertiliser_Products_Data1(),FertiliserProducts[[#Headers],[Include or Exclude]], 0)</f>
        <v/>
      </c>
      <c r="H124" s="182" t="str" cm="1">
        <f t="array" ref="H124">Common_InputFunctions.Utility_DisplayArrayInTable(Fertiliser_SourceData.Fertiliser_Products_Data1(),FertiliserProducts[[#Headers],[Include or Exclude]], 0,4)</f>
        <v/>
      </c>
      <c r="I124" s="182" t="str" cm="1">
        <f t="array" ref="I124">Common_InputFunctions.Utility_DisplayArrayInTable(Fertiliser_SourceData.Fertiliser_Products_Data1(),FertiliserProducts[[#Headers],[Include or Exclude]], 0,4)</f>
        <v/>
      </c>
      <c r="J124" s="182" t="str" cm="1">
        <f t="array" ref="J124">Common_InputFunctions.Utility_DisplayArrayInTable(Fertiliser_SourceData.Fertiliser_Products_Data1(),FertiliserProducts[[#Headers],[Include or Exclude]], 0,4)</f>
        <v/>
      </c>
      <c r="K124" s="182" t="str" cm="1">
        <f t="array" ref="K124">Common_InputFunctions.Utility_DisplayArrayInTable(Fertiliser_SourceData.Fertiliser_Products_Data1(),FertiliserProducts[[#Headers],[Include or Exclude]], 0,4)</f>
        <v/>
      </c>
      <c r="L124" s="182" t="str" cm="1">
        <f t="array" ref="L124">Common_InputFunctions.Utility_DisplayArrayInTable(Fertiliser_SourceData.Fertiliser_Products_Data1(),FertiliserProducts[[#Headers],[Include or Exclude]], 0,4)</f>
        <v/>
      </c>
      <c r="M124" s="182" t="str" cm="1">
        <f t="array" ref="M124">Common_InputFunctions.Utility_DisplayArrayInTable(Fertiliser_SourceData.Fertiliser_Products_Data1(),FertiliserProducts[[#Headers],[Include or Exclude]], 0,4)</f>
        <v/>
      </c>
      <c r="N124" s="182" t="str" cm="1">
        <f t="array" ref="N124">Common_InputFunctions.Utility_DisplayArrayInTable(Fertiliser_SourceData.Fertiliser_Products_Data1(),FertiliserProducts[[#Headers],[Include or Exclude]], 0,4)</f>
        <v/>
      </c>
      <c r="O124" s="182" t="str" cm="1">
        <f t="array" ref="O124">Common_InputFunctions.Utility_DisplayArrayInTable(Fertiliser_SourceData.Fertiliser_Products_Data1(),FertiliserProducts[[#Headers],[Include or Exclude]], 0,4)</f>
        <v/>
      </c>
      <c r="P124" s="182" t="str" cm="1">
        <f t="array" ref="P124">Common_InputFunctions.Utility_DisplayArrayInTable(Fertiliser_SourceData.Fertiliser_Products_Data1(),FertiliserProducts[[#Headers],[Include or Exclude]], 0,4)</f>
        <v/>
      </c>
      <c r="Q124" s="182" t="str" cm="1">
        <f t="array" ref="Q124">Common_InputFunctions.Utility_DisplayArrayInTable(Fertiliser_SourceData.Fertiliser_Products_Data1(),FertiliserProducts[[#Headers],[Include or Exclude]], 0,4)</f>
        <v/>
      </c>
      <c r="R124" s="182" t="str" cm="1">
        <f t="array" ref="R124">Common_InputFunctions.Utility_DisplayArrayInTable(Fertiliser_SourceData.Fertiliser_Products_Data1(),FertiliserProducts[[#Headers],[Include or Exclude]], 0,4)</f>
        <v/>
      </c>
      <c r="S124" s="182" t="str" cm="1">
        <f t="array" ref="S124">Common_InputFunctions.Utility_DisplayArrayInTable(Fertiliser_SourceData.Fertiliser_Products_Data1(),FertiliserProducts[[#Headers],[Include or Exclude]], 0,4)</f>
        <v/>
      </c>
      <c r="T124" s="182" t="str" cm="1">
        <f t="array" ref="T124">Common_InputFunctions.Utility_DisplayArrayInTable(Fertiliser_SourceData.Fertiliser_Products_Data1(),FertiliserProducts[[#Headers],[Include or Exclude]], 0,4)</f>
        <v/>
      </c>
      <c r="U124" s="182" t="str" cm="1">
        <f t="array" ref="U124">Common_InputFunctions.Utility_DisplayArrayInTable(Fertiliser_SourceData.Fertiliser_Products_Data1(),FertiliserProducts[[#Headers],[Include or Exclude]], 0,4)</f>
        <v/>
      </c>
      <c r="V124" s="182" t="str" cm="1">
        <f t="array" ref="V124">Common_InputFunctions.Utility_DisplayArrayInTable(Fertiliser_SourceData.Fertiliser_Products_Data1(),FertiliserProducts[[#Headers],[Include or Exclude]], 0,4)</f>
        <v/>
      </c>
      <c r="W124" s="182" t="str" cm="1">
        <f t="array" ref="W124">Common_InputFunctions.Utility_DisplayArrayInTable(Fertiliser_SourceData.Fertiliser_Products_Data1(),FertiliserProducts[[#Headers],[Include or Exclude]], 0,4)</f>
        <v/>
      </c>
      <c r="X124" s="182" t="str" cm="1">
        <f t="array" ref="X124">Common_InputFunctions.Utility_DisplayArrayInTable(Fertiliser_SourceData.Fertiliser_Products_Data1(),FertiliserProducts[[#Headers],[Include or Exclude]], 0,4)</f>
        <v/>
      </c>
      <c r="Y124" s="182" t="str" cm="1">
        <f t="array" ref="Y124">Common_InputFunctions.Utility_DisplayArrayInTable(Fertiliser_SourceData.Fertiliser_Products_Data1(),FertiliserProducts[[#Headers],[Include or Exclude]], 0,4)</f>
        <v/>
      </c>
      <c r="Z124" s="182" t="str" cm="1">
        <f t="array" ref="Z124">Common_InputFunctions.Utility_DisplayArrayInTable(Fertiliser_SourceData.Fertiliser_Products_Data1(),FertiliserProducts[[#Headers],[Include or Exclude]], 0,4)</f>
        <v/>
      </c>
      <c r="AA124" s="182" t="str" cm="1">
        <f t="array" ref="AA124">Common_InputFunctions.Utility_DisplayArrayInTable(Fertiliser_SourceData.Fertiliser_Products_Data1(),FertiliserProducts[[#Headers],[Include or Exclude]], 0,4)</f>
        <v/>
      </c>
      <c r="AB124" s="182" t="str" cm="1">
        <f t="array" ref="AB124">Common_InputFunctions.Utility_DisplayArrayInTable(Fertiliser_SourceData.Fertiliser_Products_Data1(),FertiliserProducts[[#Headers],[Include or Exclude]], 0,4)</f>
        <v/>
      </c>
      <c r="AC124" s="182" t="str" cm="1">
        <f t="array" ref="AC124">Common_InputFunctions.Utility_DisplayArrayInTable(Fertiliser_SourceData.Fertiliser_Products_Data1(),FertiliserProducts[[#Headers],[Include or Exclude]], 0,4)</f>
        <v/>
      </c>
      <c r="AD124" s="182" t="str" cm="1">
        <f t="array" ref="AD124">Common_InputFunctions.Utility_DisplayArrayInTable(Fertiliser_SourceData.Fertiliser_Products_Data1(),FertiliserProducts[[#Headers],[Include or Exclude]], 0,4)</f>
        <v/>
      </c>
      <c r="AE124" s="182" t="str" cm="1">
        <f t="array" ref="AE124">Common_InputFunctions.Utility_DisplayArrayInTable(Fertiliser_SourceData.Fertiliser_Products_Data1(),FertiliserProducts[[#Headers],[Include or Exclude]], 0,4)</f>
        <v/>
      </c>
    </row>
    <row r="125" spans="4:31" ht="20.100000000000001" customHeight="1" x14ac:dyDescent="0.25">
      <c r="D125" s="182" t="str" cm="1">
        <f t="array" ref="D125">Common_InputFunctions.Utility_DisplayArrayInTable(Fertiliser_SourceData.Fertiliser_Products_Data1(),FertiliserProducts[[#Headers],[Include or Exclude]], -1)</f>
        <v/>
      </c>
      <c r="E125" s="182" t="str" cm="1">
        <f t="array" ref="E125">Common_InputFunctions.Utility_DisplayArrayInTable(Fertiliser_SourceData.Fertiliser_Products_Data1(),FertiliserProducts[[#Headers],[Include or Exclude]], 0)</f>
        <v/>
      </c>
      <c r="F125" s="182" t="str" cm="1">
        <f t="array" ref="F125">Common_InputFunctions.Utility_DisplayArrayInTable(Fertiliser_SourceData.Fertiliser_Products_Data1(),FertiliserProducts[[#Headers],[Include or Exclude]], 0)</f>
        <v/>
      </c>
      <c r="G125" s="182" t="str" cm="1">
        <f t="array" ref="G125">Common_InputFunctions.Utility_DisplayArrayInTable(Fertiliser_SourceData.Fertiliser_Products_Data1(),FertiliserProducts[[#Headers],[Include or Exclude]], 0)</f>
        <v/>
      </c>
      <c r="H125" s="182" t="str" cm="1">
        <f t="array" ref="H125">Common_InputFunctions.Utility_DisplayArrayInTable(Fertiliser_SourceData.Fertiliser_Products_Data1(),FertiliserProducts[[#Headers],[Include or Exclude]], 0,4)</f>
        <v/>
      </c>
      <c r="I125" s="182" t="str" cm="1">
        <f t="array" ref="I125">Common_InputFunctions.Utility_DisplayArrayInTable(Fertiliser_SourceData.Fertiliser_Products_Data1(),FertiliserProducts[[#Headers],[Include or Exclude]], 0,4)</f>
        <v/>
      </c>
      <c r="J125" s="182" t="str" cm="1">
        <f t="array" ref="J125">Common_InputFunctions.Utility_DisplayArrayInTable(Fertiliser_SourceData.Fertiliser_Products_Data1(),FertiliserProducts[[#Headers],[Include or Exclude]], 0,4)</f>
        <v/>
      </c>
      <c r="K125" s="182" t="str" cm="1">
        <f t="array" ref="K125">Common_InputFunctions.Utility_DisplayArrayInTable(Fertiliser_SourceData.Fertiliser_Products_Data1(),FertiliserProducts[[#Headers],[Include or Exclude]], 0,4)</f>
        <v/>
      </c>
      <c r="L125" s="182" t="str" cm="1">
        <f t="array" ref="L125">Common_InputFunctions.Utility_DisplayArrayInTable(Fertiliser_SourceData.Fertiliser_Products_Data1(),FertiliserProducts[[#Headers],[Include or Exclude]], 0,4)</f>
        <v/>
      </c>
      <c r="M125" s="182" t="str" cm="1">
        <f t="array" ref="M125">Common_InputFunctions.Utility_DisplayArrayInTable(Fertiliser_SourceData.Fertiliser_Products_Data1(),FertiliserProducts[[#Headers],[Include or Exclude]], 0,4)</f>
        <v/>
      </c>
      <c r="N125" s="182" t="str" cm="1">
        <f t="array" ref="N125">Common_InputFunctions.Utility_DisplayArrayInTable(Fertiliser_SourceData.Fertiliser_Products_Data1(),FertiliserProducts[[#Headers],[Include or Exclude]], 0,4)</f>
        <v/>
      </c>
      <c r="O125" s="182" t="str" cm="1">
        <f t="array" ref="O125">Common_InputFunctions.Utility_DisplayArrayInTable(Fertiliser_SourceData.Fertiliser_Products_Data1(),FertiliserProducts[[#Headers],[Include or Exclude]], 0,4)</f>
        <v/>
      </c>
      <c r="P125" s="182" t="str" cm="1">
        <f t="array" ref="P125">Common_InputFunctions.Utility_DisplayArrayInTable(Fertiliser_SourceData.Fertiliser_Products_Data1(),FertiliserProducts[[#Headers],[Include or Exclude]], 0,4)</f>
        <v/>
      </c>
      <c r="Q125" s="182" t="str" cm="1">
        <f t="array" ref="Q125">Common_InputFunctions.Utility_DisplayArrayInTable(Fertiliser_SourceData.Fertiliser_Products_Data1(),FertiliserProducts[[#Headers],[Include or Exclude]], 0,4)</f>
        <v/>
      </c>
      <c r="R125" s="182" t="str" cm="1">
        <f t="array" ref="R125">Common_InputFunctions.Utility_DisplayArrayInTable(Fertiliser_SourceData.Fertiliser_Products_Data1(),FertiliserProducts[[#Headers],[Include or Exclude]], 0,4)</f>
        <v/>
      </c>
      <c r="S125" s="182" t="str" cm="1">
        <f t="array" ref="S125">Common_InputFunctions.Utility_DisplayArrayInTable(Fertiliser_SourceData.Fertiliser_Products_Data1(),FertiliserProducts[[#Headers],[Include or Exclude]], 0,4)</f>
        <v/>
      </c>
      <c r="T125" s="182" t="str" cm="1">
        <f t="array" ref="T125">Common_InputFunctions.Utility_DisplayArrayInTable(Fertiliser_SourceData.Fertiliser_Products_Data1(),FertiliserProducts[[#Headers],[Include or Exclude]], 0,4)</f>
        <v/>
      </c>
      <c r="U125" s="182" t="str" cm="1">
        <f t="array" ref="U125">Common_InputFunctions.Utility_DisplayArrayInTable(Fertiliser_SourceData.Fertiliser_Products_Data1(),FertiliserProducts[[#Headers],[Include or Exclude]], 0,4)</f>
        <v/>
      </c>
      <c r="V125" s="182" t="str" cm="1">
        <f t="array" ref="V125">Common_InputFunctions.Utility_DisplayArrayInTable(Fertiliser_SourceData.Fertiliser_Products_Data1(),FertiliserProducts[[#Headers],[Include or Exclude]], 0,4)</f>
        <v/>
      </c>
      <c r="W125" s="182" t="str" cm="1">
        <f t="array" ref="W125">Common_InputFunctions.Utility_DisplayArrayInTable(Fertiliser_SourceData.Fertiliser_Products_Data1(),FertiliserProducts[[#Headers],[Include or Exclude]], 0,4)</f>
        <v/>
      </c>
      <c r="X125" s="182" t="str" cm="1">
        <f t="array" ref="X125">Common_InputFunctions.Utility_DisplayArrayInTable(Fertiliser_SourceData.Fertiliser_Products_Data1(),FertiliserProducts[[#Headers],[Include or Exclude]], 0,4)</f>
        <v/>
      </c>
      <c r="Y125" s="182" t="str" cm="1">
        <f t="array" ref="Y125">Common_InputFunctions.Utility_DisplayArrayInTable(Fertiliser_SourceData.Fertiliser_Products_Data1(),FertiliserProducts[[#Headers],[Include or Exclude]], 0,4)</f>
        <v/>
      </c>
      <c r="Z125" s="182" t="str" cm="1">
        <f t="array" ref="Z125">Common_InputFunctions.Utility_DisplayArrayInTable(Fertiliser_SourceData.Fertiliser_Products_Data1(),FertiliserProducts[[#Headers],[Include or Exclude]], 0,4)</f>
        <v/>
      </c>
      <c r="AA125" s="182" t="str" cm="1">
        <f t="array" ref="AA125">Common_InputFunctions.Utility_DisplayArrayInTable(Fertiliser_SourceData.Fertiliser_Products_Data1(),FertiliserProducts[[#Headers],[Include or Exclude]], 0,4)</f>
        <v/>
      </c>
      <c r="AB125" s="182" t="str" cm="1">
        <f t="array" ref="AB125">Common_InputFunctions.Utility_DisplayArrayInTable(Fertiliser_SourceData.Fertiliser_Products_Data1(),FertiliserProducts[[#Headers],[Include or Exclude]], 0,4)</f>
        <v/>
      </c>
      <c r="AC125" s="182" t="str" cm="1">
        <f t="array" ref="AC125">Common_InputFunctions.Utility_DisplayArrayInTable(Fertiliser_SourceData.Fertiliser_Products_Data1(),FertiliserProducts[[#Headers],[Include or Exclude]], 0,4)</f>
        <v/>
      </c>
      <c r="AD125" s="182" t="str" cm="1">
        <f t="array" ref="AD125">Common_InputFunctions.Utility_DisplayArrayInTable(Fertiliser_SourceData.Fertiliser_Products_Data1(),FertiliserProducts[[#Headers],[Include or Exclude]], 0,4)</f>
        <v/>
      </c>
      <c r="AE125" s="182" t="str" cm="1">
        <f t="array" ref="AE125">Common_InputFunctions.Utility_DisplayArrayInTable(Fertiliser_SourceData.Fertiliser_Products_Data1(),FertiliserProducts[[#Headers],[Include or Exclude]], 0,4)</f>
        <v/>
      </c>
    </row>
    <row r="126" spans="4:31" ht="20.100000000000001" customHeight="1" x14ac:dyDescent="0.25">
      <c r="D126" s="182" t="str" cm="1">
        <f t="array" ref="D126">Common_InputFunctions.Utility_DisplayArrayInTable(Fertiliser_SourceData.Fertiliser_Products_Data1(),FertiliserProducts[[#Headers],[Include or Exclude]], -1)</f>
        <v/>
      </c>
      <c r="E126" s="182" t="str" cm="1">
        <f t="array" ref="E126">Common_InputFunctions.Utility_DisplayArrayInTable(Fertiliser_SourceData.Fertiliser_Products_Data1(),FertiliserProducts[[#Headers],[Include or Exclude]], 0)</f>
        <v/>
      </c>
      <c r="F126" s="182" t="str" cm="1">
        <f t="array" ref="F126">Common_InputFunctions.Utility_DisplayArrayInTable(Fertiliser_SourceData.Fertiliser_Products_Data1(),FertiliserProducts[[#Headers],[Include or Exclude]], 0)</f>
        <v/>
      </c>
      <c r="G126" s="182" t="str" cm="1">
        <f t="array" ref="G126">Common_InputFunctions.Utility_DisplayArrayInTable(Fertiliser_SourceData.Fertiliser_Products_Data1(),FertiliserProducts[[#Headers],[Include or Exclude]], 0)</f>
        <v/>
      </c>
      <c r="H126" s="182" t="str" cm="1">
        <f t="array" ref="H126">Common_InputFunctions.Utility_DisplayArrayInTable(Fertiliser_SourceData.Fertiliser_Products_Data1(),FertiliserProducts[[#Headers],[Include or Exclude]], 0,4)</f>
        <v/>
      </c>
      <c r="I126" s="182" t="str" cm="1">
        <f t="array" ref="I126">Common_InputFunctions.Utility_DisplayArrayInTable(Fertiliser_SourceData.Fertiliser_Products_Data1(),FertiliserProducts[[#Headers],[Include or Exclude]], 0,4)</f>
        <v/>
      </c>
      <c r="J126" s="182" t="str" cm="1">
        <f t="array" ref="J126">Common_InputFunctions.Utility_DisplayArrayInTable(Fertiliser_SourceData.Fertiliser_Products_Data1(),FertiliserProducts[[#Headers],[Include or Exclude]], 0,4)</f>
        <v/>
      </c>
      <c r="K126" s="182" t="str" cm="1">
        <f t="array" ref="K126">Common_InputFunctions.Utility_DisplayArrayInTable(Fertiliser_SourceData.Fertiliser_Products_Data1(),FertiliserProducts[[#Headers],[Include or Exclude]], 0,4)</f>
        <v/>
      </c>
      <c r="L126" s="182" t="str" cm="1">
        <f t="array" ref="L126">Common_InputFunctions.Utility_DisplayArrayInTable(Fertiliser_SourceData.Fertiliser_Products_Data1(),FertiliserProducts[[#Headers],[Include or Exclude]], 0,4)</f>
        <v/>
      </c>
      <c r="M126" s="182" t="str" cm="1">
        <f t="array" ref="M126">Common_InputFunctions.Utility_DisplayArrayInTable(Fertiliser_SourceData.Fertiliser_Products_Data1(),FertiliserProducts[[#Headers],[Include or Exclude]], 0,4)</f>
        <v/>
      </c>
      <c r="N126" s="182" t="str" cm="1">
        <f t="array" ref="N126">Common_InputFunctions.Utility_DisplayArrayInTable(Fertiliser_SourceData.Fertiliser_Products_Data1(),FertiliserProducts[[#Headers],[Include or Exclude]], 0,4)</f>
        <v/>
      </c>
      <c r="O126" s="182" t="str" cm="1">
        <f t="array" ref="O126">Common_InputFunctions.Utility_DisplayArrayInTable(Fertiliser_SourceData.Fertiliser_Products_Data1(),FertiliserProducts[[#Headers],[Include or Exclude]], 0,4)</f>
        <v/>
      </c>
      <c r="P126" s="182" t="str" cm="1">
        <f t="array" ref="P126">Common_InputFunctions.Utility_DisplayArrayInTable(Fertiliser_SourceData.Fertiliser_Products_Data1(),FertiliserProducts[[#Headers],[Include or Exclude]], 0,4)</f>
        <v/>
      </c>
      <c r="Q126" s="182" t="str" cm="1">
        <f t="array" ref="Q126">Common_InputFunctions.Utility_DisplayArrayInTable(Fertiliser_SourceData.Fertiliser_Products_Data1(),FertiliserProducts[[#Headers],[Include or Exclude]], 0,4)</f>
        <v/>
      </c>
      <c r="R126" s="182" t="str" cm="1">
        <f t="array" ref="R126">Common_InputFunctions.Utility_DisplayArrayInTable(Fertiliser_SourceData.Fertiliser_Products_Data1(),FertiliserProducts[[#Headers],[Include or Exclude]], 0,4)</f>
        <v/>
      </c>
      <c r="S126" s="182" t="str" cm="1">
        <f t="array" ref="S126">Common_InputFunctions.Utility_DisplayArrayInTable(Fertiliser_SourceData.Fertiliser_Products_Data1(),FertiliserProducts[[#Headers],[Include or Exclude]], 0,4)</f>
        <v/>
      </c>
      <c r="T126" s="182" t="str" cm="1">
        <f t="array" ref="T126">Common_InputFunctions.Utility_DisplayArrayInTable(Fertiliser_SourceData.Fertiliser_Products_Data1(),FertiliserProducts[[#Headers],[Include or Exclude]], 0,4)</f>
        <v/>
      </c>
      <c r="U126" s="182" t="str" cm="1">
        <f t="array" ref="U126">Common_InputFunctions.Utility_DisplayArrayInTable(Fertiliser_SourceData.Fertiliser_Products_Data1(),FertiliserProducts[[#Headers],[Include or Exclude]], 0,4)</f>
        <v/>
      </c>
      <c r="V126" s="182" t="str" cm="1">
        <f t="array" ref="V126">Common_InputFunctions.Utility_DisplayArrayInTable(Fertiliser_SourceData.Fertiliser_Products_Data1(),FertiliserProducts[[#Headers],[Include or Exclude]], 0,4)</f>
        <v/>
      </c>
      <c r="W126" s="182" t="str" cm="1">
        <f t="array" ref="W126">Common_InputFunctions.Utility_DisplayArrayInTable(Fertiliser_SourceData.Fertiliser_Products_Data1(),FertiliserProducts[[#Headers],[Include or Exclude]], 0,4)</f>
        <v/>
      </c>
      <c r="X126" s="182" t="str" cm="1">
        <f t="array" ref="X126">Common_InputFunctions.Utility_DisplayArrayInTable(Fertiliser_SourceData.Fertiliser_Products_Data1(),FertiliserProducts[[#Headers],[Include or Exclude]], 0,4)</f>
        <v/>
      </c>
      <c r="Y126" s="182" t="str" cm="1">
        <f t="array" ref="Y126">Common_InputFunctions.Utility_DisplayArrayInTable(Fertiliser_SourceData.Fertiliser_Products_Data1(),FertiliserProducts[[#Headers],[Include or Exclude]], 0,4)</f>
        <v/>
      </c>
      <c r="Z126" s="182" t="str" cm="1">
        <f t="array" ref="Z126">Common_InputFunctions.Utility_DisplayArrayInTable(Fertiliser_SourceData.Fertiliser_Products_Data1(),FertiliserProducts[[#Headers],[Include or Exclude]], 0,4)</f>
        <v/>
      </c>
      <c r="AA126" s="182" t="str" cm="1">
        <f t="array" ref="AA126">Common_InputFunctions.Utility_DisplayArrayInTable(Fertiliser_SourceData.Fertiliser_Products_Data1(),FertiliserProducts[[#Headers],[Include or Exclude]], 0,4)</f>
        <v/>
      </c>
      <c r="AB126" s="182" t="str" cm="1">
        <f t="array" ref="AB126">Common_InputFunctions.Utility_DisplayArrayInTable(Fertiliser_SourceData.Fertiliser_Products_Data1(),FertiliserProducts[[#Headers],[Include or Exclude]], 0,4)</f>
        <v/>
      </c>
      <c r="AC126" s="182" t="str" cm="1">
        <f t="array" ref="AC126">Common_InputFunctions.Utility_DisplayArrayInTable(Fertiliser_SourceData.Fertiliser_Products_Data1(),FertiliserProducts[[#Headers],[Include or Exclude]], 0,4)</f>
        <v/>
      </c>
      <c r="AD126" s="182" t="str" cm="1">
        <f t="array" ref="AD126">Common_InputFunctions.Utility_DisplayArrayInTable(Fertiliser_SourceData.Fertiliser_Products_Data1(),FertiliserProducts[[#Headers],[Include or Exclude]], 0,4)</f>
        <v/>
      </c>
      <c r="AE126" s="182" t="str" cm="1">
        <f t="array" ref="AE126">Common_InputFunctions.Utility_DisplayArrayInTable(Fertiliser_SourceData.Fertiliser_Products_Data1(),FertiliserProducts[[#Headers],[Include or Exclude]], 0,4)</f>
        <v/>
      </c>
    </row>
    <row r="127" spans="4:31" ht="20.100000000000001" customHeight="1" x14ac:dyDescent="0.25">
      <c r="D127" s="182" t="str" cm="1">
        <f t="array" ref="D127">Common_InputFunctions.Utility_DisplayArrayInTable(Fertiliser_SourceData.Fertiliser_Products_Data1(),FertiliserProducts[[#Headers],[Include or Exclude]], -1)</f>
        <v/>
      </c>
      <c r="E127" s="182" t="str" cm="1">
        <f t="array" ref="E127">Common_InputFunctions.Utility_DisplayArrayInTable(Fertiliser_SourceData.Fertiliser_Products_Data1(),FertiliserProducts[[#Headers],[Include or Exclude]], 0)</f>
        <v/>
      </c>
      <c r="F127" s="182" t="str" cm="1">
        <f t="array" ref="F127">Common_InputFunctions.Utility_DisplayArrayInTable(Fertiliser_SourceData.Fertiliser_Products_Data1(),FertiliserProducts[[#Headers],[Include or Exclude]], 0)</f>
        <v/>
      </c>
      <c r="G127" s="182" t="str" cm="1">
        <f t="array" ref="G127">Common_InputFunctions.Utility_DisplayArrayInTable(Fertiliser_SourceData.Fertiliser_Products_Data1(),FertiliserProducts[[#Headers],[Include or Exclude]], 0)</f>
        <v/>
      </c>
      <c r="H127" s="182" t="str" cm="1">
        <f t="array" ref="H127">Common_InputFunctions.Utility_DisplayArrayInTable(Fertiliser_SourceData.Fertiliser_Products_Data1(),FertiliserProducts[[#Headers],[Include or Exclude]], 0,4)</f>
        <v/>
      </c>
      <c r="I127" s="182" t="str" cm="1">
        <f t="array" ref="I127">Common_InputFunctions.Utility_DisplayArrayInTable(Fertiliser_SourceData.Fertiliser_Products_Data1(),FertiliserProducts[[#Headers],[Include or Exclude]], 0,4)</f>
        <v/>
      </c>
      <c r="J127" s="182" t="str" cm="1">
        <f t="array" ref="J127">Common_InputFunctions.Utility_DisplayArrayInTable(Fertiliser_SourceData.Fertiliser_Products_Data1(),FertiliserProducts[[#Headers],[Include or Exclude]], 0,4)</f>
        <v/>
      </c>
      <c r="K127" s="182" t="str" cm="1">
        <f t="array" ref="K127">Common_InputFunctions.Utility_DisplayArrayInTable(Fertiliser_SourceData.Fertiliser_Products_Data1(),FertiliserProducts[[#Headers],[Include or Exclude]], 0,4)</f>
        <v/>
      </c>
      <c r="L127" s="182" t="str" cm="1">
        <f t="array" ref="L127">Common_InputFunctions.Utility_DisplayArrayInTable(Fertiliser_SourceData.Fertiliser_Products_Data1(),FertiliserProducts[[#Headers],[Include or Exclude]], 0,4)</f>
        <v/>
      </c>
      <c r="M127" s="182" t="str" cm="1">
        <f t="array" ref="M127">Common_InputFunctions.Utility_DisplayArrayInTable(Fertiliser_SourceData.Fertiliser_Products_Data1(),FertiliserProducts[[#Headers],[Include or Exclude]], 0,4)</f>
        <v/>
      </c>
      <c r="N127" s="182" t="str" cm="1">
        <f t="array" ref="N127">Common_InputFunctions.Utility_DisplayArrayInTable(Fertiliser_SourceData.Fertiliser_Products_Data1(),FertiliserProducts[[#Headers],[Include or Exclude]], 0,4)</f>
        <v/>
      </c>
      <c r="O127" s="182" t="str" cm="1">
        <f t="array" ref="O127">Common_InputFunctions.Utility_DisplayArrayInTable(Fertiliser_SourceData.Fertiliser_Products_Data1(),FertiliserProducts[[#Headers],[Include or Exclude]], 0,4)</f>
        <v/>
      </c>
      <c r="P127" s="182" t="str" cm="1">
        <f t="array" ref="P127">Common_InputFunctions.Utility_DisplayArrayInTable(Fertiliser_SourceData.Fertiliser_Products_Data1(),FertiliserProducts[[#Headers],[Include or Exclude]], 0,4)</f>
        <v/>
      </c>
      <c r="Q127" s="182" t="str" cm="1">
        <f t="array" ref="Q127">Common_InputFunctions.Utility_DisplayArrayInTable(Fertiliser_SourceData.Fertiliser_Products_Data1(),FertiliserProducts[[#Headers],[Include or Exclude]], 0,4)</f>
        <v/>
      </c>
      <c r="R127" s="182" t="str" cm="1">
        <f t="array" ref="R127">Common_InputFunctions.Utility_DisplayArrayInTable(Fertiliser_SourceData.Fertiliser_Products_Data1(),FertiliserProducts[[#Headers],[Include or Exclude]], 0,4)</f>
        <v/>
      </c>
      <c r="S127" s="182" t="str" cm="1">
        <f t="array" ref="S127">Common_InputFunctions.Utility_DisplayArrayInTable(Fertiliser_SourceData.Fertiliser_Products_Data1(),FertiliserProducts[[#Headers],[Include or Exclude]], 0,4)</f>
        <v/>
      </c>
      <c r="T127" s="182" t="str" cm="1">
        <f t="array" ref="T127">Common_InputFunctions.Utility_DisplayArrayInTable(Fertiliser_SourceData.Fertiliser_Products_Data1(),FertiliserProducts[[#Headers],[Include or Exclude]], 0,4)</f>
        <v/>
      </c>
      <c r="U127" s="182" t="str" cm="1">
        <f t="array" ref="U127">Common_InputFunctions.Utility_DisplayArrayInTable(Fertiliser_SourceData.Fertiliser_Products_Data1(),FertiliserProducts[[#Headers],[Include or Exclude]], 0,4)</f>
        <v/>
      </c>
      <c r="V127" s="182" t="str" cm="1">
        <f t="array" ref="V127">Common_InputFunctions.Utility_DisplayArrayInTable(Fertiliser_SourceData.Fertiliser_Products_Data1(),FertiliserProducts[[#Headers],[Include or Exclude]], 0,4)</f>
        <v/>
      </c>
      <c r="W127" s="182" t="str" cm="1">
        <f t="array" ref="W127">Common_InputFunctions.Utility_DisplayArrayInTable(Fertiliser_SourceData.Fertiliser_Products_Data1(),FertiliserProducts[[#Headers],[Include or Exclude]], 0,4)</f>
        <v/>
      </c>
      <c r="X127" s="182" t="str" cm="1">
        <f t="array" ref="X127">Common_InputFunctions.Utility_DisplayArrayInTable(Fertiliser_SourceData.Fertiliser_Products_Data1(),FertiliserProducts[[#Headers],[Include or Exclude]], 0,4)</f>
        <v/>
      </c>
      <c r="Y127" s="182" t="str" cm="1">
        <f t="array" ref="Y127">Common_InputFunctions.Utility_DisplayArrayInTable(Fertiliser_SourceData.Fertiliser_Products_Data1(),FertiliserProducts[[#Headers],[Include or Exclude]], 0,4)</f>
        <v/>
      </c>
      <c r="Z127" s="182" t="str" cm="1">
        <f t="array" ref="Z127">Common_InputFunctions.Utility_DisplayArrayInTable(Fertiliser_SourceData.Fertiliser_Products_Data1(),FertiliserProducts[[#Headers],[Include or Exclude]], 0,4)</f>
        <v/>
      </c>
      <c r="AA127" s="182" t="str" cm="1">
        <f t="array" ref="AA127">Common_InputFunctions.Utility_DisplayArrayInTable(Fertiliser_SourceData.Fertiliser_Products_Data1(),FertiliserProducts[[#Headers],[Include or Exclude]], 0,4)</f>
        <v/>
      </c>
      <c r="AB127" s="182" t="str" cm="1">
        <f t="array" ref="AB127">Common_InputFunctions.Utility_DisplayArrayInTable(Fertiliser_SourceData.Fertiliser_Products_Data1(),FertiliserProducts[[#Headers],[Include or Exclude]], 0,4)</f>
        <v/>
      </c>
      <c r="AC127" s="182" t="str" cm="1">
        <f t="array" ref="AC127">Common_InputFunctions.Utility_DisplayArrayInTable(Fertiliser_SourceData.Fertiliser_Products_Data1(),FertiliserProducts[[#Headers],[Include or Exclude]], 0,4)</f>
        <v/>
      </c>
      <c r="AD127" s="182" t="str" cm="1">
        <f t="array" ref="AD127">Common_InputFunctions.Utility_DisplayArrayInTable(Fertiliser_SourceData.Fertiliser_Products_Data1(),FertiliserProducts[[#Headers],[Include or Exclude]], 0,4)</f>
        <v/>
      </c>
      <c r="AE127" s="182" t="str" cm="1">
        <f t="array" ref="AE127">Common_InputFunctions.Utility_DisplayArrayInTable(Fertiliser_SourceData.Fertiliser_Products_Data1(),FertiliserProducts[[#Headers],[Include or Exclude]], 0,4)</f>
        <v/>
      </c>
    </row>
    <row r="128" spans="4:31" ht="20.100000000000001" customHeight="1" x14ac:dyDescent="0.25">
      <c r="D128" s="182" t="str" cm="1">
        <f t="array" ref="D128">Common_InputFunctions.Utility_DisplayArrayInTable(Fertiliser_SourceData.Fertiliser_Products_Data1(),FertiliserProducts[[#Headers],[Include or Exclude]], -1)</f>
        <v/>
      </c>
      <c r="E128" s="182" t="str" cm="1">
        <f t="array" ref="E128">Common_InputFunctions.Utility_DisplayArrayInTable(Fertiliser_SourceData.Fertiliser_Products_Data1(),FertiliserProducts[[#Headers],[Include or Exclude]], 0)</f>
        <v/>
      </c>
      <c r="F128" s="182" t="str" cm="1">
        <f t="array" ref="F128">Common_InputFunctions.Utility_DisplayArrayInTable(Fertiliser_SourceData.Fertiliser_Products_Data1(),FertiliserProducts[[#Headers],[Include or Exclude]], 0)</f>
        <v/>
      </c>
      <c r="G128" s="182" t="str" cm="1">
        <f t="array" ref="G128">Common_InputFunctions.Utility_DisplayArrayInTable(Fertiliser_SourceData.Fertiliser_Products_Data1(),FertiliserProducts[[#Headers],[Include or Exclude]], 0)</f>
        <v/>
      </c>
      <c r="H128" s="182" t="str" cm="1">
        <f t="array" ref="H128">Common_InputFunctions.Utility_DisplayArrayInTable(Fertiliser_SourceData.Fertiliser_Products_Data1(),FertiliserProducts[[#Headers],[Include or Exclude]], 0,4)</f>
        <v/>
      </c>
      <c r="I128" s="182" t="str" cm="1">
        <f t="array" ref="I128">Common_InputFunctions.Utility_DisplayArrayInTable(Fertiliser_SourceData.Fertiliser_Products_Data1(),FertiliserProducts[[#Headers],[Include or Exclude]], 0,4)</f>
        <v/>
      </c>
      <c r="J128" s="182" t="str" cm="1">
        <f t="array" ref="J128">Common_InputFunctions.Utility_DisplayArrayInTable(Fertiliser_SourceData.Fertiliser_Products_Data1(),FertiliserProducts[[#Headers],[Include or Exclude]], 0,4)</f>
        <v/>
      </c>
      <c r="K128" s="182" t="str" cm="1">
        <f t="array" ref="K128">Common_InputFunctions.Utility_DisplayArrayInTable(Fertiliser_SourceData.Fertiliser_Products_Data1(),FertiliserProducts[[#Headers],[Include or Exclude]], 0,4)</f>
        <v/>
      </c>
      <c r="L128" s="182" t="str" cm="1">
        <f t="array" ref="L128">Common_InputFunctions.Utility_DisplayArrayInTable(Fertiliser_SourceData.Fertiliser_Products_Data1(),FertiliserProducts[[#Headers],[Include or Exclude]], 0,4)</f>
        <v/>
      </c>
      <c r="M128" s="182" t="str" cm="1">
        <f t="array" ref="M128">Common_InputFunctions.Utility_DisplayArrayInTable(Fertiliser_SourceData.Fertiliser_Products_Data1(),FertiliserProducts[[#Headers],[Include or Exclude]], 0,4)</f>
        <v/>
      </c>
      <c r="N128" s="182" t="str" cm="1">
        <f t="array" ref="N128">Common_InputFunctions.Utility_DisplayArrayInTable(Fertiliser_SourceData.Fertiliser_Products_Data1(),FertiliserProducts[[#Headers],[Include or Exclude]], 0,4)</f>
        <v/>
      </c>
      <c r="O128" s="182" t="str" cm="1">
        <f t="array" ref="O128">Common_InputFunctions.Utility_DisplayArrayInTable(Fertiliser_SourceData.Fertiliser_Products_Data1(),FertiliserProducts[[#Headers],[Include or Exclude]], 0,4)</f>
        <v/>
      </c>
      <c r="P128" s="182" t="str" cm="1">
        <f t="array" ref="P128">Common_InputFunctions.Utility_DisplayArrayInTable(Fertiliser_SourceData.Fertiliser_Products_Data1(),FertiliserProducts[[#Headers],[Include or Exclude]], 0,4)</f>
        <v/>
      </c>
      <c r="Q128" s="182" t="str" cm="1">
        <f t="array" ref="Q128">Common_InputFunctions.Utility_DisplayArrayInTable(Fertiliser_SourceData.Fertiliser_Products_Data1(),FertiliserProducts[[#Headers],[Include or Exclude]], 0,4)</f>
        <v/>
      </c>
      <c r="R128" s="182" t="str" cm="1">
        <f t="array" ref="R128">Common_InputFunctions.Utility_DisplayArrayInTable(Fertiliser_SourceData.Fertiliser_Products_Data1(),FertiliserProducts[[#Headers],[Include or Exclude]], 0,4)</f>
        <v/>
      </c>
      <c r="S128" s="182" t="str" cm="1">
        <f t="array" ref="S128">Common_InputFunctions.Utility_DisplayArrayInTable(Fertiliser_SourceData.Fertiliser_Products_Data1(),FertiliserProducts[[#Headers],[Include or Exclude]], 0,4)</f>
        <v/>
      </c>
      <c r="T128" s="182" t="str" cm="1">
        <f t="array" ref="T128">Common_InputFunctions.Utility_DisplayArrayInTable(Fertiliser_SourceData.Fertiliser_Products_Data1(),FertiliserProducts[[#Headers],[Include or Exclude]], 0,4)</f>
        <v/>
      </c>
      <c r="U128" s="182" t="str" cm="1">
        <f t="array" ref="U128">Common_InputFunctions.Utility_DisplayArrayInTable(Fertiliser_SourceData.Fertiliser_Products_Data1(),FertiliserProducts[[#Headers],[Include or Exclude]], 0,4)</f>
        <v/>
      </c>
      <c r="V128" s="182" t="str" cm="1">
        <f t="array" ref="V128">Common_InputFunctions.Utility_DisplayArrayInTable(Fertiliser_SourceData.Fertiliser_Products_Data1(),FertiliserProducts[[#Headers],[Include or Exclude]], 0,4)</f>
        <v/>
      </c>
      <c r="W128" s="182" t="str" cm="1">
        <f t="array" ref="W128">Common_InputFunctions.Utility_DisplayArrayInTable(Fertiliser_SourceData.Fertiliser_Products_Data1(),FertiliserProducts[[#Headers],[Include or Exclude]], 0,4)</f>
        <v/>
      </c>
      <c r="X128" s="182" t="str" cm="1">
        <f t="array" ref="X128">Common_InputFunctions.Utility_DisplayArrayInTable(Fertiliser_SourceData.Fertiliser_Products_Data1(),FertiliserProducts[[#Headers],[Include or Exclude]], 0,4)</f>
        <v/>
      </c>
      <c r="Y128" s="182" t="str" cm="1">
        <f t="array" ref="Y128">Common_InputFunctions.Utility_DisplayArrayInTable(Fertiliser_SourceData.Fertiliser_Products_Data1(),FertiliserProducts[[#Headers],[Include or Exclude]], 0,4)</f>
        <v/>
      </c>
      <c r="Z128" s="182" t="str" cm="1">
        <f t="array" ref="Z128">Common_InputFunctions.Utility_DisplayArrayInTable(Fertiliser_SourceData.Fertiliser_Products_Data1(),FertiliserProducts[[#Headers],[Include or Exclude]], 0,4)</f>
        <v/>
      </c>
      <c r="AA128" s="182" t="str" cm="1">
        <f t="array" ref="AA128">Common_InputFunctions.Utility_DisplayArrayInTable(Fertiliser_SourceData.Fertiliser_Products_Data1(),FertiliserProducts[[#Headers],[Include or Exclude]], 0,4)</f>
        <v/>
      </c>
      <c r="AB128" s="182" t="str" cm="1">
        <f t="array" ref="AB128">Common_InputFunctions.Utility_DisplayArrayInTable(Fertiliser_SourceData.Fertiliser_Products_Data1(),FertiliserProducts[[#Headers],[Include or Exclude]], 0,4)</f>
        <v/>
      </c>
      <c r="AC128" s="182" t="str" cm="1">
        <f t="array" ref="AC128">Common_InputFunctions.Utility_DisplayArrayInTable(Fertiliser_SourceData.Fertiliser_Products_Data1(),FertiliserProducts[[#Headers],[Include or Exclude]], 0,4)</f>
        <v/>
      </c>
      <c r="AD128" s="182" t="str" cm="1">
        <f t="array" ref="AD128">Common_InputFunctions.Utility_DisplayArrayInTable(Fertiliser_SourceData.Fertiliser_Products_Data1(),FertiliserProducts[[#Headers],[Include or Exclude]], 0,4)</f>
        <v/>
      </c>
      <c r="AE128" s="182" t="str" cm="1">
        <f t="array" ref="AE128">Common_InputFunctions.Utility_DisplayArrayInTable(Fertiliser_SourceData.Fertiliser_Products_Data1(),FertiliserProducts[[#Headers],[Include or Exclude]], 0,4)</f>
        <v/>
      </c>
    </row>
    <row r="129" spans="4:31" ht="20.100000000000001" customHeight="1" x14ac:dyDescent="0.25">
      <c r="D129" s="182" t="str" cm="1">
        <f t="array" ref="D129">Common_InputFunctions.Utility_DisplayArrayInTable(Fertiliser_SourceData.Fertiliser_Products_Data1(),FertiliserProducts[[#Headers],[Include or Exclude]], -1)</f>
        <v/>
      </c>
      <c r="E129" s="182" t="str" cm="1">
        <f t="array" ref="E129">Common_InputFunctions.Utility_DisplayArrayInTable(Fertiliser_SourceData.Fertiliser_Products_Data1(),FertiliserProducts[[#Headers],[Include or Exclude]], 0)</f>
        <v/>
      </c>
      <c r="F129" s="182" t="str" cm="1">
        <f t="array" ref="F129">Common_InputFunctions.Utility_DisplayArrayInTable(Fertiliser_SourceData.Fertiliser_Products_Data1(),FertiliserProducts[[#Headers],[Include or Exclude]], 0)</f>
        <v/>
      </c>
      <c r="G129" s="182" t="str" cm="1">
        <f t="array" ref="G129">Common_InputFunctions.Utility_DisplayArrayInTable(Fertiliser_SourceData.Fertiliser_Products_Data1(),FertiliserProducts[[#Headers],[Include or Exclude]], 0)</f>
        <v/>
      </c>
      <c r="H129" s="182" t="str" cm="1">
        <f t="array" ref="H129">Common_InputFunctions.Utility_DisplayArrayInTable(Fertiliser_SourceData.Fertiliser_Products_Data1(),FertiliserProducts[[#Headers],[Include or Exclude]], 0,4)</f>
        <v/>
      </c>
      <c r="I129" s="182" t="str" cm="1">
        <f t="array" ref="I129">Common_InputFunctions.Utility_DisplayArrayInTable(Fertiliser_SourceData.Fertiliser_Products_Data1(),FertiliserProducts[[#Headers],[Include or Exclude]], 0,4)</f>
        <v/>
      </c>
      <c r="J129" s="182" t="str" cm="1">
        <f t="array" ref="J129">Common_InputFunctions.Utility_DisplayArrayInTable(Fertiliser_SourceData.Fertiliser_Products_Data1(),FertiliserProducts[[#Headers],[Include or Exclude]], 0,4)</f>
        <v/>
      </c>
      <c r="K129" s="182" t="str" cm="1">
        <f t="array" ref="K129">Common_InputFunctions.Utility_DisplayArrayInTable(Fertiliser_SourceData.Fertiliser_Products_Data1(),FertiliserProducts[[#Headers],[Include or Exclude]], 0,4)</f>
        <v/>
      </c>
      <c r="L129" s="182" t="str" cm="1">
        <f t="array" ref="L129">Common_InputFunctions.Utility_DisplayArrayInTable(Fertiliser_SourceData.Fertiliser_Products_Data1(),FertiliserProducts[[#Headers],[Include or Exclude]], 0,4)</f>
        <v/>
      </c>
      <c r="M129" s="182" t="str" cm="1">
        <f t="array" ref="M129">Common_InputFunctions.Utility_DisplayArrayInTable(Fertiliser_SourceData.Fertiliser_Products_Data1(),FertiliserProducts[[#Headers],[Include or Exclude]], 0,4)</f>
        <v/>
      </c>
      <c r="N129" s="182" t="str" cm="1">
        <f t="array" ref="N129">Common_InputFunctions.Utility_DisplayArrayInTable(Fertiliser_SourceData.Fertiliser_Products_Data1(),FertiliserProducts[[#Headers],[Include or Exclude]], 0,4)</f>
        <v/>
      </c>
      <c r="O129" s="182" t="str" cm="1">
        <f t="array" ref="O129">Common_InputFunctions.Utility_DisplayArrayInTable(Fertiliser_SourceData.Fertiliser_Products_Data1(),FertiliserProducts[[#Headers],[Include or Exclude]], 0,4)</f>
        <v/>
      </c>
      <c r="P129" s="182" t="str" cm="1">
        <f t="array" ref="P129">Common_InputFunctions.Utility_DisplayArrayInTable(Fertiliser_SourceData.Fertiliser_Products_Data1(),FertiliserProducts[[#Headers],[Include or Exclude]], 0,4)</f>
        <v/>
      </c>
      <c r="Q129" s="182" t="str" cm="1">
        <f t="array" ref="Q129">Common_InputFunctions.Utility_DisplayArrayInTable(Fertiliser_SourceData.Fertiliser_Products_Data1(),FertiliserProducts[[#Headers],[Include or Exclude]], 0,4)</f>
        <v/>
      </c>
      <c r="R129" s="182" t="str" cm="1">
        <f t="array" ref="R129">Common_InputFunctions.Utility_DisplayArrayInTable(Fertiliser_SourceData.Fertiliser_Products_Data1(),FertiliserProducts[[#Headers],[Include or Exclude]], 0,4)</f>
        <v/>
      </c>
      <c r="S129" s="182" t="str" cm="1">
        <f t="array" ref="S129">Common_InputFunctions.Utility_DisplayArrayInTable(Fertiliser_SourceData.Fertiliser_Products_Data1(),FertiliserProducts[[#Headers],[Include or Exclude]], 0,4)</f>
        <v/>
      </c>
      <c r="T129" s="182" t="str" cm="1">
        <f t="array" ref="T129">Common_InputFunctions.Utility_DisplayArrayInTable(Fertiliser_SourceData.Fertiliser_Products_Data1(),FertiliserProducts[[#Headers],[Include or Exclude]], 0,4)</f>
        <v/>
      </c>
      <c r="U129" s="182" t="str" cm="1">
        <f t="array" ref="U129">Common_InputFunctions.Utility_DisplayArrayInTable(Fertiliser_SourceData.Fertiliser_Products_Data1(),FertiliserProducts[[#Headers],[Include or Exclude]], 0,4)</f>
        <v/>
      </c>
      <c r="V129" s="182" t="str" cm="1">
        <f t="array" ref="V129">Common_InputFunctions.Utility_DisplayArrayInTable(Fertiliser_SourceData.Fertiliser_Products_Data1(),FertiliserProducts[[#Headers],[Include or Exclude]], 0,4)</f>
        <v/>
      </c>
      <c r="W129" s="182" t="str" cm="1">
        <f t="array" ref="W129">Common_InputFunctions.Utility_DisplayArrayInTable(Fertiliser_SourceData.Fertiliser_Products_Data1(),FertiliserProducts[[#Headers],[Include or Exclude]], 0,4)</f>
        <v/>
      </c>
      <c r="X129" s="182" t="str" cm="1">
        <f t="array" ref="X129">Common_InputFunctions.Utility_DisplayArrayInTable(Fertiliser_SourceData.Fertiliser_Products_Data1(),FertiliserProducts[[#Headers],[Include or Exclude]], 0,4)</f>
        <v/>
      </c>
      <c r="Y129" s="182" t="str" cm="1">
        <f t="array" ref="Y129">Common_InputFunctions.Utility_DisplayArrayInTable(Fertiliser_SourceData.Fertiliser_Products_Data1(),FertiliserProducts[[#Headers],[Include or Exclude]], 0,4)</f>
        <v/>
      </c>
      <c r="Z129" s="182" t="str" cm="1">
        <f t="array" ref="Z129">Common_InputFunctions.Utility_DisplayArrayInTable(Fertiliser_SourceData.Fertiliser_Products_Data1(),FertiliserProducts[[#Headers],[Include or Exclude]], 0,4)</f>
        <v/>
      </c>
      <c r="AA129" s="182" t="str" cm="1">
        <f t="array" ref="AA129">Common_InputFunctions.Utility_DisplayArrayInTable(Fertiliser_SourceData.Fertiliser_Products_Data1(),FertiliserProducts[[#Headers],[Include or Exclude]], 0,4)</f>
        <v/>
      </c>
      <c r="AB129" s="182" t="str" cm="1">
        <f t="array" ref="AB129">Common_InputFunctions.Utility_DisplayArrayInTable(Fertiliser_SourceData.Fertiliser_Products_Data1(),FertiliserProducts[[#Headers],[Include or Exclude]], 0,4)</f>
        <v/>
      </c>
      <c r="AC129" s="182" t="str" cm="1">
        <f t="array" ref="AC129">Common_InputFunctions.Utility_DisplayArrayInTable(Fertiliser_SourceData.Fertiliser_Products_Data1(),FertiliserProducts[[#Headers],[Include or Exclude]], 0,4)</f>
        <v/>
      </c>
      <c r="AD129" s="182" t="str" cm="1">
        <f t="array" ref="AD129">Common_InputFunctions.Utility_DisplayArrayInTable(Fertiliser_SourceData.Fertiliser_Products_Data1(),FertiliserProducts[[#Headers],[Include or Exclude]], 0,4)</f>
        <v/>
      </c>
      <c r="AE129" s="182" t="str" cm="1">
        <f t="array" ref="AE129">Common_InputFunctions.Utility_DisplayArrayInTable(Fertiliser_SourceData.Fertiliser_Products_Data1(),FertiliserProducts[[#Headers],[Include or Exclude]], 0,4)</f>
        <v/>
      </c>
    </row>
    <row r="130" spans="4:31" ht="20.100000000000001" customHeight="1" x14ac:dyDescent="0.25">
      <c r="D130" s="182" t="str" cm="1">
        <f t="array" ref="D130">Common_InputFunctions.Utility_DisplayArrayInTable(Fertiliser_SourceData.Fertiliser_Products_Data1(),FertiliserProducts[[#Headers],[Include or Exclude]], -1)</f>
        <v/>
      </c>
      <c r="E130" s="182" t="str" cm="1">
        <f t="array" ref="E130">Common_InputFunctions.Utility_DisplayArrayInTable(Fertiliser_SourceData.Fertiliser_Products_Data1(),FertiliserProducts[[#Headers],[Include or Exclude]], 0)</f>
        <v/>
      </c>
      <c r="F130" s="182" t="str" cm="1">
        <f t="array" ref="F130">Common_InputFunctions.Utility_DisplayArrayInTable(Fertiliser_SourceData.Fertiliser_Products_Data1(),FertiliserProducts[[#Headers],[Include or Exclude]], 0)</f>
        <v/>
      </c>
      <c r="G130" s="182" t="str" cm="1">
        <f t="array" ref="G130">Common_InputFunctions.Utility_DisplayArrayInTable(Fertiliser_SourceData.Fertiliser_Products_Data1(),FertiliserProducts[[#Headers],[Include or Exclude]], 0)</f>
        <v/>
      </c>
      <c r="H130" s="182" t="str" cm="1">
        <f t="array" ref="H130">Common_InputFunctions.Utility_DisplayArrayInTable(Fertiliser_SourceData.Fertiliser_Products_Data1(),FertiliserProducts[[#Headers],[Include or Exclude]], 0,4)</f>
        <v/>
      </c>
      <c r="I130" s="182" t="str" cm="1">
        <f t="array" ref="I130">Common_InputFunctions.Utility_DisplayArrayInTable(Fertiliser_SourceData.Fertiliser_Products_Data1(),FertiliserProducts[[#Headers],[Include or Exclude]], 0,4)</f>
        <v/>
      </c>
      <c r="J130" s="182" t="str" cm="1">
        <f t="array" ref="J130">Common_InputFunctions.Utility_DisplayArrayInTable(Fertiliser_SourceData.Fertiliser_Products_Data1(),FertiliserProducts[[#Headers],[Include or Exclude]], 0,4)</f>
        <v/>
      </c>
      <c r="K130" s="182" t="str" cm="1">
        <f t="array" ref="K130">Common_InputFunctions.Utility_DisplayArrayInTable(Fertiliser_SourceData.Fertiliser_Products_Data1(),FertiliserProducts[[#Headers],[Include or Exclude]], 0,4)</f>
        <v/>
      </c>
      <c r="L130" s="182" t="str" cm="1">
        <f t="array" ref="L130">Common_InputFunctions.Utility_DisplayArrayInTable(Fertiliser_SourceData.Fertiliser_Products_Data1(),FertiliserProducts[[#Headers],[Include or Exclude]], 0,4)</f>
        <v/>
      </c>
      <c r="M130" s="182" t="str" cm="1">
        <f t="array" ref="M130">Common_InputFunctions.Utility_DisplayArrayInTable(Fertiliser_SourceData.Fertiliser_Products_Data1(),FertiliserProducts[[#Headers],[Include or Exclude]], 0,4)</f>
        <v/>
      </c>
      <c r="N130" s="182" t="str" cm="1">
        <f t="array" ref="N130">Common_InputFunctions.Utility_DisplayArrayInTable(Fertiliser_SourceData.Fertiliser_Products_Data1(),FertiliserProducts[[#Headers],[Include or Exclude]], 0,4)</f>
        <v/>
      </c>
      <c r="O130" s="182" t="str" cm="1">
        <f t="array" ref="O130">Common_InputFunctions.Utility_DisplayArrayInTable(Fertiliser_SourceData.Fertiliser_Products_Data1(),FertiliserProducts[[#Headers],[Include or Exclude]], 0,4)</f>
        <v/>
      </c>
      <c r="P130" s="182" t="str" cm="1">
        <f t="array" ref="P130">Common_InputFunctions.Utility_DisplayArrayInTable(Fertiliser_SourceData.Fertiliser_Products_Data1(),FertiliserProducts[[#Headers],[Include or Exclude]], 0,4)</f>
        <v/>
      </c>
      <c r="Q130" s="182" t="str" cm="1">
        <f t="array" ref="Q130">Common_InputFunctions.Utility_DisplayArrayInTable(Fertiliser_SourceData.Fertiliser_Products_Data1(),FertiliserProducts[[#Headers],[Include or Exclude]], 0,4)</f>
        <v/>
      </c>
      <c r="R130" s="182" t="str" cm="1">
        <f t="array" ref="R130">Common_InputFunctions.Utility_DisplayArrayInTable(Fertiliser_SourceData.Fertiliser_Products_Data1(),FertiliserProducts[[#Headers],[Include or Exclude]], 0,4)</f>
        <v/>
      </c>
      <c r="S130" s="182" t="str" cm="1">
        <f t="array" ref="S130">Common_InputFunctions.Utility_DisplayArrayInTable(Fertiliser_SourceData.Fertiliser_Products_Data1(),FertiliserProducts[[#Headers],[Include or Exclude]], 0,4)</f>
        <v/>
      </c>
      <c r="T130" s="182" t="str" cm="1">
        <f t="array" ref="T130">Common_InputFunctions.Utility_DisplayArrayInTable(Fertiliser_SourceData.Fertiliser_Products_Data1(),FertiliserProducts[[#Headers],[Include or Exclude]], 0,4)</f>
        <v/>
      </c>
      <c r="U130" s="182" t="str" cm="1">
        <f t="array" ref="U130">Common_InputFunctions.Utility_DisplayArrayInTable(Fertiliser_SourceData.Fertiliser_Products_Data1(),FertiliserProducts[[#Headers],[Include or Exclude]], 0,4)</f>
        <v/>
      </c>
      <c r="V130" s="182" t="str" cm="1">
        <f t="array" ref="V130">Common_InputFunctions.Utility_DisplayArrayInTable(Fertiliser_SourceData.Fertiliser_Products_Data1(),FertiliserProducts[[#Headers],[Include or Exclude]], 0,4)</f>
        <v/>
      </c>
      <c r="W130" s="182" t="str" cm="1">
        <f t="array" ref="W130">Common_InputFunctions.Utility_DisplayArrayInTable(Fertiliser_SourceData.Fertiliser_Products_Data1(),FertiliserProducts[[#Headers],[Include or Exclude]], 0,4)</f>
        <v/>
      </c>
      <c r="X130" s="182" t="str" cm="1">
        <f t="array" ref="X130">Common_InputFunctions.Utility_DisplayArrayInTable(Fertiliser_SourceData.Fertiliser_Products_Data1(),FertiliserProducts[[#Headers],[Include or Exclude]], 0,4)</f>
        <v/>
      </c>
      <c r="Y130" s="182" t="str" cm="1">
        <f t="array" ref="Y130">Common_InputFunctions.Utility_DisplayArrayInTable(Fertiliser_SourceData.Fertiliser_Products_Data1(),FertiliserProducts[[#Headers],[Include or Exclude]], 0,4)</f>
        <v/>
      </c>
      <c r="Z130" s="182" t="str" cm="1">
        <f t="array" ref="Z130">Common_InputFunctions.Utility_DisplayArrayInTable(Fertiliser_SourceData.Fertiliser_Products_Data1(),FertiliserProducts[[#Headers],[Include or Exclude]], 0,4)</f>
        <v/>
      </c>
      <c r="AA130" s="182" t="str" cm="1">
        <f t="array" ref="AA130">Common_InputFunctions.Utility_DisplayArrayInTable(Fertiliser_SourceData.Fertiliser_Products_Data1(),FertiliserProducts[[#Headers],[Include or Exclude]], 0,4)</f>
        <v/>
      </c>
      <c r="AB130" s="182" t="str" cm="1">
        <f t="array" ref="AB130">Common_InputFunctions.Utility_DisplayArrayInTable(Fertiliser_SourceData.Fertiliser_Products_Data1(),FertiliserProducts[[#Headers],[Include or Exclude]], 0,4)</f>
        <v/>
      </c>
      <c r="AC130" s="182" t="str" cm="1">
        <f t="array" ref="AC130">Common_InputFunctions.Utility_DisplayArrayInTable(Fertiliser_SourceData.Fertiliser_Products_Data1(),FertiliserProducts[[#Headers],[Include or Exclude]], 0,4)</f>
        <v/>
      </c>
      <c r="AD130" s="182" t="str" cm="1">
        <f t="array" ref="AD130">Common_InputFunctions.Utility_DisplayArrayInTable(Fertiliser_SourceData.Fertiliser_Products_Data1(),FertiliserProducts[[#Headers],[Include or Exclude]], 0,4)</f>
        <v/>
      </c>
      <c r="AE130" s="182" t="str" cm="1">
        <f t="array" ref="AE130">Common_InputFunctions.Utility_DisplayArrayInTable(Fertiliser_SourceData.Fertiliser_Products_Data1(),FertiliserProducts[[#Headers],[Include or Exclude]], 0,4)</f>
        <v/>
      </c>
    </row>
    <row r="131" spans="4:31" ht="20.100000000000001" customHeight="1" x14ac:dyDescent="0.25">
      <c r="D131" s="182" t="str" cm="1">
        <f t="array" ref="D131">Common_InputFunctions.Utility_DisplayArrayInTable(Fertiliser_SourceData.Fertiliser_Products_Data1(),FertiliserProducts[[#Headers],[Include or Exclude]], -1)</f>
        <v/>
      </c>
      <c r="E131" s="182" t="str" cm="1">
        <f t="array" ref="E131">Common_InputFunctions.Utility_DisplayArrayInTable(Fertiliser_SourceData.Fertiliser_Products_Data1(),FertiliserProducts[[#Headers],[Include or Exclude]], 0)</f>
        <v/>
      </c>
      <c r="F131" s="182" t="str" cm="1">
        <f t="array" ref="F131">Common_InputFunctions.Utility_DisplayArrayInTable(Fertiliser_SourceData.Fertiliser_Products_Data1(),FertiliserProducts[[#Headers],[Include or Exclude]], 0)</f>
        <v/>
      </c>
      <c r="G131" s="182" t="str" cm="1">
        <f t="array" ref="G131">Common_InputFunctions.Utility_DisplayArrayInTable(Fertiliser_SourceData.Fertiliser_Products_Data1(),FertiliserProducts[[#Headers],[Include or Exclude]], 0)</f>
        <v/>
      </c>
      <c r="H131" s="182" t="str" cm="1">
        <f t="array" ref="H131">Common_InputFunctions.Utility_DisplayArrayInTable(Fertiliser_SourceData.Fertiliser_Products_Data1(),FertiliserProducts[[#Headers],[Include or Exclude]], 0,4)</f>
        <v/>
      </c>
      <c r="I131" s="182" t="str" cm="1">
        <f t="array" ref="I131">Common_InputFunctions.Utility_DisplayArrayInTable(Fertiliser_SourceData.Fertiliser_Products_Data1(),FertiliserProducts[[#Headers],[Include or Exclude]], 0,4)</f>
        <v/>
      </c>
      <c r="J131" s="182" t="str" cm="1">
        <f t="array" ref="J131">Common_InputFunctions.Utility_DisplayArrayInTable(Fertiliser_SourceData.Fertiliser_Products_Data1(),FertiliserProducts[[#Headers],[Include or Exclude]], 0,4)</f>
        <v/>
      </c>
      <c r="K131" s="182" t="str" cm="1">
        <f t="array" ref="K131">Common_InputFunctions.Utility_DisplayArrayInTable(Fertiliser_SourceData.Fertiliser_Products_Data1(),FertiliserProducts[[#Headers],[Include or Exclude]], 0,4)</f>
        <v/>
      </c>
      <c r="L131" s="182" t="str" cm="1">
        <f t="array" ref="L131">Common_InputFunctions.Utility_DisplayArrayInTable(Fertiliser_SourceData.Fertiliser_Products_Data1(),FertiliserProducts[[#Headers],[Include or Exclude]], 0,4)</f>
        <v/>
      </c>
      <c r="M131" s="182" t="str" cm="1">
        <f t="array" ref="M131">Common_InputFunctions.Utility_DisplayArrayInTable(Fertiliser_SourceData.Fertiliser_Products_Data1(),FertiliserProducts[[#Headers],[Include or Exclude]], 0,4)</f>
        <v/>
      </c>
      <c r="N131" s="182" t="str" cm="1">
        <f t="array" ref="N131">Common_InputFunctions.Utility_DisplayArrayInTable(Fertiliser_SourceData.Fertiliser_Products_Data1(),FertiliserProducts[[#Headers],[Include or Exclude]], 0,4)</f>
        <v/>
      </c>
      <c r="O131" s="182" t="str" cm="1">
        <f t="array" ref="O131">Common_InputFunctions.Utility_DisplayArrayInTable(Fertiliser_SourceData.Fertiliser_Products_Data1(),FertiliserProducts[[#Headers],[Include or Exclude]], 0,4)</f>
        <v/>
      </c>
      <c r="P131" s="182" t="str" cm="1">
        <f t="array" ref="P131">Common_InputFunctions.Utility_DisplayArrayInTable(Fertiliser_SourceData.Fertiliser_Products_Data1(),FertiliserProducts[[#Headers],[Include or Exclude]], 0,4)</f>
        <v/>
      </c>
      <c r="Q131" s="182" t="str" cm="1">
        <f t="array" ref="Q131">Common_InputFunctions.Utility_DisplayArrayInTable(Fertiliser_SourceData.Fertiliser_Products_Data1(),FertiliserProducts[[#Headers],[Include or Exclude]], 0,4)</f>
        <v/>
      </c>
      <c r="R131" s="182" t="str" cm="1">
        <f t="array" ref="R131">Common_InputFunctions.Utility_DisplayArrayInTable(Fertiliser_SourceData.Fertiliser_Products_Data1(),FertiliserProducts[[#Headers],[Include or Exclude]], 0,4)</f>
        <v/>
      </c>
      <c r="S131" s="182" t="str" cm="1">
        <f t="array" ref="S131">Common_InputFunctions.Utility_DisplayArrayInTable(Fertiliser_SourceData.Fertiliser_Products_Data1(),FertiliserProducts[[#Headers],[Include or Exclude]], 0,4)</f>
        <v/>
      </c>
      <c r="T131" s="182" t="str" cm="1">
        <f t="array" ref="T131">Common_InputFunctions.Utility_DisplayArrayInTable(Fertiliser_SourceData.Fertiliser_Products_Data1(),FertiliserProducts[[#Headers],[Include or Exclude]], 0,4)</f>
        <v/>
      </c>
      <c r="U131" s="182" t="str" cm="1">
        <f t="array" ref="U131">Common_InputFunctions.Utility_DisplayArrayInTable(Fertiliser_SourceData.Fertiliser_Products_Data1(),FertiliserProducts[[#Headers],[Include or Exclude]], 0,4)</f>
        <v/>
      </c>
      <c r="V131" s="182" t="str" cm="1">
        <f t="array" ref="V131">Common_InputFunctions.Utility_DisplayArrayInTable(Fertiliser_SourceData.Fertiliser_Products_Data1(),FertiliserProducts[[#Headers],[Include or Exclude]], 0,4)</f>
        <v/>
      </c>
      <c r="W131" s="182" t="str" cm="1">
        <f t="array" ref="W131">Common_InputFunctions.Utility_DisplayArrayInTable(Fertiliser_SourceData.Fertiliser_Products_Data1(),FertiliserProducts[[#Headers],[Include or Exclude]], 0,4)</f>
        <v/>
      </c>
      <c r="X131" s="182" t="str" cm="1">
        <f t="array" ref="X131">Common_InputFunctions.Utility_DisplayArrayInTable(Fertiliser_SourceData.Fertiliser_Products_Data1(),FertiliserProducts[[#Headers],[Include or Exclude]], 0,4)</f>
        <v/>
      </c>
      <c r="Y131" s="182" t="str" cm="1">
        <f t="array" ref="Y131">Common_InputFunctions.Utility_DisplayArrayInTable(Fertiliser_SourceData.Fertiliser_Products_Data1(),FertiliserProducts[[#Headers],[Include or Exclude]], 0,4)</f>
        <v/>
      </c>
      <c r="Z131" s="182" t="str" cm="1">
        <f t="array" ref="Z131">Common_InputFunctions.Utility_DisplayArrayInTable(Fertiliser_SourceData.Fertiliser_Products_Data1(),FertiliserProducts[[#Headers],[Include or Exclude]], 0,4)</f>
        <v/>
      </c>
      <c r="AA131" s="182" t="str" cm="1">
        <f t="array" ref="AA131">Common_InputFunctions.Utility_DisplayArrayInTable(Fertiliser_SourceData.Fertiliser_Products_Data1(),FertiliserProducts[[#Headers],[Include or Exclude]], 0,4)</f>
        <v/>
      </c>
      <c r="AB131" s="182" t="str" cm="1">
        <f t="array" ref="AB131">Common_InputFunctions.Utility_DisplayArrayInTable(Fertiliser_SourceData.Fertiliser_Products_Data1(),FertiliserProducts[[#Headers],[Include or Exclude]], 0,4)</f>
        <v/>
      </c>
      <c r="AC131" s="182" t="str" cm="1">
        <f t="array" ref="AC131">Common_InputFunctions.Utility_DisplayArrayInTable(Fertiliser_SourceData.Fertiliser_Products_Data1(),FertiliserProducts[[#Headers],[Include or Exclude]], 0,4)</f>
        <v/>
      </c>
      <c r="AD131" s="182" t="str" cm="1">
        <f t="array" ref="AD131">Common_InputFunctions.Utility_DisplayArrayInTable(Fertiliser_SourceData.Fertiliser_Products_Data1(),FertiliserProducts[[#Headers],[Include or Exclude]], 0,4)</f>
        <v/>
      </c>
      <c r="AE131" s="182" t="str" cm="1">
        <f t="array" ref="AE131">Common_InputFunctions.Utility_DisplayArrayInTable(Fertiliser_SourceData.Fertiliser_Products_Data1(),FertiliserProducts[[#Headers],[Include or Exclude]], 0,4)</f>
        <v/>
      </c>
    </row>
    <row r="132" spans="4:31" ht="20.100000000000001" customHeight="1" x14ac:dyDescent="0.25">
      <c r="D132" s="182" t="str" cm="1">
        <f t="array" ref="D132">Common_InputFunctions.Utility_DisplayArrayInTable(Fertiliser_SourceData.Fertiliser_Products_Data1(),FertiliserProducts[[#Headers],[Include or Exclude]], -1)</f>
        <v/>
      </c>
      <c r="E132" s="182" t="str" cm="1">
        <f t="array" ref="E132">Common_InputFunctions.Utility_DisplayArrayInTable(Fertiliser_SourceData.Fertiliser_Products_Data1(),FertiliserProducts[[#Headers],[Include or Exclude]], 0)</f>
        <v/>
      </c>
      <c r="F132" s="182" t="str" cm="1">
        <f t="array" ref="F132">Common_InputFunctions.Utility_DisplayArrayInTable(Fertiliser_SourceData.Fertiliser_Products_Data1(),FertiliserProducts[[#Headers],[Include or Exclude]], 0)</f>
        <v/>
      </c>
      <c r="G132" s="182" t="str" cm="1">
        <f t="array" ref="G132">Common_InputFunctions.Utility_DisplayArrayInTable(Fertiliser_SourceData.Fertiliser_Products_Data1(),FertiliserProducts[[#Headers],[Include or Exclude]], 0)</f>
        <v/>
      </c>
      <c r="H132" s="182" t="str" cm="1">
        <f t="array" ref="H132">Common_InputFunctions.Utility_DisplayArrayInTable(Fertiliser_SourceData.Fertiliser_Products_Data1(),FertiliserProducts[[#Headers],[Include or Exclude]], 0,4)</f>
        <v/>
      </c>
      <c r="I132" s="182" t="str" cm="1">
        <f t="array" ref="I132">Common_InputFunctions.Utility_DisplayArrayInTable(Fertiliser_SourceData.Fertiliser_Products_Data1(),FertiliserProducts[[#Headers],[Include or Exclude]], 0,4)</f>
        <v/>
      </c>
      <c r="J132" s="182" t="str" cm="1">
        <f t="array" ref="J132">Common_InputFunctions.Utility_DisplayArrayInTable(Fertiliser_SourceData.Fertiliser_Products_Data1(),FertiliserProducts[[#Headers],[Include or Exclude]], 0,4)</f>
        <v/>
      </c>
      <c r="K132" s="182" t="str" cm="1">
        <f t="array" ref="K132">Common_InputFunctions.Utility_DisplayArrayInTable(Fertiliser_SourceData.Fertiliser_Products_Data1(),FertiliserProducts[[#Headers],[Include or Exclude]], 0,4)</f>
        <v/>
      </c>
      <c r="L132" s="182" t="str" cm="1">
        <f t="array" ref="L132">Common_InputFunctions.Utility_DisplayArrayInTable(Fertiliser_SourceData.Fertiliser_Products_Data1(),FertiliserProducts[[#Headers],[Include or Exclude]], 0,4)</f>
        <v/>
      </c>
      <c r="M132" s="182" t="str" cm="1">
        <f t="array" ref="M132">Common_InputFunctions.Utility_DisplayArrayInTable(Fertiliser_SourceData.Fertiliser_Products_Data1(),FertiliserProducts[[#Headers],[Include or Exclude]], 0,4)</f>
        <v/>
      </c>
      <c r="N132" s="182" t="str" cm="1">
        <f t="array" ref="N132">Common_InputFunctions.Utility_DisplayArrayInTable(Fertiliser_SourceData.Fertiliser_Products_Data1(),FertiliserProducts[[#Headers],[Include or Exclude]], 0,4)</f>
        <v/>
      </c>
      <c r="O132" s="182" t="str" cm="1">
        <f t="array" ref="O132">Common_InputFunctions.Utility_DisplayArrayInTable(Fertiliser_SourceData.Fertiliser_Products_Data1(),FertiliserProducts[[#Headers],[Include or Exclude]], 0,4)</f>
        <v/>
      </c>
      <c r="P132" s="182" t="str" cm="1">
        <f t="array" ref="P132">Common_InputFunctions.Utility_DisplayArrayInTable(Fertiliser_SourceData.Fertiliser_Products_Data1(),FertiliserProducts[[#Headers],[Include or Exclude]], 0,4)</f>
        <v/>
      </c>
      <c r="Q132" s="182" t="str" cm="1">
        <f t="array" ref="Q132">Common_InputFunctions.Utility_DisplayArrayInTable(Fertiliser_SourceData.Fertiliser_Products_Data1(),FertiliserProducts[[#Headers],[Include or Exclude]], 0,4)</f>
        <v/>
      </c>
      <c r="R132" s="182" t="str" cm="1">
        <f t="array" ref="R132">Common_InputFunctions.Utility_DisplayArrayInTable(Fertiliser_SourceData.Fertiliser_Products_Data1(),FertiliserProducts[[#Headers],[Include or Exclude]], 0,4)</f>
        <v/>
      </c>
      <c r="S132" s="182" t="str" cm="1">
        <f t="array" ref="S132">Common_InputFunctions.Utility_DisplayArrayInTable(Fertiliser_SourceData.Fertiliser_Products_Data1(),FertiliserProducts[[#Headers],[Include or Exclude]], 0,4)</f>
        <v/>
      </c>
      <c r="T132" s="182" t="str" cm="1">
        <f t="array" ref="T132">Common_InputFunctions.Utility_DisplayArrayInTable(Fertiliser_SourceData.Fertiliser_Products_Data1(),FertiliserProducts[[#Headers],[Include or Exclude]], 0,4)</f>
        <v/>
      </c>
      <c r="U132" s="182" t="str" cm="1">
        <f t="array" ref="U132">Common_InputFunctions.Utility_DisplayArrayInTable(Fertiliser_SourceData.Fertiliser_Products_Data1(),FertiliserProducts[[#Headers],[Include or Exclude]], 0,4)</f>
        <v/>
      </c>
      <c r="V132" s="182" t="str" cm="1">
        <f t="array" ref="V132">Common_InputFunctions.Utility_DisplayArrayInTable(Fertiliser_SourceData.Fertiliser_Products_Data1(),FertiliserProducts[[#Headers],[Include or Exclude]], 0,4)</f>
        <v/>
      </c>
      <c r="W132" s="182" t="str" cm="1">
        <f t="array" ref="W132">Common_InputFunctions.Utility_DisplayArrayInTable(Fertiliser_SourceData.Fertiliser_Products_Data1(),FertiliserProducts[[#Headers],[Include or Exclude]], 0,4)</f>
        <v/>
      </c>
      <c r="X132" s="182" t="str" cm="1">
        <f t="array" ref="X132">Common_InputFunctions.Utility_DisplayArrayInTable(Fertiliser_SourceData.Fertiliser_Products_Data1(),FertiliserProducts[[#Headers],[Include or Exclude]], 0,4)</f>
        <v/>
      </c>
      <c r="Y132" s="182" t="str" cm="1">
        <f t="array" ref="Y132">Common_InputFunctions.Utility_DisplayArrayInTable(Fertiliser_SourceData.Fertiliser_Products_Data1(),FertiliserProducts[[#Headers],[Include or Exclude]], 0,4)</f>
        <v/>
      </c>
      <c r="Z132" s="182" t="str" cm="1">
        <f t="array" ref="Z132">Common_InputFunctions.Utility_DisplayArrayInTable(Fertiliser_SourceData.Fertiliser_Products_Data1(),FertiliserProducts[[#Headers],[Include or Exclude]], 0,4)</f>
        <v/>
      </c>
      <c r="AA132" s="182" t="str" cm="1">
        <f t="array" ref="AA132">Common_InputFunctions.Utility_DisplayArrayInTable(Fertiliser_SourceData.Fertiliser_Products_Data1(),FertiliserProducts[[#Headers],[Include or Exclude]], 0,4)</f>
        <v/>
      </c>
      <c r="AB132" s="182" t="str" cm="1">
        <f t="array" ref="AB132">Common_InputFunctions.Utility_DisplayArrayInTable(Fertiliser_SourceData.Fertiliser_Products_Data1(),FertiliserProducts[[#Headers],[Include or Exclude]], 0,4)</f>
        <v/>
      </c>
      <c r="AC132" s="182" t="str" cm="1">
        <f t="array" ref="AC132">Common_InputFunctions.Utility_DisplayArrayInTable(Fertiliser_SourceData.Fertiliser_Products_Data1(),FertiliserProducts[[#Headers],[Include or Exclude]], 0,4)</f>
        <v/>
      </c>
      <c r="AD132" s="182" t="str" cm="1">
        <f t="array" ref="AD132">Common_InputFunctions.Utility_DisplayArrayInTable(Fertiliser_SourceData.Fertiliser_Products_Data1(),FertiliserProducts[[#Headers],[Include or Exclude]], 0,4)</f>
        <v/>
      </c>
      <c r="AE132" s="182" t="str" cm="1">
        <f t="array" ref="AE132">Common_InputFunctions.Utility_DisplayArrayInTable(Fertiliser_SourceData.Fertiliser_Products_Data1(),FertiliserProducts[[#Headers],[Include or Exclude]], 0,4)</f>
        <v/>
      </c>
    </row>
    <row r="133" spans="4:31" ht="20.100000000000001" customHeight="1" x14ac:dyDescent="0.25">
      <c r="D133" s="182" t="str" cm="1">
        <f t="array" ref="D133">Common_InputFunctions.Utility_DisplayArrayInTable(Fertiliser_SourceData.Fertiliser_Products_Data1(),FertiliserProducts[[#Headers],[Include or Exclude]], -1)</f>
        <v/>
      </c>
      <c r="E133" s="182" t="str" cm="1">
        <f t="array" ref="E133">Common_InputFunctions.Utility_DisplayArrayInTable(Fertiliser_SourceData.Fertiliser_Products_Data1(),FertiliserProducts[[#Headers],[Include or Exclude]], 0)</f>
        <v/>
      </c>
      <c r="F133" s="182" t="str" cm="1">
        <f t="array" ref="F133">Common_InputFunctions.Utility_DisplayArrayInTable(Fertiliser_SourceData.Fertiliser_Products_Data1(),FertiliserProducts[[#Headers],[Include or Exclude]], 0)</f>
        <v/>
      </c>
      <c r="G133" s="182" t="str" cm="1">
        <f t="array" ref="G133">Common_InputFunctions.Utility_DisplayArrayInTable(Fertiliser_SourceData.Fertiliser_Products_Data1(),FertiliserProducts[[#Headers],[Include or Exclude]], 0)</f>
        <v/>
      </c>
      <c r="H133" s="182" t="str" cm="1">
        <f t="array" ref="H133">Common_InputFunctions.Utility_DisplayArrayInTable(Fertiliser_SourceData.Fertiliser_Products_Data1(),FertiliserProducts[[#Headers],[Include or Exclude]], 0,4)</f>
        <v/>
      </c>
      <c r="I133" s="182" t="str" cm="1">
        <f t="array" ref="I133">Common_InputFunctions.Utility_DisplayArrayInTable(Fertiliser_SourceData.Fertiliser_Products_Data1(),FertiliserProducts[[#Headers],[Include or Exclude]], 0,4)</f>
        <v/>
      </c>
      <c r="J133" s="182" t="str" cm="1">
        <f t="array" ref="J133">Common_InputFunctions.Utility_DisplayArrayInTable(Fertiliser_SourceData.Fertiliser_Products_Data1(),FertiliserProducts[[#Headers],[Include or Exclude]], 0,4)</f>
        <v/>
      </c>
      <c r="K133" s="182" t="str" cm="1">
        <f t="array" ref="K133">Common_InputFunctions.Utility_DisplayArrayInTable(Fertiliser_SourceData.Fertiliser_Products_Data1(),FertiliserProducts[[#Headers],[Include or Exclude]], 0,4)</f>
        <v/>
      </c>
      <c r="L133" s="182" t="str" cm="1">
        <f t="array" ref="L133">Common_InputFunctions.Utility_DisplayArrayInTable(Fertiliser_SourceData.Fertiliser_Products_Data1(),FertiliserProducts[[#Headers],[Include or Exclude]], 0,4)</f>
        <v/>
      </c>
      <c r="M133" s="182" t="str" cm="1">
        <f t="array" ref="M133">Common_InputFunctions.Utility_DisplayArrayInTable(Fertiliser_SourceData.Fertiliser_Products_Data1(),FertiliserProducts[[#Headers],[Include or Exclude]], 0,4)</f>
        <v/>
      </c>
      <c r="N133" s="182" t="str" cm="1">
        <f t="array" ref="N133">Common_InputFunctions.Utility_DisplayArrayInTable(Fertiliser_SourceData.Fertiliser_Products_Data1(),FertiliserProducts[[#Headers],[Include or Exclude]], 0,4)</f>
        <v/>
      </c>
      <c r="O133" s="182" t="str" cm="1">
        <f t="array" ref="O133">Common_InputFunctions.Utility_DisplayArrayInTable(Fertiliser_SourceData.Fertiliser_Products_Data1(),FertiliserProducts[[#Headers],[Include or Exclude]], 0,4)</f>
        <v/>
      </c>
      <c r="P133" s="182" t="str" cm="1">
        <f t="array" ref="P133">Common_InputFunctions.Utility_DisplayArrayInTable(Fertiliser_SourceData.Fertiliser_Products_Data1(),FertiliserProducts[[#Headers],[Include or Exclude]], 0,4)</f>
        <v/>
      </c>
      <c r="Q133" s="182" t="str" cm="1">
        <f t="array" ref="Q133">Common_InputFunctions.Utility_DisplayArrayInTable(Fertiliser_SourceData.Fertiliser_Products_Data1(),FertiliserProducts[[#Headers],[Include or Exclude]], 0,4)</f>
        <v/>
      </c>
      <c r="R133" s="182" t="str" cm="1">
        <f t="array" ref="R133">Common_InputFunctions.Utility_DisplayArrayInTable(Fertiliser_SourceData.Fertiliser_Products_Data1(),FertiliserProducts[[#Headers],[Include or Exclude]], 0,4)</f>
        <v/>
      </c>
      <c r="S133" s="182" t="str" cm="1">
        <f t="array" ref="S133">Common_InputFunctions.Utility_DisplayArrayInTable(Fertiliser_SourceData.Fertiliser_Products_Data1(),FertiliserProducts[[#Headers],[Include or Exclude]], 0,4)</f>
        <v/>
      </c>
      <c r="T133" s="182" t="str" cm="1">
        <f t="array" ref="T133">Common_InputFunctions.Utility_DisplayArrayInTable(Fertiliser_SourceData.Fertiliser_Products_Data1(),FertiliserProducts[[#Headers],[Include or Exclude]], 0,4)</f>
        <v/>
      </c>
      <c r="U133" s="182" t="str" cm="1">
        <f t="array" ref="U133">Common_InputFunctions.Utility_DisplayArrayInTable(Fertiliser_SourceData.Fertiliser_Products_Data1(),FertiliserProducts[[#Headers],[Include or Exclude]], 0,4)</f>
        <v/>
      </c>
      <c r="V133" s="182" t="str" cm="1">
        <f t="array" ref="V133">Common_InputFunctions.Utility_DisplayArrayInTable(Fertiliser_SourceData.Fertiliser_Products_Data1(),FertiliserProducts[[#Headers],[Include or Exclude]], 0,4)</f>
        <v/>
      </c>
      <c r="W133" s="182" t="str" cm="1">
        <f t="array" ref="W133">Common_InputFunctions.Utility_DisplayArrayInTable(Fertiliser_SourceData.Fertiliser_Products_Data1(),FertiliserProducts[[#Headers],[Include or Exclude]], 0,4)</f>
        <v/>
      </c>
      <c r="X133" s="182" t="str" cm="1">
        <f t="array" ref="X133">Common_InputFunctions.Utility_DisplayArrayInTable(Fertiliser_SourceData.Fertiliser_Products_Data1(),FertiliserProducts[[#Headers],[Include or Exclude]], 0,4)</f>
        <v/>
      </c>
      <c r="Y133" s="182" t="str" cm="1">
        <f t="array" ref="Y133">Common_InputFunctions.Utility_DisplayArrayInTable(Fertiliser_SourceData.Fertiliser_Products_Data1(),FertiliserProducts[[#Headers],[Include or Exclude]], 0,4)</f>
        <v/>
      </c>
      <c r="Z133" s="182" t="str" cm="1">
        <f t="array" ref="Z133">Common_InputFunctions.Utility_DisplayArrayInTable(Fertiliser_SourceData.Fertiliser_Products_Data1(),FertiliserProducts[[#Headers],[Include or Exclude]], 0,4)</f>
        <v/>
      </c>
      <c r="AA133" s="182" t="str" cm="1">
        <f t="array" ref="AA133">Common_InputFunctions.Utility_DisplayArrayInTable(Fertiliser_SourceData.Fertiliser_Products_Data1(),FertiliserProducts[[#Headers],[Include or Exclude]], 0,4)</f>
        <v/>
      </c>
      <c r="AB133" s="182" t="str" cm="1">
        <f t="array" ref="AB133">Common_InputFunctions.Utility_DisplayArrayInTable(Fertiliser_SourceData.Fertiliser_Products_Data1(),FertiliserProducts[[#Headers],[Include or Exclude]], 0,4)</f>
        <v/>
      </c>
      <c r="AC133" s="182" t="str" cm="1">
        <f t="array" ref="AC133">Common_InputFunctions.Utility_DisplayArrayInTable(Fertiliser_SourceData.Fertiliser_Products_Data1(),FertiliserProducts[[#Headers],[Include or Exclude]], 0,4)</f>
        <v/>
      </c>
      <c r="AD133" s="182" t="str" cm="1">
        <f t="array" ref="AD133">Common_InputFunctions.Utility_DisplayArrayInTable(Fertiliser_SourceData.Fertiliser_Products_Data1(),FertiliserProducts[[#Headers],[Include or Exclude]], 0,4)</f>
        <v/>
      </c>
      <c r="AE133" s="182" t="str" cm="1">
        <f t="array" ref="AE133">Common_InputFunctions.Utility_DisplayArrayInTable(Fertiliser_SourceData.Fertiliser_Products_Data1(),FertiliserProducts[[#Headers],[Include or Exclude]], 0,4)</f>
        <v/>
      </c>
    </row>
    <row r="134" spans="4:31" ht="20.100000000000001" customHeight="1" x14ac:dyDescent="0.25">
      <c r="D134" s="182" t="str" cm="1">
        <f t="array" ref="D134">Common_InputFunctions.Utility_DisplayArrayInTable(Fertiliser_SourceData.Fertiliser_Products_Data1(),FertiliserProducts[[#Headers],[Include or Exclude]], -1)</f>
        <v/>
      </c>
      <c r="E134" s="182" t="str" cm="1">
        <f t="array" ref="E134">Common_InputFunctions.Utility_DisplayArrayInTable(Fertiliser_SourceData.Fertiliser_Products_Data1(),FertiliserProducts[[#Headers],[Include or Exclude]], 0)</f>
        <v/>
      </c>
      <c r="F134" s="182" t="str" cm="1">
        <f t="array" ref="F134">Common_InputFunctions.Utility_DisplayArrayInTable(Fertiliser_SourceData.Fertiliser_Products_Data1(),FertiliserProducts[[#Headers],[Include or Exclude]], 0)</f>
        <v/>
      </c>
      <c r="G134" s="182" t="str" cm="1">
        <f t="array" ref="G134">Common_InputFunctions.Utility_DisplayArrayInTable(Fertiliser_SourceData.Fertiliser_Products_Data1(),FertiliserProducts[[#Headers],[Include or Exclude]], 0)</f>
        <v/>
      </c>
      <c r="H134" s="182" t="str" cm="1">
        <f t="array" ref="H134">Common_InputFunctions.Utility_DisplayArrayInTable(Fertiliser_SourceData.Fertiliser_Products_Data1(),FertiliserProducts[[#Headers],[Include or Exclude]], 0,4)</f>
        <v/>
      </c>
      <c r="I134" s="182" t="str" cm="1">
        <f t="array" ref="I134">Common_InputFunctions.Utility_DisplayArrayInTable(Fertiliser_SourceData.Fertiliser_Products_Data1(),FertiliserProducts[[#Headers],[Include or Exclude]], 0,4)</f>
        <v/>
      </c>
      <c r="J134" s="182" t="str" cm="1">
        <f t="array" ref="J134">Common_InputFunctions.Utility_DisplayArrayInTable(Fertiliser_SourceData.Fertiliser_Products_Data1(),FertiliserProducts[[#Headers],[Include or Exclude]], 0,4)</f>
        <v/>
      </c>
      <c r="K134" s="182" t="str" cm="1">
        <f t="array" ref="K134">Common_InputFunctions.Utility_DisplayArrayInTable(Fertiliser_SourceData.Fertiliser_Products_Data1(),FertiliserProducts[[#Headers],[Include or Exclude]], 0,4)</f>
        <v/>
      </c>
      <c r="L134" s="182" t="str" cm="1">
        <f t="array" ref="L134">Common_InputFunctions.Utility_DisplayArrayInTable(Fertiliser_SourceData.Fertiliser_Products_Data1(),FertiliserProducts[[#Headers],[Include or Exclude]], 0,4)</f>
        <v/>
      </c>
      <c r="M134" s="182" t="str" cm="1">
        <f t="array" ref="M134">Common_InputFunctions.Utility_DisplayArrayInTable(Fertiliser_SourceData.Fertiliser_Products_Data1(),FertiliserProducts[[#Headers],[Include or Exclude]], 0,4)</f>
        <v/>
      </c>
      <c r="N134" s="182" t="str" cm="1">
        <f t="array" ref="N134">Common_InputFunctions.Utility_DisplayArrayInTable(Fertiliser_SourceData.Fertiliser_Products_Data1(),FertiliserProducts[[#Headers],[Include or Exclude]], 0,4)</f>
        <v/>
      </c>
      <c r="O134" s="182" t="str" cm="1">
        <f t="array" ref="O134">Common_InputFunctions.Utility_DisplayArrayInTable(Fertiliser_SourceData.Fertiliser_Products_Data1(),FertiliserProducts[[#Headers],[Include or Exclude]], 0,4)</f>
        <v/>
      </c>
      <c r="P134" s="182" t="str" cm="1">
        <f t="array" ref="P134">Common_InputFunctions.Utility_DisplayArrayInTable(Fertiliser_SourceData.Fertiliser_Products_Data1(),FertiliserProducts[[#Headers],[Include or Exclude]], 0,4)</f>
        <v/>
      </c>
      <c r="Q134" s="182" t="str" cm="1">
        <f t="array" ref="Q134">Common_InputFunctions.Utility_DisplayArrayInTable(Fertiliser_SourceData.Fertiliser_Products_Data1(),FertiliserProducts[[#Headers],[Include or Exclude]], 0,4)</f>
        <v/>
      </c>
      <c r="R134" s="182" t="str" cm="1">
        <f t="array" ref="R134">Common_InputFunctions.Utility_DisplayArrayInTable(Fertiliser_SourceData.Fertiliser_Products_Data1(),FertiliserProducts[[#Headers],[Include or Exclude]], 0,4)</f>
        <v/>
      </c>
      <c r="S134" s="182" t="str" cm="1">
        <f t="array" ref="S134">Common_InputFunctions.Utility_DisplayArrayInTable(Fertiliser_SourceData.Fertiliser_Products_Data1(),FertiliserProducts[[#Headers],[Include or Exclude]], 0,4)</f>
        <v/>
      </c>
      <c r="T134" s="182" t="str" cm="1">
        <f t="array" ref="T134">Common_InputFunctions.Utility_DisplayArrayInTable(Fertiliser_SourceData.Fertiliser_Products_Data1(),FertiliserProducts[[#Headers],[Include or Exclude]], 0,4)</f>
        <v/>
      </c>
      <c r="U134" s="182" t="str" cm="1">
        <f t="array" ref="U134">Common_InputFunctions.Utility_DisplayArrayInTable(Fertiliser_SourceData.Fertiliser_Products_Data1(),FertiliserProducts[[#Headers],[Include or Exclude]], 0,4)</f>
        <v/>
      </c>
      <c r="V134" s="182" t="str" cm="1">
        <f t="array" ref="V134">Common_InputFunctions.Utility_DisplayArrayInTable(Fertiliser_SourceData.Fertiliser_Products_Data1(),FertiliserProducts[[#Headers],[Include or Exclude]], 0,4)</f>
        <v/>
      </c>
      <c r="W134" s="182" t="str" cm="1">
        <f t="array" ref="W134">Common_InputFunctions.Utility_DisplayArrayInTable(Fertiliser_SourceData.Fertiliser_Products_Data1(),FertiliserProducts[[#Headers],[Include or Exclude]], 0,4)</f>
        <v/>
      </c>
      <c r="X134" s="182" t="str" cm="1">
        <f t="array" ref="X134">Common_InputFunctions.Utility_DisplayArrayInTable(Fertiliser_SourceData.Fertiliser_Products_Data1(),FertiliserProducts[[#Headers],[Include or Exclude]], 0,4)</f>
        <v/>
      </c>
      <c r="Y134" s="182" t="str" cm="1">
        <f t="array" ref="Y134">Common_InputFunctions.Utility_DisplayArrayInTable(Fertiliser_SourceData.Fertiliser_Products_Data1(),FertiliserProducts[[#Headers],[Include or Exclude]], 0,4)</f>
        <v/>
      </c>
      <c r="Z134" s="182" t="str" cm="1">
        <f t="array" ref="Z134">Common_InputFunctions.Utility_DisplayArrayInTable(Fertiliser_SourceData.Fertiliser_Products_Data1(),FertiliserProducts[[#Headers],[Include or Exclude]], 0,4)</f>
        <v/>
      </c>
      <c r="AA134" s="182" t="str" cm="1">
        <f t="array" ref="AA134">Common_InputFunctions.Utility_DisplayArrayInTable(Fertiliser_SourceData.Fertiliser_Products_Data1(),FertiliserProducts[[#Headers],[Include or Exclude]], 0,4)</f>
        <v/>
      </c>
      <c r="AB134" s="182" t="str" cm="1">
        <f t="array" ref="AB134">Common_InputFunctions.Utility_DisplayArrayInTable(Fertiliser_SourceData.Fertiliser_Products_Data1(),FertiliserProducts[[#Headers],[Include or Exclude]], 0,4)</f>
        <v/>
      </c>
      <c r="AC134" s="182" t="str" cm="1">
        <f t="array" ref="AC134">Common_InputFunctions.Utility_DisplayArrayInTable(Fertiliser_SourceData.Fertiliser_Products_Data1(),FertiliserProducts[[#Headers],[Include or Exclude]], 0,4)</f>
        <v/>
      </c>
      <c r="AD134" s="182" t="str" cm="1">
        <f t="array" ref="AD134">Common_InputFunctions.Utility_DisplayArrayInTable(Fertiliser_SourceData.Fertiliser_Products_Data1(),FertiliserProducts[[#Headers],[Include or Exclude]], 0,4)</f>
        <v/>
      </c>
      <c r="AE134" s="182" t="str" cm="1">
        <f t="array" ref="AE134">Common_InputFunctions.Utility_DisplayArrayInTable(Fertiliser_SourceData.Fertiliser_Products_Data1(),FertiliserProducts[[#Headers],[Include or Exclude]], 0,4)</f>
        <v/>
      </c>
    </row>
    <row r="135" spans="4:31" ht="20.100000000000001" customHeight="1" x14ac:dyDescent="0.25">
      <c r="D135" s="182" t="str" cm="1">
        <f t="array" ref="D135">Common_InputFunctions.Utility_DisplayArrayInTable(Fertiliser_SourceData.Fertiliser_Products_Data1(),FertiliserProducts[[#Headers],[Include or Exclude]], -1)</f>
        <v/>
      </c>
      <c r="E135" s="182" t="str" cm="1">
        <f t="array" ref="E135">Common_InputFunctions.Utility_DisplayArrayInTable(Fertiliser_SourceData.Fertiliser_Products_Data1(),FertiliserProducts[[#Headers],[Include or Exclude]], 0)</f>
        <v/>
      </c>
      <c r="F135" s="182" t="str" cm="1">
        <f t="array" ref="F135">Common_InputFunctions.Utility_DisplayArrayInTable(Fertiliser_SourceData.Fertiliser_Products_Data1(),FertiliserProducts[[#Headers],[Include or Exclude]], 0)</f>
        <v/>
      </c>
      <c r="G135" s="182" t="str" cm="1">
        <f t="array" ref="G135">Common_InputFunctions.Utility_DisplayArrayInTable(Fertiliser_SourceData.Fertiliser_Products_Data1(),FertiliserProducts[[#Headers],[Include or Exclude]], 0)</f>
        <v/>
      </c>
      <c r="H135" s="182" t="str" cm="1">
        <f t="array" ref="H135">Common_InputFunctions.Utility_DisplayArrayInTable(Fertiliser_SourceData.Fertiliser_Products_Data1(),FertiliserProducts[[#Headers],[Include or Exclude]], 0,4)</f>
        <v/>
      </c>
      <c r="I135" s="182" t="str" cm="1">
        <f t="array" ref="I135">Common_InputFunctions.Utility_DisplayArrayInTable(Fertiliser_SourceData.Fertiliser_Products_Data1(),FertiliserProducts[[#Headers],[Include or Exclude]], 0,4)</f>
        <v/>
      </c>
      <c r="J135" s="182" t="str" cm="1">
        <f t="array" ref="J135">Common_InputFunctions.Utility_DisplayArrayInTable(Fertiliser_SourceData.Fertiliser_Products_Data1(),FertiliserProducts[[#Headers],[Include or Exclude]], 0,4)</f>
        <v/>
      </c>
      <c r="K135" s="182" t="str" cm="1">
        <f t="array" ref="K135">Common_InputFunctions.Utility_DisplayArrayInTable(Fertiliser_SourceData.Fertiliser_Products_Data1(),FertiliserProducts[[#Headers],[Include or Exclude]], 0,4)</f>
        <v/>
      </c>
      <c r="L135" s="182" t="str" cm="1">
        <f t="array" ref="L135">Common_InputFunctions.Utility_DisplayArrayInTable(Fertiliser_SourceData.Fertiliser_Products_Data1(),FertiliserProducts[[#Headers],[Include or Exclude]], 0,4)</f>
        <v/>
      </c>
      <c r="M135" s="182" t="str" cm="1">
        <f t="array" ref="M135">Common_InputFunctions.Utility_DisplayArrayInTable(Fertiliser_SourceData.Fertiliser_Products_Data1(),FertiliserProducts[[#Headers],[Include or Exclude]], 0,4)</f>
        <v/>
      </c>
      <c r="N135" s="182" t="str" cm="1">
        <f t="array" ref="N135">Common_InputFunctions.Utility_DisplayArrayInTable(Fertiliser_SourceData.Fertiliser_Products_Data1(),FertiliserProducts[[#Headers],[Include or Exclude]], 0,4)</f>
        <v/>
      </c>
      <c r="O135" s="182" t="str" cm="1">
        <f t="array" ref="O135">Common_InputFunctions.Utility_DisplayArrayInTable(Fertiliser_SourceData.Fertiliser_Products_Data1(),FertiliserProducts[[#Headers],[Include or Exclude]], 0,4)</f>
        <v/>
      </c>
      <c r="P135" s="182" t="str" cm="1">
        <f t="array" ref="P135">Common_InputFunctions.Utility_DisplayArrayInTable(Fertiliser_SourceData.Fertiliser_Products_Data1(),FertiliserProducts[[#Headers],[Include or Exclude]], 0,4)</f>
        <v/>
      </c>
      <c r="Q135" s="182" t="str" cm="1">
        <f t="array" ref="Q135">Common_InputFunctions.Utility_DisplayArrayInTable(Fertiliser_SourceData.Fertiliser_Products_Data1(),FertiliserProducts[[#Headers],[Include or Exclude]], 0,4)</f>
        <v/>
      </c>
      <c r="R135" s="182" t="str" cm="1">
        <f t="array" ref="R135">Common_InputFunctions.Utility_DisplayArrayInTable(Fertiliser_SourceData.Fertiliser_Products_Data1(),FertiliserProducts[[#Headers],[Include or Exclude]], 0,4)</f>
        <v/>
      </c>
      <c r="S135" s="182" t="str" cm="1">
        <f t="array" ref="S135">Common_InputFunctions.Utility_DisplayArrayInTable(Fertiliser_SourceData.Fertiliser_Products_Data1(),FertiliserProducts[[#Headers],[Include or Exclude]], 0,4)</f>
        <v/>
      </c>
      <c r="T135" s="182" t="str" cm="1">
        <f t="array" ref="T135">Common_InputFunctions.Utility_DisplayArrayInTable(Fertiliser_SourceData.Fertiliser_Products_Data1(),FertiliserProducts[[#Headers],[Include or Exclude]], 0,4)</f>
        <v/>
      </c>
      <c r="U135" s="182" t="str" cm="1">
        <f t="array" ref="U135">Common_InputFunctions.Utility_DisplayArrayInTable(Fertiliser_SourceData.Fertiliser_Products_Data1(),FertiliserProducts[[#Headers],[Include or Exclude]], 0,4)</f>
        <v/>
      </c>
      <c r="V135" s="182" t="str" cm="1">
        <f t="array" ref="V135">Common_InputFunctions.Utility_DisplayArrayInTable(Fertiliser_SourceData.Fertiliser_Products_Data1(),FertiliserProducts[[#Headers],[Include or Exclude]], 0,4)</f>
        <v/>
      </c>
      <c r="W135" s="182" t="str" cm="1">
        <f t="array" ref="W135">Common_InputFunctions.Utility_DisplayArrayInTable(Fertiliser_SourceData.Fertiliser_Products_Data1(),FertiliserProducts[[#Headers],[Include or Exclude]], 0,4)</f>
        <v/>
      </c>
      <c r="X135" s="182" t="str" cm="1">
        <f t="array" ref="X135">Common_InputFunctions.Utility_DisplayArrayInTable(Fertiliser_SourceData.Fertiliser_Products_Data1(),FertiliserProducts[[#Headers],[Include or Exclude]], 0,4)</f>
        <v/>
      </c>
      <c r="Y135" s="182" t="str" cm="1">
        <f t="array" ref="Y135">Common_InputFunctions.Utility_DisplayArrayInTable(Fertiliser_SourceData.Fertiliser_Products_Data1(),FertiliserProducts[[#Headers],[Include or Exclude]], 0,4)</f>
        <v/>
      </c>
      <c r="Z135" s="182" t="str" cm="1">
        <f t="array" ref="Z135">Common_InputFunctions.Utility_DisplayArrayInTable(Fertiliser_SourceData.Fertiliser_Products_Data1(),FertiliserProducts[[#Headers],[Include or Exclude]], 0,4)</f>
        <v/>
      </c>
      <c r="AA135" s="182" t="str" cm="1">
        <f t="array" ref="AA135">Common_InputFunctions.Utility_DisplayArrayInTable(Fertiliser_SourceData.Fertiliser_Products_Data1(),FertiliserProducts[[#Headers],[Include or Exclude]], 0,4)</f>
        <v/>
      </c>
      <c r="AB135" s="182" t="str" cm="1">
        <f t="array" ref="AB135">Common_InputFunctions.Utility_DisplayArrayInTable(Fertiliser_SourceData.Fertiliser_Products_Data1(),FertiliserProducts[[#Headers],[Include or Exclude]], 0,4)</f>
        <v/>
      </c>
      <c r="AC135" s="182" t="str" cm="1">
        <f t="array" ref="AC135">Common_InputFunctions.Utility_DisplayArrayInTable(Fertiliser_SourceData.Fertiliser_Products_Data1(),FertiliserProducts[[#Headers],[Include or Exclude]], 0,4)</f>
        <v/>
      </c>
      <c r="AD135" s="182" t="str" cm="1">
        <f t="array" ref="AD135">Common_InputFunctions.Utility_DisplayArrayInTable(Fertiliser_SourceData.Fertiliser_Products_Data1(),FertiliserProducts[[#Headers],[Include or Exclude]], 0,4)</f>
        <v/>
      </c>
      <c r="AE135" s="182" t="str" cm="1">
        <f t="array" ref="AE135">Common_InputFunctions.Utility_DisplayArrayInTable(Fertiliser_SourceData.Fertiliser_Products_Data1(),FertiliserProducts[[#Headers],[Include or Exclude]], 0,4)</f>
        <v/>
      </c>
    </row>
    <row r="136" spans="4:31" ht="20.100000000000001" customHeight="1" x14ac:dyDescent="0.25">
      <c r="D136" s="182" t="str" cm="1">
        <f t="array" ref="D136">Common_InputFunctions.Utility_DisplayArrayInTable(Fertiliser_SourceData.Fertiliser_Products_Data1(),FertiliserProducts[[#Headers],[Include or Exclude]], -1)</f>
        <v/>
      </c>
      <c r="E136" s="182" t="str" cm="1">
        <f t="array" ref="E136">Common_InputFunctions.Utility_DisplayArrayInTable(Fertiliser_SourceData.Fertiliser_Products_Data1(),FertiliserProducts[[#Headers],[Include or Exclude]], 0)</f>
        <v/>
      </c>
      <c r="F136" s="182" t="str" cm="1">
        <f t="array" ref="F136">Common_InputFunctions.Utility_DisplayArrayInTable(Fertiliser_SourceData.Fertiliser_Products_Data1(),FertiliserProducts[[#Headers],[Include or Exclude]], 0)</f>
        <v/>
      </c>
      <c r="G136" s="182" t="str" cm="1">
        <f t="array" ref="G136">Common_InputFunctions.Utility_DisplayArrayInTable(Fertiliser_SourceData.Fertiliser_Products_Data1(),FertiliserProducts[[#Headers],[Include or Exclude]], 0)</f>
        <v/>
      </c>
      <c r="H136" s="182" t="str" cm="1">
        <f t="array" ref="H136">Common_InputFunctions.Utility_DisplayArrayInTable(Fertiliser_SourceData.Fertiliser_Products_Data1(),FertiliserProducts[[#Headers],[Include or Exclude]], 0,4)</f>
        <v/>
      </c>
      <c r="I136" s="182" t="str" cm="1">
        <f t="array" ref="I136">Common_InputFunctions.Utility_DisplayArrayInTable(Fertiliser_SourceData.Fertiliser_Products_Data1(),FertiliserProducts[[#Headers],[Include or Exclude]], 0,4)</f>
        <v/>
      </c>
      <c r="J136" s="182" t="str" cm="1">
        <f t="array" ref="J136">Common_InputFunctions.Utility_DisplayArrayInTable(Fertiliser_SourceData.Fertiliser_Products_Data1(),FertiliserProducts[[#Headers],[Include or Exclude]], 0,4)</f>
        <v/>
      </c>
      <c r="K136" s="182" t="str" cm="1">
        <f t="array" ref="K136">Common_InputFunctions.Utility_DisplayArrayInTable(Fertiliser_SourceData.Fertiliser_Products_Data1(),FertiliserProducts[[#Headers],[Include or Exclude]], 0,4)</f>
        <v/>
      </c>
      <c r="L136" s="182" t="str" cm="1">
        <f t="array" ref="L136">Common_InputFunctions.Utility_DisplayArrayInTable(Fertiliser_SourceData.Fertiliser_Products_Data1(),FertiliserProducts[[#Headers],[Include or Exclude]], 0,4)</f>
        <v/>
      </c>
      <c r="M136" s="182" t="str" cm="1">
        <f t="array" ref="M136">Common_InputFunctions.Utility_DisplayArrayInTable(Fertiliser_SourceData.Fertiliser_Products_Data1(),FertiliserProducts[[#Headers],[Include or Exclude]], 0,4)</f>
        <v/>
      </c>
      <c r="N136" s="182" t="str" cm="1">
        <f t="array" ref="N136">Common_InputFunctions.Utility_DisplayArrayInTable(Fertiliser_SourceData.Fertiliser_Products_Data1(),FertiliserProducts[[#Headers],[Include or Exclude]], 0,4)</f>
        <v/>
      </c>
      <c r="O136" s="182" t="str" cm="1">
        <f t="array" ref="O136">Common_InputFunctions.Utility_DisplayArrayInTable(Fertiliser_SourceData.Fertiliser_Products_Data1(),FertiliserProducts[[#Headers],[Include or Exclude]], 0,4)</f>
        <v/>
      </c>
      <c r="P136" s="182" t="str" cm="1">
        <f t="array" ref="P136">Common_InputFunctions.Utility_DisplayArrayInTable(Fertiliser_SourceData.Fertiliser_Products_Data1(),FertiliserProducts[[#Headers],[Include or Exclude]], 0,4)</f>
        <v/>
      </c>
      <c r="Q136" s="182" t="str" cm="1">
        <f t="array" ref="Q136">Common_InputFunctions.Utility_DisplayArrayInTable(Fertiliser_SourceData.Fertiliser_Products_Data1(),FertiliserProducts[[#Headers],[Include or Exclude]], 0,4)</f>
        <v/>
      </c>
      <c r="R136" s="182" t="str" cm="1">
        <f t="array" ref="R136">Common_InputFunctions.Utility_DisplayArrayInTable(Fertiliser_SourceData.Fertiliser_Products_Data1(),FertiliserProducts[[#Headers],[Include or Exclude]], 0,4)</f>
        <v/>
      </c>
      <c r="S136" s="182" t="str" cm="1">
        <f t="array" ref="S136">Common_InputFunctions.Utility_DisplayArrayInTable(Fertiliser_SourceData.Fertiliser_Products_Data1(),FertiliserProducts[[#Headers],[Include or Exclude]], 0,4)</f>
        <v/>
      </c>
      <c r="T136" s="182" t="str" cm="1">
        <f t="array" ref="T136">Common_InputFunctions.Utility_DisplayArrayInTable(Fertiliser_SourceData.Fertiliser_Products_Data1(),FertiliserProducts[[#Headers],[Include or Exclude]], 0,4)</f>
        <v/>
      </c>
      <c r="U136" s="182" t="str" cm="1">
        <f t="array" ref="U136">Common_InputFunctions.Utility_DisplayArrayInTable(Fertiliser_SourceData.Fertiliser_Products_Data1(),FertiliserProducts[[#Headers],[Include or Exclude]], 0,4)</f>
        <v/>
      </c>
      <c r="V136" s="182" t="str" cm="1">
        <f t="array" ref="V136">Common_InputFunctions.Utility_DisplayArrayInTable(Fertiliser_SourceData.Fertiliser_Products_Data1(),FertiliserProducts[[#Headers],[Include or Exclude]], 0,4)</f>
        <v/>
      </c>
      <c r="W136" s="182" t="str" cm="1">
        <f t="array" ref="W136">Common_InputFunctions.Utility_DisplayArrayInTable(Fertiliser_SourceData.Fertiliser_Products_Data1(),FertiliserProducts[[#Headers],[Include or Exclude]], 0,4)</f>
        <v/>
      </c>
      <c r="X136" s="182" t="str" cm="1">
        <f t="array" ref="X136">Common_InputFunctions.Utility_DisplayArrayInTable(Fertiliser_SourceData.Fertiliser_Products_Data1(),FertiliserProducts[[#Headers],[Include or Exclude]], 0,4)</f>
        <v/>
      </c>
      <c r="Y136" s="182" t="str" cm="1">
        <f t="array" ref="Y136">Common_InputFunctions.Utility_DisplayArrayInTable(Fertiliser_SourceData.Fertiliser_Products_Data1(),FertiliserProducts[[#Headers],[Include or Exclude]], 0,4)</f>
        <v/>
      </c>
      <c r="Z136" s="182" t="str" cm="1">
        <f t="array" ref="Z136">Common_InputFunctions.Utility_DisplayArrayInTable(Fertiliser_SourceData.Fertiliser_Products_Data1(),FertiliserProducts[[#Headers],[Include or Exclude]], 0,4)</f>
        <v/>
      </c>
      <c r="AA136" s="182" t="str" cm="1">
        <f t="array" ref="AA136">Common_InputFunctions.Utility_DisplayArrayInTable(Fertiliser_SourceData.Fertiliser_Products_Data1(),FertiliserProducts[[#Headers],[Include or Exclude]], 0,4)</f>
        <v/>
      </c>
      <c r="AB136" s="182" t="str" cm="1">
        <f t="array" ref="AB136">Common_InputFunctions.Utility_DisplayArrayInTable(Fertiliser_SourceData.Fertiliser_Products_Data1(),FertiliserProducts[[#Headers],[Include or Exclude]], 0,4)</f>
        <v/>
      </c>
      <c r="AC136" s="182" t="str" cm="1">
        <f t="array" ref="AC136">Common_InputFunctions.Utility_DisplayArrayInTable(Fertiliser_SourceData.Fertiliser_Products_Data1(),FertiliserProducts[[#Headers],[Include or Exclude]], 0,4)</f>
        <v/>
      </c>
      <c r="AD136" s="182" t="str" cm="1">
        <f t="array" ref="AD136">Common_InputFunctions.Utility_DisplayArrayInTable(Fertiliser_SourceData.Fertiliser_Products_Data1(),FertiliserProducts[[#Headers],[Include or Exclude]], 0,4)</f>
        <v/>
      </c>
      <c r="AE136" s="182" t="str" cm="1">
        <f t="array" ref="AE136">Common_InputFunctions.Utility_DisplayArrayInTable(Fertiliser_SourceData.Fertiliser_Products_Data1(),FertiliserProducts[[#Headers],[Include or Exclude]], 0,4)</f>
        <v/>
      </c>
    </row>
    <row r="137" spans="4:31" ht="20.100000000000001" customHeight="1" x14ac:dyDescent="0.25">
      <c r="D137" s="182" t="str" cm="1">
        <f t="array" ref="D137">Common_InputFunctions.Utility_DisplayArrayInTable(Fertiliser_SourceData.Fertiliser_Products_Data1(),FertiliserProducts[[#Headers],[Include or Exclude]], -1)</f>
        <v/>
      </c>
      <c r="E137" s="182" t="str" cm="1">
        <f t="array" ref="E137">Common_InputFunctions.Utility_DisplayArrayInTable(Fertiliser_SourceData.Fertiliser_Products_Data1(),FertiliserProducts[[#Headers],[Include or Exclude]], 0)</f>
        <v/>
      </c>
      <c r="F137" s="182" t="str" cm="1">
        <f t="array" ref="F137">Common_InputFunctions.Utility_DisplayArrayInTable(Fertiliser_SourceData.Fertiliser_Products_Data1(),FertiliserProducts[[#Headers],[Include or Exclude]], 0)</f>
        <v/>
      </c>
      <c r="G137" s="182" t="str" cm="1">
        <f t="array" ref="G137">Common_InputFunctions.Utility_DisplayArrayInTable(Fertiliser_SourceData.Fertiliser_Products_Data1(),FertiliserProducts[[#Headers],[Include or Exclude]], 0)</f>
        <v/>
      </c>
      <c r="H137" s="182" t="str" cm="1">
        <f t="array" ref="H137">Common_InputFunctions.Utility_DisplayArrayInTable(Fertiliser_SourceData.Fertiliser_Products_Data1(),FertiliserProducts[[#Headers],[Include or Exclude]], 0,4)</f>
        <v/>
      </c>
      <c r="I137" s="182" t="str" cm="1">
        <f t="array" ref="I137">Common_InputFunctions.Utility_DisplayArrayInTable(Fertiliser_SourceData.Fertiliser_Products_Data1(),FertiliserProducts[[#Headers],[Include or Exclude]], 0,4)</f>
        <v/>
      </c>
      <c r="J137" s="182" t="str" cm="1">
        <f t="array" ref="J137">Common_InputFunctions.Utility_DisplayArrayInTable(Fertiliser_SourceData.Fertiliser_Products_Data1(),FertiliserProducts[[#Headers],[Include or Exclude]], 0,4)</f>
        <v/>
      </c>
      <c r="K137" s="182" t="str" cm="1">
        <f t="array" ref="K137">Common_InputFunctions.Utility_DisplayArrayInTable(Fertiliser_SourceData.Fertiliser_Products_Data1(),FertiliserProducts[[#Headers],[Include or Exclude]], 0,4)</f>
        <v/>
      </c>
      <c r="L137" s="182" t="str" cm="1">
        <f t="array" ref="L137">Common_InputFunctions.Utility_DisplayArrayInTable(Fertiliser_SourceData.Fertiliser_Products_Data1(),FertiliserProducts[[#Headers],[Include or Exclude]], 0,4)</f>
        <v/>
      </c>
      <c r="M137" s="182" t="str" cm="1">
        <f t="array" ref="M137">Common_InputFunctions.Utility_DisplayArrayInTable(Fertiliser_SourceData.Fertiliser_Products_Data1(),FertiliserProducts[[#Headers],[Include or Exclude]], 0,4)</f>
        <v/>
      </c>
      <c r="N137" s="182" t="str" cm="1">
        <f t="array" ref="N137">Common_InputFunctions.Utility_DisplayArrayInTable(Fertiliser_SourceData.Fertiliser_Products_Data1(),FertiliserProducts[[#Headers],[Include or Exclude]], 0,4)</f>
        <v/>
      </c>
      <c r="O137" s="182" t="str" cm="1">
        <f t="array" ref="O137">Common_InputFunctions.Utility_DisplayArrayInTable(Fertiliser_SourceData.Fertiliser_Products_Data1(),FertiliserProducts[[#Headers],[Include or Exclude]], 0,4)</f>
        <v/>
      </c>
      <c r="P137" s="182" t="str" cm="1">
        <f t="array" ref="P137">Common_InputFunctions.Utility_DisplayArrayInTable(Fertiliser_SourceData.Fertiliser_Products_Data1(),FertiliserProducts[[#Headers],[Include or Exclude]], 0,4)</f>
        <v/>
      </c>
      <c r="Q137" s="182" t="str" cm="1">
        <f t="array" ref="Q137">Common_InputFunctions.Utility_DisplayArrayInTable(Fertiliser_SourceData.Fertiliser_Products_Data1(),FertiliserProducts[[#Headers],[Include or Exclude]], 0,4)</f>
        <v/>
      </c>
      <c r="R137" s="182" t="str" cm="1">
        <f t="array" ref="R137">Common_InputFunctions.Utility_DisplayArrayInTable(Fertiliser_SourceData.Fertiliser_Products_Data1(),FertiliserProducts[[#Headers],[Include or Exclude]], 0,4)</f>
        <v/>
      </c>
      <c r="S137" s="182" t="str" cm="1">
        <f t="array" ref="S137">Common_InputFunctions.Utility_DisplayArrayInTable(Fertiliser_SourceData.Fertiliser_Products_Data1(),FertiliserProducts[[#Headers],[Include or Exclude]], 0,4)</f>
        <v/>
      </c>
      <c r="T137" s="182" t="str" cm="1">
        <f t="array" ref="T137">Common_InputFunctions.Utility_DisplayArrayInTable(Fertiliser_SourceData.Fertiliser_Products_Data1(),FertiliserProducts[[#Headers],[Include or Exclude]], 0,4)</f>
        <v/>
      </c>
      <c r="U137" s="182" t="str" cm="1">
        <f t="array" ref="U137">Common_InputFunctions.Utility_DisplayArrayInTable(Fertiliser_SourceData.Fertiliser_Products_Data1(),FertiliserProducts[[#Headers],[Include or Exclude]], 0,4)</f>
        <v/>
      </c>
      <c r="V137" s="182" t="str" cm="1">
        <f t="array" ref="V137">Common_InputFunctions.Utility_DisplayArrayInTable(Fertiliser_SourceData.Fertiliser_Products_Data1(),FertiliserProducts[[#Headers],[Include or Exclude]], 0,4)</f>
        <v/>
      </c>
      <c r="W137" s="182" t="str" cm="1">
        <f t="array" ref="W137">Common_InputFunctions.Utility_DisplayArrayInTable(Fertiliser_SourceData.Fertiliser_Products_Data1(),FertiliserProducts[[#Headers],[Include or Exclude]], 0,4)</f>
        <v/>
      </c>
      <c r="X137" s="182" t="str" cm="1">
        <f t="array" ref="X137">Common_InputFunctions.Utility_DisplayArrayInTable(Fertiliser_SourceData.Fertiliser_Products_Data1(),FertiliserProducts[[#Headers],[Include or Exclude]], 0,4)</f>
        <v/>
      </c>
      <c r="Y137" s="182" t="str" cm="1">
        <f t="array" ref="Y137">Common_InputFunctions.Utility_DisplayArrayInTable(Fertiliser_SourceData.Fertiliser_Products_Data1(),FertiliserProducts[[#Headers],[Include or Exclude]], 0,4)</f>
        <v/>
      </c>
      <c r="Z137" s="182" t="str" cm="1">
        <f t="array" ref="Z137">Common_InputFunctions.Utility_DisplayArrayInTable(Fertiliser_SourceData.Fertiliser_Products_Data1(),FertiliserProducts[[#Headers],[Include or Exclude]], 0,4)</f>
        <v/>
      </c>
      <c r="AA137" s="182" t="str" cm="1">
        <f t="array" ref="AA137">Common_InputFunctions.Utility_DisplayArrayInTable(Fertiliser_SourceData.Fertiliser_Products_Data1(),FertiliserProducts[[#Headers],[Include or Exclude]], 0,4)</f>
        <v/>
      </c>
      <c r="AB137" s="182" t="str" cm="1">
        <f t="array" ref="AB137">Common_InputFunctions.Utility_DisplayArrayInTable(Fertiliser_SourceData.Fertiliser_Products_Data1(),FertiliserProducts[[#Headers],[Include or Exclude]], 0,4)</f>
        <v/>
      </c>
      <c r="AC137" s="182" t="str" cm="1">
        <f t="array" ref="AC137">Common_InputFunctions.Utility_DisplayArrayInTable(Fertiliser_SourceData.Fertiliser_Products_Data1(),FertiliserProducts[[#Headers],[Include or Exclude]], 0,4)</f>
        <v/>
      </c>
      <c r="AD137" s="182" t="str" cm="1">
        <f t="array" ref="AD137">Common_InputFunctions.Utility_DisplayArrayInTable(Fertiliser_SourceData.Fertiliser_Products_Data1(),FertiliserProducts[[#Headers],[Include or Exclude]], 0,4)</f>
        <v/>
      </c>
      <c r="AE137" s="182" t="str" cm="1">
        <f t="array" ref="AE137">Common_InputFunctions.Utility_DisplayArrayInTable(Fertiliser_SourceData.Fertiliser_Products_Data1(),FertiliserProducts[[#Headers],[Include or Exclude]], 0,4)</f>
        <v/>
      </c>
    </row>
    <row r="138" spans="4:31" ht="20.100000000000001" customHeight="1" x14ac:dyDescent="0.25">
      <c r="D138" s="182" t="str" cm="1">
        <f t="array" ref="D138">Common_InputFunctions.Utility_DisplayArrayInTable(Fertiliser_SourceData.Fertiliser_Products_Data1(),FertiliserProducts[[#Headers],[Include or Exclude]], -1)</f>
        <v/>
      </c>
      <c r="E138" s="182" t="str" cm="1">
        <f t="array" ref="E138">Common_InputFunctions.Utility_DisplayArrayInTable(Fertiliser_SourceData.Fertiliser_Products_Data1(),FertiliserProducts[[#Headers],[Include or Exclude]], 0)</f>
        <v/>
      </c>
      <c r="F138" s="182" t="str" cm="1">
        <f t="array" ref="F138">Common_InputFunctions.Utility_DisplayArrayInTable(Fertiliser_SourceData.Fertiliser_Products_Data1(),FertiliserProducts[[#Headers],[Include or Exclude]], 0)</f>
        <v/>
      </c>
      <c r="G138" s="182" t="str" cm="1">
        <f t="array" ref="G138">Common_InputFunctions.Utility_DisplayArrayInTable(Fertiliser_SourceData.Fertiliser_Products_Data1(),FertiliserProducts[[#Headers],[Include or Exclude]], 0)</f>
        <v/>
      </c>
      <c r="H138" s="182" t="str" cm="1">
        <f t="array" ref="H138">Common_InputFunctions.Utility_DisplayArrayInTable(Fertiliser_SourceData.Fertiliser_Products_Data1(),FertiliserProducts[[#Headers],[Include or Exclude]], 0,4)</f>
        <v/>
      </c>
      <c r="I138" s="182" t="str" cm="1">
        <f t="array" ref="I138">Common_InputFunctions.Utility_DisplayArrayInTable(Fertiliser_SourceData.Fertiliser_Products_Data1(),FertiliserProducts[[#Headers],[Include or Exclude]], 0,4)</f>
        <v/>
      </c>
      <c r="J138" s="182" t="str" cm="1">
        <f t="array" ref="J138">Common_InputFunctions.Utility_DisplayArrayInTable(Fertiliser_SourceData.Fertiliser_Products_Data1(),FertiliserProducts[[#Headers],[Include or Exclude]], 0,4)</f>
        <v/>
      </c>
      <c r="K138" s="182" t="str" cm="1">
        <f t="array" ref="K138">Common_InputFunctions.Utility_DisplayArrayInTable(Fertiliser_SourceData.Fertiliser_Products_Data1(),FertiliserProducts[[#Headers],[Include or Exclude]], 0,4)</f>
        <v/>
      </c>
      <c r="L138" s="182" t="str" cm="1">
        <f t="array" ref="L138">Common_InputFunctions.Utility_DisplayArrayInTable(Fertiliser_SourceData.Fertiliser_Products_Data1(),FertiliserProducts[[#Headers],[Include or Exclude]], 0,4)</f>
        <v/>
      </c>
      <c r="M138" s="182" t="str" cm="1">
        <f t="array" ref="M138">Common_InputFunctions.Utility_DisplayArrayInTable(Fertiliser_SourceData.Fertiliser_Products_Data1(),FertiliserProducts[[#Headers],[Include or Exclude]], 0,4)</f>
        <v/>
      </c>
      <c r="N138" s="182" t="str" cm="1">
        <f t="array" ref="N138">Common_InputFunctions.Utility_DisplayArrayInTable(Fertiliser_SourceData.Fertiliser_Products_Data1(),FertiliserProducts[[#Headers],[Include or Exclude]], 0,4)</f>
        <v/>
      </c>
      <c r="O138" s="182" t="str" cm="1">
        <f t="array" ref="O138">Common_InputFunctions.Utility_DisplayArrayInTable(Fertiliser_SourceData.Fertiliser_Products_Data1(),FertiliserProducts[[#Headers],[Include or Exclude]], 0,4)</f>
        <v/>
      </c>
      <c r="P138" s="182" t="str" cm="1">
        <f t="array" ref="P138">Common_InputFunctions.Utility_DisplayArrayInTable(Fertiliser_SourceData.Fertiliser_Products_Data1(),FertiliserProducts[[#Headers],[Include or Exclude]], 0,4)</f>
        <v/>
      </c>
      <c r="Q138" s="182" t="str" cm="1">
        <f t="array" ref="Q138">Common_InputFunctions.Utility_DisplayArrayInTable(Fertiliser_SourceData.Fertiliser_Products_Data1(),FertiliserProducts[[#Headers],[Include or Exclude]], 0,4)</f>
        <v/>
      </c>
      <c r="R138" s="182" t="str" cm="1">
        <f t="array" ref="R138">Common_InputFunctions.Utility_DisplayArrayInTable(Fertiliser_SourceData.Fertiliser_Products_Data1(),FertiliserProducts[[#Headers],[Include or Exclude]], 0,4)</f>
        <v/>
      </c>
      <c r="S138" s="182" t="str" cm="1">
        <f t="array" ref="S138">Common_InputFunctions.Utility_DisplayArrayInTable(Fertiliser_SourceData.Fertiliser_Products_Data1(),FertiliserProducts[[#Headers],[Include or Exclude]], 0,4)</f>
        <v/>
      </c>
      <c r="T138" s="182" t="str" cm="1">
        <f t="array" ref="T138">Common_InputFunctions.Utility_DisplayArrayInTable(Fertiliser_SourceData.Fertiliser_Products_Data1(),FertiliserProducts[[#Headers],[Include or Exclude]], 0,4)</f>
        <v/>
      </c>
      <c r="U138" s="182" t="str" cm="1">
        <f t="array" ref="U138">Common_InputFunctions.Utility_DisplayArrayInTable(Fertiliser_SourceData.Fertiliser_Products_Data1(),FertiliserProducts[[#Headers],[Include or Exclude]], 0,4)</f>
        <v/>
      </c>
      <c r="V138" s="182" t="str" cm="1">
        <f t="array" ref="V138">Common_InputFunctions.Utility_DisplayArrayInTable(Fertiliser_SourceData.Fertiliser_Products_Data1(),FertiliserProducts[[#Headers],[Include or Exclude]], 0,4)</f>
        <v/>
      </c>
      <c r="W138" s="182" t="str" cm="1">
        <f t="array" ref="W138">Common_InputFunctions.Utility_DisplayArrayInTable(Fertiliser_SourceData.Fertiliser_Products_Data1(),FertiliserProducts[[#Headers],[Include or Exclude]], 0,4)</f>
        <v/>
      </c>
      <c r="X138" s="182" t="str" cm="1">
        <f t="array" ref="X138">Common_InputFunctions.Utility_DisplayArrayInTable(Fertiliser_SourceData.Fertiliser_Products_Data1(),FertiliserProducts[[#Headers],[Include or Exclude]], 0,4)</f>
        <v/>
      </c>
      <c r="Y138" s="182" t="str" cm="1">
        <f t="array" ref="Y138">Common_InputFunctions.Utility_DisplayArrayInTable(Fertiliser_SourceData.Fertiliser_Products_Data1(),FertiliserProducts[[#Headers],[Include or Exclude]], 0,4)</f>
        <v/>
      </c>
      <c r="Z138" s="182" t="str" cm="1">
        <f t="array" ref="Z138">Common_InputFunctions.Utility_DisplayArrayInTable(Fertiliser_SourceData.Fertiliser_Products_Data1(),FertiliserProducts[[#Headers],[Include or Exclude]], 0,4)</f>
        <v/>
      </c>
      <c r="AA138" s="182" t="str" cm="1">
        <f t="array" ref="AA138">Common_InputFunctions.Utility_DisplayArrayInTable(Fertiliser_SourceData.Fertiliser_Products_Data1(),FertiliserProducts[[#Headers],[Include or Exclude]], 0,4)</f>
        <v/>
      </c>
      <c r="AB138" s="182" t="str" cm="1">
        <f t="array" ref="AB138">Common_InputFunctions.Utility_DisplayArrayInTable(Fertiliser_SourceData.Fertiliser_Products_Data1(),FertiliserProducts[[#Headers],[Include or Exclude]], 0,4)</f>
        <v/>
      </c>
      <c r="AC138" s="182" t="str" cm="1">
        <f t="array" ref="AC138">Common_InputFunctions.Utility_DisplayArrayInTable(Fertiliser_SourceData.Fertiliser_Products_Data1(),FertiliserProducts[[#Headers],[Include or Exclude]], 0,4)</f>
        <v/>
      </c>
      <c r="AD138" s="182" t="str" cm="1">
        <f t="array" ref="AD138">Common_InputFunctions.Utility_DisplayArrayInTable(Fertiliser_SourceData.Fertiliser_Products_Data1(),FertiliserProducts[[#Headers],[Include or Exclude]], 0,4)</f>
        <v/>
      </c>
      <c r="AE138" s="182" t="str" cm="1">
        <f t="array" ref="AE138">Common_InputFunctions.Utility_DisplayArrayInTable(Fertiliser_SourceData.Fertiliser_Products_Data1(),FertiliserProducts[[#Headers],[Include or Exclude]], 0,4)</f>
        <v/>
      </c>
    </row>
    <row r="139" spans="4:31" ht="20.100000000000001" customHeight="1" x14ac:dyDescent="0.25">
      <c r="D139" s="182" t="str" cm="1">
        <f t="array" ref="D139">Common_InputFunctions.Utility_DisplayArrayInTable(Fertiliser_SourceData.Fertiliser_Products_Data1(),FertiliserProducts[[#Headers],[Include or Exclude]], -1)</f>
        <v/>
      </c>
      <c r="E139" s="182" t="str" cm="1">
        <f t="array" ref="E139">Common_InputFunctions.Utility_DisplayArrayInTable(Fertiliser_SourceData.Fertiliser_Products_Data1(),FertiliserProducts[[#Headers],[Include or Exclude]], 0)</f>
        <v/>
      </c>
      <c r="F139" s="182" t="str" cm="1">
        <f t="array" ref="F139">Common_InputFunctions.Utility_DisplayArrayInTable(Fertiliser_SourceData.Fertiliser_Products_Data1(),FertiliserProducts[[#Headers],[Include or Exclude]], 0)</f>
        <v/>
      </c>
      <c r="G139" s="182" t="str" cm="1">
        <f t="array" ref="G139">Common_InputFunctions.Utility_DisplayArrayInTable(Fertiliser_SourceData.Fertiliser_Products_Data1(),FertiliserProducts[[#Headers],[Include or Exclude]], 0)</f>
        <v/>
      </c>
      <c r="H139" s="182" t="str" cm="1">
        <f t="array" ref="H139">Common_InputFunctions.Utility_DisplayArrayInTable(Fertiliser_SourceData.Fertiliser_Products_Data1(),FertiliserProducts[[#Headers],[Include or Exclude]], 0,4)</f>
        <v/>
      </c>
      <c r="I139" s="182" t="str" cm="1">
        <f t="array" ref="I139">Common_InputFunctions.Utility_DisplayArrayInTable(Fertiliser_SourceData.Fertiliser_Products_Data1(),FertiliserProducts[[#Headers],[Include or Exclude]], 0,4)</f>
        <v/>
      </c>
      <c r="J139" s="182" t="str" cm="1">
        <f t="array" ref="J139">Common_InputFunctions.Utility_DisplayArrayInTable(Fertiliser_SourceData.Fertiliser_Products_Data1(),FertiliserProducts[[#Headers],[Include or Exclude]], 0,4)</f>
        <v/>
      </c>
      <c r="K139" s="182" t="str" cm="1">
        <f t="array" ref="K139">Common_InputFunctions.Utility_DisplayArrayInTable(Fertiliser_SourceData.Fertiliser_Products_Data1(),FertiliserProducts[[#Headers],[Include or Exclude]], 0,4)</f>
        <v/>
      </c>
      <c r="L139" s="182" t="str" cm="1">
        <f t="array" ref="L139">Common_InputFunctions.Utility_DisplayArrayInTable(Fertiliser_SourceData.Fertiliser_Products_Data1(),FertiliserProducts[[#Headers],[Include or Exclude]], 0,4)</f>
        <v/>
      </c>
      <c r="M139" s="182" t="str" cm="1">
        <f t="array" ref="M139">Common_InputFunctions.Utility_DisplayArrayInTable(Fertiliser_SourceData.Fertiliser_Products_Data1(),FertiliserProducts[[#Headers],[Include or Exclude]], 0,4)</f>
        <v/>
      </c>
      <c r="N139" s="182" t="str" cm="1">
        <f t="array" ref="N139">Common_InputFunctions.Utility_DisplayArrayInTable(Fertiliser_SourceData.Fertiliser_Products_Data1(),FertiliserProducts[[#Headers],[Include or Exclude]], 0,4)</f>
        <v/>
      </c>
      <c r="O139" s="182" t="str" cm="1">
        <f t="array" ref="O139">Common_InputFunctions.Utility_DisplayArrayInTable(Fertiliser_SourceData.Fertiliser_Products_Data1(),FertiliserProducts[[#Headers],[Include or Exclude]], 0,4)</f>
        <v/>
      </c>
      <c r="P139" s="182" t="str" cm="1">
        <f t="array" ref="P139">Common_InputFunctions.Utility_DisplayArrayInTable(Fertiliser_SourceData.Fertiliser_Products_Data1(),FertiliserProducts[[#Headers],[Include or Exclude]], 0,4)</f>
        <v/>
      </c>
      <c r="Q139" s="182" t="str" cm="1">
        <f t="array" ref="Q139">Common_InputFunctions.Utility_DisplayArrayInTable(Fertiliser_SourceData.Fertiliser_Products_Data1(),FertiliserProducts[[#Headers],[Include or Exclude]], 0,4)</f>
        <v/>
      </c>
      <c r="R139" s="182" t="str" cm="1">
        <f t="array" ref="R139">Common_InputFunctions.Utility_DisplayArrayInTable(Fertiliser_SourceData.Fertiliser_Products_Data1(),FertiliserProducts[[#Headers],[Include or Exclude]], 0,4)</f>
        <v/>
      </c>
      <c r="S139" s="182" t="str" cm="1">
        <f t="array" ref="S139">Common_InputFunctions.Utility_DisplayArrayInTable(Fertiliser_SourceData.Fertiliser_Products_Data1(),FertiliserProducts[[#Headers],[Include or Exclude]], 0,4)</f>
        <v/>
      </c>
      <c r="T139" s="182" t="str" cm="1">
        <f t="array" ref="T139">Common_InputFunctions.Utility_DisplayArrayInTable(Fertiliser_SourceData.Fertiliser_Products_Data1(),FertiliserProducts[[#Headers],[Include or Exclude]], 0,4)</f>
        <v/>
      </c>
      <c r="U139" s="182" t="str" cm="1">
        <f t="array" ref="U139">Common_InputFunctions.Utility_DisplayArrayInTable(Fertiliser_SourceData.Fertiliser_Products_Data1(),FertiliserProducts[[#Headers],[Include or Exclude]], 0,4)</f>
        <v/>
      </c>
      <c r="V139" s="182" t="str" cm="1">
        <f t="array" ref="V139">Common_InputFunctions.Utility_DisplayArrayInTable(Fertiliser_SourceData.Fertiliser_Products_Data1(),FertiliserProducts[[#Headers],[Include or Exclude]], 0,4)</f>
        <v/>
      </c>
      <c r="W139" s="182" t="str" cm="1">
        <f t="array" ref="W139">Common_InputFunctions.Utility_DisplayArrayInTable(Fertiliser_SourceData.Fertiliser_Products_Data1(),FertiliserProducts[[#Headers],[Include or Exclude]], 0,4)</f>
        <v/>
      </c>
      <c r="X139" s="182" t="str" cm="1">
        <f t="array" ref="X139">Common_InputFunctions.Utility_DisplayArrayInTable(Fertiliser_SourceData.Fertiliser_Products_Data1(),FertiliserProducts[[#Headers],[Include or Exclude]], 0,4)</f>
        <v/>
      </c>
      <c r="Y139" s="182" t="str" cm="1">
        <f t="array" ref="Y139">Common_InputFunctions.Utility_DisplayArrayInTable(Fertiliser_SourceData.Fertiliser_Products_Data1(),FertiliserProducts[[#Headers],[Include or Exclude]], 0,4)</f>
        <v/>
      </c>
      <c r="Z139" s="182" t="str" cm="1">
        <f t="array" ref="Z139">Common_InputFunctions.Utility_DisplayArrayInTable(Fertiliser_SourceData.Fertiliser_Products_Data1(),FertiliserProducts[[#Headers],[Include or Exclude]], 0,4)</f>
        <v/>
      </c>
      <c r="AA139" s="182" t="str" cm="1">
        <f t="array" ref="AA139">Common_InputFunctions.Utility_DisplayArrayInTable(Fertiliser_SourceData.Fertiliser_Products_Data1(),FertiliserProducts[[#Headers],[Include or Exclude]], 0,4)</f>
        <v/>
      </c>
      <c r="AB139" s="182" t="str" cm="1">
        <f t="array" ref="AB139">Common_InputFunctions.Utility_DisplayArrayInTable(Fertiliser_SourceData.Fertiliser_Products_Data1(),FertiliserProducts[[#Headers],[Include or Exclude]], 0,4)</f>
        <v/>
      </c>
      <c r="AC139" s="182" t="str" cm="1">
        <f t="array" ref="AC139">Common_InputFunctions.Utility_DisplayArrayInTable(Fertiliser_SourceData.Fertiliser_Products_Data1(),FertiliserProducts[[#Headers],[Include or Exclude]], 0,4)</f>
        <v/>
      </c>
      <c r="AD139" s="182" t="str" cm="1">
        <f t="array" ref="AD139">Common_InputFunctions.Utility_DisplayArrayInTable(Fertiliser_SourceData.Fertiliser_Products_Data1(),FertiliserProducts[[#Headers],[Include or Exclude]], 0,4)</f>
        <v/>
      </c>
      <c r="AE139" s="182" t="str" cm="1">
        <f t="array" ref="AE139">Common_InputFunctions.Utility_DisplayArrayInTable(Fertiliser_SourceData.Fertiliser_Products_Data1(),FertiliserProducts[[#Headers],[Include or Exclude]], 0,4)</f>
        <v/>
      </c>
    </row>
    <row r="140" spans="4:31" ht="20.100000000000001" customHeight="1" x14ac:dyDescent="0.25">
      <c r="D140" s="182" t="str" cm="1">
        <f t="array" ref="D140">Common_InputFunctions.Utility_DisplayArrayInTable(Fertiliser_SourceData.Fertiliser_Products_Data1(),FertiliserProducts[[#Headers],[Include or Exclude]], -1)</f>
        <v/>
      </c>
      <c r="E140" s="182" t="str" cm="1">
        <f t="array" ref="E140">Common_InputFunctions.Utility_DisplayArrayInTable(Fertiliser_SourceData.Fertiliser_Products_Data1(),FertiliserProducts[[#Headers],[Include or Exclude]], 0)</f>
        <v/>
      </c>
      <c r="F140" s="182" t="str" cm="1">
        <f t="array" ref="F140">Common_InputFunctions.Utility_DisplayArrayInTable(Fertiliser_SourceData.Fertiliser_Products_Data1(),FertiliserProducts[[#Headers],[Include or Exclude]], 0)</f>
        <v/>
      </c>
      <c r="G140" s="182" t="str" cm="1">
        <f t="array" ref="G140">Common_InputFunctions.Utility_DisplayArrayInTable(Fertiliser_SourceData.Fertiliser_Products_Data1(),FertiliserProducts[[#Headers],[Include or Exclude]], 0)</f>
        <v/>
      </c>
      <c r="H140" s="182" t="str" cm="1">
        <f t="array" ref="H140">Common_InputFunctions.Utility_DisplayArrayInTable(Fertiliser_SourceData.Fertiliser_Products_Data1(),FertiliserProducts[[#Headers],[Include or Exclude]], 0,4)</f>
        <v/>
      </c>
      <c r="I140" s="182" t="str" cm="1">
        <f t="array" ref="I140">Common_InputFunctions.Utility_DisplayArrayInTable(Fertiliser_SourceData.Fertiliser_Products_Data1(),FertiliserProducts[[#Headers],[Include or Exclude]], 0,4)</f>
        <v/>
      </c>
      <c r="J140" s="182" t="str" cm="1">
        <f t="array" ref="J140">Common_InputFunctions.Utility_DisplayArrayInTable(Fertiliser_SourceData.Fertiliser_Products_Data1(),FertiliserProducts[[#Headers],[Include or Exclude]], 0,4)</f>
        <v/>
      </c>
      <c r="K140" s="182" t="str" cm="1">
        <f t="array" ref="K140">Common_InputFunctions.Utility_DisplayArrayInTable(Fertiliser_SourceData.Fertiliser_Products_Data1(),FertiliserProducts[[#Headers],[Include or Exclude]], 0,4)</f>
        <v/>
      </c>
      <c r="L140" s="182" t="str" cm="1">
        <f t="array" ref="L140">Common_InputFunctions.Utility_DisplayArrayInTable(Fertiliser_SourceData.Fertiliser_Products_Data1(),FertiliserProducts[[#Headers],[Include or Exclude]], 0,4)</f>
        <v/>
      </c>
      <c r="M140" s="182" t="str" cm="1">
        <f t="array" ref="M140">Common_InputFunctions.Utility_DisplayArrayInTable(Fertiliser_SourceData.Fertiliser_Products_Data1(),FertiliserProducts[[#Headers],[Include or Exclude]], 0,4)</f>
        <v/>
      </c>
      <c r="N140" s="182" t="str" cm="1">
        <f t="array" ref="N140">Common_InputFunctions.Utility_DisplayArrayInTable(Fertiliser_SourceData.Fertiliser_Products_Data1(),FertiliserProducts[[#Headers],[Include or Exclude]], 0,4)</f>
        <v/>
      </c>
      <c r="O140" s="182" t="str" cm="1">
        <f t="array" ref="O140">Common_InputFunctions.Utility_DisplayArrayInTable(Fertiliser_SourceData.Fertiliser_Products_Data1(),FertiliserProducts[[#Headers],[Include or Exclude]], 0,4)</f>
        <v/>
      </c>
      <c r="P140" s="182" t="str" cm="1">
        <f t="array" ref="P140">Common_InputFunctions.Utility_DisplayArrayInTable(Fertiliser_SourceData.Fertiliser_Products_Data1(),FertiliserProducts[[#Headers],[Include or Exclude]], 0,4)</f>
        <v/>
      </c>
      <c r="Q140" s="182" t="str" cm="1">
        <f t="array" ref="Q140">Common_InputFunctions.Utility_DisplayArrayInTable(Fertiliser_SourceData.Fertiliser_Products_Data1(),FertiliserProducts[[#Headers],[Include or Exclude]], 0,4)</f>
        <v/>
      </c>
      <c r="R140" s="182" t="str" cm="1">
        <f t="array" ref="R140">Common_InputFunctions.Utility_DisplayArrayInTable(Fertiliser_SourceData.Fertiliser_Products_Data1(),FertiliserProducts[[#Headers],[Include or Exclude]], 0,4)</f>
        <v/>
      </c>
      <c r="S140" s="182" t="str" cm="1">
        <f t="array" ref="S140">Common_InputFunctions.Utility_DisplayArrayInTable(Fertiliser_SourceData.Fertiliser_Products_Data1(),FertiliserProducts[[#Headers],[Include or Exclude]], 0,4)</f>
        <v/>
      </c>
      <c r="T140" s="182" t="str" cm="1">
        <f t="array" ref="T140">Common_InputFunctions.Utility_DisplayArrayInTable(Fertiliser_SourceData.Fertiliser_Products_Data1(),FertiliserProducts[[#Headers],[Include or Exclude]], 0,4)</f>
        <v/>
      </c>
      <c r="U140" s="182" t="str" cm="1">
        <f t="array" ref="U140">Common_InputFunctions.Utility_DisplayArrayInTable(Fertiliser_SourceData.Fertiliser_Products_Data1(),FertiliserProducts[[#Headers],[Include or Exclude]], 0,4)</f>
        <v/>
      </c>
      <c r="V140" s="182" t="str" cm="1">
        <f t="array" ref="V140">Common_InputFunctions.Utility_DisplayArrayInTable(Fertiliser_SourceData.Fertiliser_Products_Data1(),FertiliserProducts[[#Headers],[Include or Exclude]], 0,4)</f>
        <v/>
      </c>
      <c r="W140" s="182" t="str" cm="1">
        <f t="array" ref="W140">Common_InputFunctions.Utility_DisplayArrayInTable(Fertiliser_SourceData.Fertiliser_Products_Data1(),FertiliserProducts[[#Headers],[Include or Exclude]], 0,4)</f>
        <v/>
      </c>
      <c r="X140" s="182" t="str" cm="1">
        <f t="array" ref="X140">Common_InputFunctions.Utility_DisplayArrayInTable(Fertiliser_SourceData.Fertiliser_Products_Data1(),FertiliserProducts[[#Headers],[Include or Exclude]], 0,4)</f>
        <v/>
      </c>
      <c r="Y140" s="182" t="str" cm="1">
        <f t="array" ref="Y140">Common_InputFunctions.Utility_DisplayArrayInTable(Fertiliser_SourceData.Fertiliser_Products_Data1(),FertiliserProducts[[#Headers],[Include or Exclude]], 0,4)</f>
        <v/>
      </c>
      <c r="Z140" s="182" t="str" cm="1">
        <f t="array" ref="Z140">Common_InputFunctions.Utility_DisplayArrayInTable(Fertiliser_SourceData.Fertiliser_Products_Data1(),FertiliserProducts[[#Headers],[Include or Exclude]], 0,4)</f>
        <v/>
      </c>
      <c r="AA140" s="182" t="str" cm="1">
        <f t="array" ref="AA140">Common_InputFunctions.Utility_DisplayArrayInTable(Fertiliser_SourceData.Fertiliser_Products_Data1(),FertiliserProducts[[#Headers],[Include or Exclude]], 0,4)</f>
        <v/>
      </c>
      <c r="AB140" s="182" t="str" cm="1">
        <f t="array" ref="AB140">Common_InputFunctions.Utility_DisplayArrayInTable(Fertiliser_SourceData.Fertiliser_Products_Data1(),FertiliserProducts[[#Headers],[Include or Exclude]], 0,4)</f>
        <v/>
      </c>
      <c r="AC140" s="182" t="str" cm="1">
        <f t="array" ref="AC140">Common_InputFunctions.Utility_DisplayArrayInTable(Fertiliser_SourceData.Fertiliser_Products_Data1(),FertiliserProducts[[#Headers],[Include or Exclude]], 0,4)</f>
        <v/>
      </c>
      <c r="AD140" s="182" t="str" cm="1">
        <f t="array" ref="AD140">Common_InputFunctions.Utility_DisplayArrayInTable(Fertiliser_SourceData.Fertiliser_Products_Data1(),FertiliserProducts[[#Headers],[Include or Exclude]], 0,4)</f>
        <v/>
      </c>
      <c r="AE140" s="182" t="str" cm="1">
        <f t="array" ref="AE140">Common_InputFunctions.Utility_DisplayArrayInTable(Fertiliser_SourceData.Fertiliser_Products_Data1(),FertiliserProducts[[#Headers],[Include or Exclude]], 0,4)</f>
        <v/>
      </c>
    </row>
    <row r="141" spans="4:31" ht="20.100000000000001" customHeight="1" x14ac:dyDescent="0.25">
      <c r="D141" s="182" t="str" cm="1">
        <f t="array" ref="D141">Common_InputFunctions.Utility_DisplayArrayInTable(Fertiliser_SourceData.Fertiliser_Products_Data1(),FertiliserProducts[[#Headers],[Include or Exclude]], -1)</f>
        <v/>
      </c>
      <c r="E141" s="182" t="str" cm="1">
        <f t="array" ref="E141">Common_InputFunctions.Utility_DisplayArrayInTable(Fertiliser_SourceData.Fertiliser_Products_Data1(),FertiliserProducts[[#Headers],[Include or Exclude]], 0)</f>
        <v/>
      </c>
      <c r="F141" s="182" t="str" cm="1">
        <f t="array" ref="F141">Common_InputFunctions.Utility_DisplayArrayInTable(Fertiliser_SourceData.Fertiliser_Products_Data1(),FertiliserProducts[[#Headers],[Include or Exclude]], 0)</f>
        <v/>
      </c>
      <c r="G141" s="182" t="str" cm="1">
        <f t="array" ref="G141">Common_InputFunctions.Utility_DisplayArrayInTable(Fertiliser_SourceData.Fertiliser_Products_Data1(),FertiliserProducts[[#Headers],[Include or Exclude]], 0)</f>
        <v/>
      </c>
      <c r="H141" s="182" t="str" cm="1">
        <f t="array" ref="H141">Common_InputFunctions.Utility_DisplayArrayInTable(Fertiliser_SourceData.Fertiliser_Products_Data1(),FertiliserProducts[[#Headers],[Include or Exclude]], 0,4)</f>
        <v/>
      </c>
      <c r="I141" s="182" t="str" cm="1">
        <f t="array" ref="I141">Common_InputFunctions.Utility_DisplayArrayInTable(Fertiliser_SourceData.Fertiliser_Products_Data1(),FertiliserProducts[[#Headers],[Include or Exclude]], 0,4)</f>
        <v/>
      </c>
      <c r="J141" s="182" t="str" cm="1">
        <f t="array" ref="J141">Common_InputFunctions.Utility_DisplayArrayInTable(Fertiliser_SourceData.Fertiliser_Products_Data1(),FertiliserProducts[[#Headers],[Include or Exclude]], 0,4)</f>
        <v/>
      </c>
      <c r="K141" s="182" t="str" cm="1">
        <f t="array" ref="K141">Common_InputFunctions.Utility_DisplayArrayInTable(Fertiliser_SourceData.Fertiliser_Products_Data1(),FertiliserProducts[[#Headers],[Include or Exclude]], 0,4)</f>
        <v/>
      </c>
      <c r="L141" s="182" t="str" cm="1">
        <f t="array" ref="L141">Common_InputFunctions.Utility_DisplayArrayInTable(Fertiliser_SourceData.Fertiliser_Products_Data1(),FertiliserProducts[[#Headers],[Include or Exclude]], 0,4)</f>
        <v/>
      </c>
      <c r="M141" s="182" t="str" cm="1">
        <f t="array" ref="M141">Common_InputFunctions.Utility_DisplayArrayInTable(Fertiliser_SourceData.Fertiliser_Products_Data1(),FertiliserProducts[[#Headers],[Include or Exclude]], 0,4)</f>
        <v/>
      </c>
      <c r="N141" s="182" t="str" cm="1">
        <f t="array" ref="N141">Common_InputFunctions.Utility_DisplayArrayInTable(Fertiliser_SourceData.Fertiliser_Products_Data1(),FertiliserProducts[[#Headers],[Include or Exclude]], 0,4)</f>
        <v/>
      </c>
      <c r="O141" s="182" t="str" cm="1">
        <f t="array" ref="O141">Common_InputFunctions.Utility_DisplayArrayInTable(Fertiliser_SourceData.Fertiliser_Products_Data1(),FertiliserProducts[[#Headers],[Include or Exclude]], 0,4)</f>
        <v/>
      </c>
      <c r="P141" s="182" t="str" cm="1">
        <f t="array" ref="P141">Common_InputFunctions.Utility_DisplayArrayInTable(Fertiliser_SourceData.Fertiliser_Products_Data1(),FertiliserProducts[[#Headers],[Include or Exclude]], 0,4)</f>
        <v/>
      </c>
      <c r="Q141" s="182" t="str" cm="1">
        <f t="array" ref="Q141">Common_InputFunctions.Utility_DisplayArrayInTable(Fertiliser_SourceData.Fertiliser_Products_Data1(),FertiliserProducts[[#Headers],[Include or Exclude]], 0,4)</f>
        <v/>
      </c>
      <c r="R141" s="182" t="str" cm="1">
        <f t="array" ref="R141">Common_InputFunctions.Utility_DisplayArrayInTable(Fertiliser_SourceData.Fertiliser_Products_Data1(),FertiliserProducts[[#Headers],[Include or Exclude]], 0,4)</f>
        <v/>
      </c>
      <c r="S141" s="182" t="str" cm="1">
        <f t="array" ref="S141">Common_InputFunctions.Utility_DisplayArrayInTable(Fertiliser_SourceData.Fertiliser_Products_Data1(),FertiliserProducts[[#Headers],[Include or Exclude]], 0,4)</f>
        <v/>
      </c>
      <c r="T141" s="182" t="str" cm="1">
        <f t="array" ref="T141">Common_InputFunctions.Utility_DisplayArrayInTable(Fertiliser_SourceData.Fertiliser_Products_Data1(),FertiliserProducts[[#Headers],[Include or Exclude]], 0,4)</f>
        <v/>
      </c>
      <c r="U141" s="182" t="str" cm="1">
        <f t="array" ref="U141">Common_InputFunctions.Utility_DisplayArrayInTable(Fertiliser_SourceData.Fertiliser_Products_Data1(),FertiliserProducts[[#Headers],[Include or Exclude]], 0,4)</f>
        <v/>
      </c>
      <c r="V141" s="182" t="str" cm="1">
        <f t="array" ref="V141">Common_InputFunctions.Utility_DisplayArrayInTable(Fertiliser_SourceData.Fertiliser_Products_Data1(),FertiliserProducts[[#Headers],[Include or Exclude]], 0,4)</f>
        <v/>
      </c>
      <c r="W141" s="182" t="str" cm="1">
        <f t="array" ref="W141">Common_InputFunctions.Utility_DisplayArrayInTable(Fertiliser_SourceData.Fertiliser_Products_Data1(),FertiliserProducts[[#Headers],[Include or Exclude]], 0,4)</f>
        <v/>
      </c>
      <c r="X141" s="182" t="str" cm="1">
        <f t="array" ref="X141">Common_InputFunctions.Utility_DisplayArrayInTable(Fertiliser_SourceData.Fertiliser_Products_Data1(),FertiliserProducts[[#Headers],[Include or Exclude]], 0,4)</f>
        <v/>
      </c>
      <c r="Y141" s="182" t="str" cm="1">
        <f t="array" ref="Y141">Common_InputFunctions.Utility_DisplayArrayInTable(Fertiliser_SourceData.Fertiliser_Products_Data1(),FertiliserProducts[[#Headers],[Include or Exclude]], 0,4)</f>
        <v/>
      </c>
      <c r="Z141" s="182" t="str" cm="1">
        <f t="array" ref="Z141">Common_InputFunctions.Utility_DisplayArrayInTable(Fertiliser_SourceData.Fertiliser_Products_Data1(),FertiliserProducts[[#Headers],[Include or Exclude]], 0,4)</f>
        <v/>
      </c>
      <c r="AA141" s="182" t="str" cm="1">
        <f t="array" ref="AA141">Common_InputFunctions.Utility_DisplayArrayInTable(Fertiliser_SourceData.Fertiliser_Products_Data1(),FertiliserProducts[[#Headers],[Include or Exclude]], 0,4)</f>
        <v/>
      </c>
      <c r="AB141" s="182" t="str" cm="1">
        <f t="array" ref="AB141">Common_InputFunctions.Utility_DisplayArrayInTable(Fertiliser_SourceData.Fertiliser_Products_Data1(),FertiliserProducts[[#Headers],[Include or Exclude]], 0,4)</f>
        <v/>
      </c>
      <c r="AC141" s="182" t="str" cm="1">
        <f t="array" ref="AC141">Common_InputFunctions.Utility_DisplayArrayInTable(Fertiliser_SourceData.Fertiliser_Products_Data1(),FertiliserProducts[[#Headers],[Include or Exclude]], 0,4)</f>
        <v/>
      </c>
      <c r="AD141" s="182" t="str" cm="1">
        <f t="array" ref="AD141">Common_InputFunctions.Utility_DisplayArrayInTable(Fertiliser_SourceData.Fertiliser_Products_Data1(),FertiliserProducts[[#Headers],[Include or Exclude]], 0,4)</f>
        <v/>
      </c>
      <c r="AE141" s="182" t="str" cm="1">
        <f t="array" ref="AE141">Common_InputFunctions.Utility_DisplayArrayInTable(Fertiliser_SourceData.Fertiliser_Products_Data1(),FertiliserProducts[[#Headers],[Include or Exclude]], 0,4)</f>
        <v/>
      </c>
    </row>
    <row r="142" spans="4:31" ht="20.100000000000001" customHeight="1" x14ac:dyDescent="0.25">
      <c r="D142" s="182" t="str" cm="1">
        <f t="array" ref="D142">Common_InputFunctions.Utility_DisplayArrayInTable(Fertiliser_SourceData.Fertiliser_Products_Data1(),FertiliserProducts[[#Headers],[Include or Exclude]], -1)</f>
        <v/>
      </c>
      <c r="E142" s="182" t="str" cm="1">
        <f t="array" ref="E142">Common_InputFunctions.Utility_DisplayArrayInTable(Fertiliser_SourceData.Fertiliser_Products_Data1(),FertiliserProducts[[#Headers],[Include or Exclude]], 0)</f>
        <v/>
      </c>
      <c r="F142" s="182" t="str" cm="1">
        <f t="array" ref="F142">Common_InputFunctions.Utility_DisplayArrayInTable(Fertiliser_SourceData.Fertiliser_Products_Data1(),FertiliserProducts[[#Headers],[Include or Exclude]], 0)</f>
        <v/>
      </c>
      <c r="G142" s="182" t="str" cm="1">
        <f t="array" ref="G142">Common_InputFunctions.Utility_DisplayArrayInTable(Fertiliser_SourceData.Fertiliser_Products_Data1(),FertiliserProducts[[#Headers],[Include or Exclude]], 0)</f>
        <v/>
      </c>
      <c r="H142" s="182" t="str" cm="1">
        <f t="array" ref="H142">Common_InputFunctions.Utility_DisplayArrayInTable(Fertiliser_SourceData.Fertiliser_Products_Data1(),FertiliserProducts[[#Headers],[Include or Exclude]], 0,4)</f>
        <v/>
      </c>
      <c r="I142" s="182" t="str" cm="1">
        <f t="array" ref="I142">Common_InputFunctions.Utility_DisplayArrayInTable(Fertiliser_SourceData.Fertiliser_Products_Data1(),FertiliserProducts[[#Headers],[Include or Exclude]], 0,4)</f>
        <v/>
      </c>
      <c r="J142" s="182" t="str" cm="1">
        <f t="array" ref="J142">Common_InputFunctions.Utility_DisplayArrayInTable(Fertiliser_SourceData.Fertiliser_Products_Data1(),FertiliserProducts[[#Headers],[Include or Exclude]], 0,4)</f>
        <v/>
      </c>
      <c r="K142" s="182" t="str" cm="1">
        <f t="array" ref="K142">Common_InputFunctions.Utility_DisplayArrayInTable(Fertiliser_SourceData.Fertiliser_Products_Data1(),FertiliserProducts[[#Headers],[Include or Exclude]], 0,4)</f>
        <v/>
      </c>
      <c r="L142" s="182" t="str" cm="1">
        <f t="array" ref="L142">Common_InputFunctions.Utility_DisplayArrayInTable(Fertiliser_SourceData.Fertiliser_Products_Data1(),FertiliserProducts[[#Headers],[Include or Exclude]], 0,4)</f>
        <v/>
      </c>
      <c r="M142" s="182" t="str" cm="1">
        <f t="array" ref="M142">Common_InputFunctions.Utility_DisplayArrayInTable(Fertiliser_SourceData.Fertiliser_Products_Data1(),FertiliserProducts[[#Headers],[Include or Exclude]], 0,4)</f>
        <v/>
      </c>
      <c r="N142" s="182" t="str" cm="1">
        <f t="array" ref="N142">Common_InputFunctions.Utility_DisplayArrayInTable(Fertiliser_SourceData.Fertiliser_Products_Data1(),FertiliserProducts[[#Headers],[Include or Exclude]], 0,4)</f>
        <v/>
      </c>
      <c r="O142" s="182" t="str" cm="1">
        <f t="array" ref="O142">Common_InputFunctions.Utility_DisplayArrayInTable(Fertiliser_SourceData.Fertiliser_Products_Data1(),FertiliserProducts[[#Headers],[Include or Exclude]], 0,4)</f>
        <v/>
      </c>
      <c r="P142" s="182" t="str" cm="1">
        <f t="array" ref="P142">Common_InputFunctions.Utility_DisplayArrayInTable(Fertiliser_SourceData.Fertiliser_Products_Data1(),FertiliserProducts[[#Headers],[Include or Exclude]], 0,4)</f>
        <v/>
      </c>
      <c r="Q142" s="182" t="str" cm="1">
        <f t="array" ref="Q142">Common_InputFunctions.Utility_DisplayArrayInTable(Fertiliser_SourceData.Fertiliser_Products_Data1(),FertiliserProducts[[#Headers],[Include or Exclude]], 0,4)</f>
        <v/>
      </c>
      <c r="R142" s="182" t="str" cm="1">
        <f t="array" ref="R142">Common_InputFunctions.Utility_DisplayArrayInTable(Fertiliser_SourceData.Fertiliser_Products_Data1(),FertiliserProducts[[#Headers],[Include or Exclude]], 0,4)</f>
        <v/>
      </c>
      <c r="S142" s="182" t="str" cm="1">
        <f t="array" ref="S142">Common_InputFunctions.Utility_DisplayArrayInTable(Fertiliser_SourceData.Fertiliser_Products_Data1(),FertiliserProducts[[#Headers],[Include or Exclude]], 0,4)</f>
        <v/>
      </c>
      <c r="T142" s="182" t="str" cm="1">
        <f t="array" ref="T142">Common_InputFunctions.Utility_DisplayArrayInTable(Fertiliser_SourceData.Fertiliser_Products_Data1(),FertiliserProducts[[#Headers],[Include or Exclude]], 0,4)</f>
        <v/>
      </c>
      <c r="U142" s="182" t="str" cm="1">
        <f t="array" ref="U142">Common_InputFunctions.Utility_DisplayArrayInTable(Fertiliser_SourceData.Fertiliser_Products_Data1(),FertiliserProducts[[#Headers],[Include or Exclude]], 0,4)</f>
        <v/>
      </c>
      <c r="V142" s="182" t="str" cm="1">
        <f t="array" ref="V142">Common_InputFunctions.Utility_DisplayArrayInTable(Fertiliser_SourceData.Fertiliser_Products_Data1(),FertiliserProducts[[#Headers],[Include or Exclude]], 0,4)</f>
        <v/>
      </c>
      <c r="W142" s="182" t="str" cm="1">
        <f t="array" ref="W142">Common_InputFunctions.Utility_DisplayArrayInTable(Fertiliser_SourceData.Fertiliser_Products_Data1(),FertiliserProducts[[#Headers],[Include or Exclude]], 0,4)</f>
        <v/>
      </c>
      <c r="X142" s="182" t="str" cm="1">
        <f t="array" ref="X142">Common_InputFunctions.Utility_DisplayArrayInTable(Fertiliser_SourceData.Fertiliser_Products_Data1(),FertiliserProducts[[#Headers],[Include or Exclude]], 0,4)</f>
        <v/>
      </c>
      <c r="Y142" s="182" t="str" cm="1">
        <f t="array" ref="Y142">Common_InputFunctions.Utility_DisplayArrayInTable(Fertiliser_SourceData.Fertiliser_Products_Data1(),FertiliserProducts[[#Headers],[Include or Exclude]], 0,4)</f>
        <v/>
      </c>
      <c r="Z142" s="182" t="str" cm="1">
        <f t="array" ref="Z142">Common_InputFunctions.Utility_DisplayArrayInTable(Fertiliser_SourceData.Fertiliser_Products_Data1(),FertiliserProducts[[#Headers],[Include or Exclude]], 0,4)</f>
        <v/>
      </c>
      <c r="AA142" s="182" t="str" cm="1">
        <f t="array" ref="AA142">Common_InputFunctions.Utility_DisplayArrayInTable(Fertiliser_SourceData.Fertiliser_Products_Data1(),FertiliserProducts[[#Headers],[Include or Exclude]], 0,4)</f>
        <v/>
      </c>
      <c r="AB142" s="182" t="str" cm="1">
        <f t="array" ref="AB142">Common_InputFunctions.Utility_DisplayArrayInTable(Fertiliser_SourceData.Fertiliser_Products_Data1(),FertiliserProducts[[#Headers],[Include or Exclude]], 0,4)</f>
        <v/>
      </c>
      <c r="AC142" s="182" t="str" cm="1">
        <f t="array" ref="AC142">Common_InputFunctions.Utility_DisplayArrayInTable(Fertiliser_SourceData.Fertiliser_Products_Data1(),FertiliserProducts[[#Headers],[Include or Exclude]], 0,4)</f>
        <v/>
      </c>
      <c r="AD142" s="182" t="str" cm="1">
        <f t="array" ref="AD142">Common_InputFunctions.Utility_DisplayArrayInTable(Fertiliser_SourceData.Fertiliser_Products_Data1(),FertiliserProducts[[#Headers],[Include or Exclude]], 0,4)</f>
        <v/>
      </c>
      <c r="AE142" s="182" t="str" cm="1">
        <f t="array" ref="AE142">Common_InputFunctions.Utility_DisplayArrayInTable(Fertiliser_SourceData.Fertiliser_Products_Data1(),FertiliserProducts[[#Headers],[Include or Exclude]], 0,4)</f>
        <v/>
      </c>
    </row>
    <row r="143" spans="4:31" ht="20.100000000000001" customHeight="1" x14ac:dyDescent="0.25">
      <c r="D143" s="182" t="str" cm="1">
        <f t="array" ref="D143">Common_InputFunctions.Utility_DisplayArrayInTable(Fertiliser_SourceData.Fertiliser_Products_Data1(),FertiliserProducts[[#Headers],[Include or Exclude]], -1)</f>
        <v/>
      </c>
      <c r="E143" s="182" t="str" cm="1">
        <f t="array" ref="E143">Common_InputFunctions.Utility_DisplayArrayInTable(Fertiliser_SourceData.Fertiliser_Products_Data1(),FertiliserProducts[[#Headers],[Include or Exclude]], 0)</f>
        <v/>
      </c>
      <c r="F143" s="182" t="str" cm="1">
        <f t="array" ref="F143">Common_InputFunctions.Utility_DisplayArrayInTable(Fertiliser_SourceData.Fertiliser_Products_Data1(),FertiliserProducts[[#Headers],[Include or Exclude]], 0)</f>
        <v/>
      </c>
      <c r="G143" s="182" t="str" cm="1">
        <f t="array" ref="G143">Common_InputFunctions.Utility_DisplayArrayInTable(Fertiliser_SourceData.Fertiliser_Products_Data1(),FertiliserProducts[[#Headers],[Include or Exclude]], 0)</f>
        <v/>
      </c>
      <c r="H143" s="182" t="str" cm="1">
        <f t="array" ref="H143">Common_InputFunctions.Utility_DisplayArrayInTable(Fertiliser_SourceData.Fertiliser_Products_Data1(),FertiliserProducts[[#Headers],[Include or Exclude]], 0,4)</f>
        <v/>
      </c>
      <c r="I143" s="182" t="str" cm="1">
        <f t="array" ref="I143">Common_InputFunctions.Utility_DisplayArrayInTable(Fertiliser_SourceData.Fertiliser_Products_Data1(),FertiliserProducts[[#Headers],[Include or Exclude]], 0,4)</f>
        <v/>
      </c>
      <c r="J143" s="182" t="str" cm="1">
        <f t="array" ref="J143">Common_InputFunctions.Utility_DisplayArrayInTable(Fertiliser_SourceData.Fertiliser_Products_Data1(),FertiliserProducts[[#Headers],[Include or Exclude]], 0,4)</f>
        <v/>
      </c>
      <c r="K143" s="182" t="str" cm="1">
        <f t="array" ref="K143">Common_InputFunctions.Utility_DisplayArrayInTable(Fertiliser_SourceData.Fertiliser_Products_Data1(),FertiliserProducts[[#Headers],[Include or Exclude]], 0,4)</f>
        <v/>
      </c>
      <c r="L143" s="182" t="str" cm="1">
        <f t="array" ref="L143">Common_InputFunctions.Utility_DisplayArrayInTable(Fertiliser_SourceData.Fertiliser_Products_Data1(),FertiliserProducts[[#Headers],[Include or Exclude]], 0,4)</f>
        <v/>
      </c>
      <c r="M143" s="182" t="str" cm="1">
        <f t="array" ref="M143">Common_InputFunctions.Utility_DisplayArrayInTable(Fertiliser_SourceData.Fertiliser_Products_Data1(),FertiliserProducts[[#Headers],[Include or Exclude]], 0,4)</f>
        <v/>
      </c>
      <c r="N143" s="182" t="str" cm="1">
        <f t="array" ref="N143">Common_InputFunctions.Utility_DisplayArrayInTable(Fertiliser_SourceData.Fertiliser_Products_Data1(),FertiliserProducts[[#Headers],[Include or Exclude]], 0,4)</f>
        <v/>
      </c>
      <c r="O143" s="182" t="str" cm="1">
        <f t="array" ref="O143">Common_InputFunctions.Utility_DisplayArrayInTable(Fertiliser_SourceData.Fertiliser_Products_Data1(),FertiliserProducts[[#Headers],[Include or Exclude]], 0,4)</f>
        <v/>
      </c>
      <c r="P143" s="182" t="str" cm="1">
        <f t="array" ref="P143">Common_InputFunctions.Utility_DisplayArrayInTable(Fertiliser_SourceData.Fertiliser_Products_Data1(),FertiliserProducts[[#Headers],[Include or Exclude]], 0,4)</f>
        <v/>
      </c>
      <c r="Q143" s="182" t="str" cm="1">
        <f t="array" ref="Q143">Common_InputFunctions.Utility_DisplayArrayInTable(Fertiliser_SourceData.Fertiliser_Products_Data1(),FertiliserProducts[[#Headers],[Include or Exclude]], 0,4)</f>
        <v/>
      </c>
      <c r="R143" s="182" t="str" cm="1">
        <f t="array" ref="R143">Common_InputFunctions.Utility_DisplayArrayInTable(Fertiliser_SourceData.Fertiliser_Products_Data1(),FertiliserProducts[[#Headers],[Include or Exclude]], 0,4)</f>
        <v/>
      </c>
      <c r="S143" s="182" t="str" cm="1">
        <f t="array" ref="S143">Common_InputFunctions.Utility_DisplayArrayInTable(Fertiliser_SourceData.Fertiliser_Products_Data1(),FertiliserProducts[[#Headers],[Include or Exclude]], 0,4)</f>
        <v/>
      </c>
      <c r="T143" s="182" t="str" cm="1">
        <f t="array" ref="T143">Common_InputFunctions.Utility_DisplayArrayInTable(Fertiliser_SourceData.Fertiliser_Products_Data1(),FertiliserProducts[[#Headers],[Include or Exclude]], 0,4)</f>
        <v/>
      </c>
      <c r="U143" s="182" t="str" cm="1">
        <f t="array" ref="U143">Common_InputFunctions.Utility_DisplayArrayInTable(Fertiliser_SourceData.Fertiliser_Products_Data1(),FertiliserProducts[[#Headers],[Include or Exclude]], 0,4)</f>
        <v/>
      </c>
      <c r="V143" s="182" t="str" cm="1">
        <f t="array" ref="V143">Common_InputFunctions.Utility_DisplayArrayInTable(Fertiliser_SourceData.Fertiliser_Products_Data1(),FertiliserProducts[[#Headers],[Include or Exclude]], 0,4)</f>
        <v/>
      </c>
      <c r="W143" s="182" t="str" cm="1">
        <f t="array" ref="W143">Common_InputFunctions.Utility_DisplayArrayInTable(Fertiliser_SourceData.Fertiliser_Products_Data1(),FertiliserProducts[[#Headers],[Include or Exclude]], 0,4)</f>
        <v/>
      </c>
      <c r="X143" s="182" t="str" cm="1">
        <f t="array" ref="X143">Common_InputFunctions.Utility_DisplayArrayInTable(Fertiliser_SourceData.Fertiliser_Products_Data1(),FertiliserProducts[[#Headers],[Include or Exclude]], 0,4)</f>
        <v/>
      </c>
      <c r="Y143" s="182" t="str" cm="1">
        <f t="array" ref="Y143">Common_InputFunctions.Utility_DisplayArrayInTable(Fertiliser_SourceData.Fertiliser_Products_Data1(),FertiliserProducts[[#Headers],[Include or Exclude]], 0,4)</f>
        <v/>
      </c>
      <c r="Z143" s="182" t="str" cm="1">
        <f t="array" ref="Z143">Common_InputFunctions.Utility_DisplayArrayInTable(Fertiliser_SourceData.Fertiliser_Products_Data1(),FertiliserProducts[[#Headers],[Include or Exclude]], 0,4)</f>
        <v/>
      </c>
      <c r="AA143" s="182" t="str" cm="1">
        <f t="array" ref="AA143">Common_InputFunctions.Utility_DisplayArrayInTable(Fertiliser_SourceData.Fertiliser_Products_Data1(),FertiliserProducts[[#Headers],[Include or Exclude]], 0,4)</f>
        <v/>
      </c>
      <c r="AB143" s="182" t="str" cm="1">
        <f t="array" ref="AB143">Common_InputFunctions.Utility_DisplayArrayInTable(Fertiliser_SourceData.Fertiliser_Products_Data1(),FertiliserProducts[[#Headers],[Include or Exclude]], 0,4)</f>
        <v/>
      </c>
      <c r="AC143" s="182" t="str" cm="1">
        <f t="array" ref="AC143">Common_InputFunctions.Utility_DisplayArrayInTable(Fertiliser_SourceData.Fertiliser_Products_Data1(),FertiliserProducts[[#Headers],[Include or Exclude]], 0,4)</f>
        <v/>
      </c>
      <c r="AD143" s="182" t="str" cm="1">
        <f t="array" ref="AD143">Common_InputFunctions.Utility_DisplayArrayInTable(Fertiliser_SourceData.Fertiliser_Products_Data1(),FertiliserProducts[[#Headers],[Include or Exclude]], 0,4)</f>
        <v/>
      </c>
      <c r="AE143" s="182" t="str" cm="1">
        <f t="array" ref="AE143">Common_InputFunctions.Utility_DisplayArrayInTable(Fertiliser_SourceData.Fertiliser_Products_Data1(),FertiliserProducts[[#Headers],[Include or Exclude]], 0,4)</f>
        <v/>
      </c>
    </row>
    <row r="144" spans="4:31" ht="20.100000000000001" customHeight="1" x14ac:dyDescent="0.25">
      <c r="D144" s="182" t="str" cm="1">
        <f t="array" ref="D144">Common_InputFunctions.Utility_DisplayArrayInTable(Fertiliser_SourceData.Fertiliser_Products_Data1(),FertiliserProducts[[#Headers],[Include or Exclude]], -1)</f>
        <v/>
      </c>
      <c r="E144" s="182" t="str" cm="1">
        <f t="array" ref="E144">Common_InputFunctions.Utility_DisplayArrayInTable(Fertiliser_SourceData.Fertiliser_Products_Data1(),FertiliserProducts[[#Headers],[Include or Exclude]], 0)</f>
        <v/>
      </c>
      <c r="F144" s="182" t="str" cm="1">
        <f t="array" ref="F144">Common_InputFunctions.Utility_DisplayArrayInTable(Fertiliser_SourceData.Fertiliser_Products_Data1(),FertiliserProducts[[#Headers],[Include or Exclude]], 0)</f>
        <v/>
      </c>
      <c r="G144" s="182" t="str" cm="1">
        <f t="array" ref="G144">Common_InputFunctions.Utility_DisplayArrayInTable(Fertiliser_SourceData.Fertiliser_Products_Data1(),FertiliserProducts[[#Headers],[Include or Exclude]], 0)</f>
        <v/>
      </c>
      <c r="H144" s="182" t="str" cm="1">
        <f t="array" ref="H144">Common_InputFunctions.Utility_DisplayArrayInTable(Fertiliser_SourceData.Fertiliser_Products_Data1(),FertiliserProducts[[#Headers],[Include or Exclude]], 0,4)</f>
        <v/>
      </c>
      <c r="I144" s="182" t="str" cm="1">
        <f t="array" ref="I144">Common_InputFunctions.Utility_DisplayArrayInTable(Fertiliser_SourceData.Fertiliser_Products_Data1(),FertiliserProducts[[#Headers],[Include or Exclude]], 0,4)</f>
        <v/>
      </c>
      <c r="J144" s="182" t="str" cm="1">
        <f t="array" ref="J144">Common_InputFunctions.Utility_DisplayArrayInTable(Fertiliser_SourceData.Fertiliser_Products_Data1(),FertiliserProducts[[#Headers],[Include or Exclude]], 0,4)</f>
        <v/>
      </c>
      <c r="K144" s="182" t="str" cm="1">
        <f t="array" ref="K144">Common_InputFunctions.Utility_DisplayArrayInTable(Fertiliser_SourceData.Fertiliser_Products_Data1(),FertiliserProducts[[#Headers],[Include or Exclude]], 0,4)</f>
        <v/>
      </c>
      <c r="L144" s="182" t="str" cm="1">
        <f t="array" ref="L144">Common_InputFunctions.Utility_DisplayArrayInTable(Fertiliser_SourceData.Fertiliser_Products_Data1(),FertiliserProducts[[#Headers],[Include or Exclude]], 0,4)</f>
        <v/>
      </c>
      <c r="M144" s="182" t="str" cm="1">
        <f t="array" ref="M144">Common_InputFunctions.Utility_DisplayArrayInTable(Fertiliser_SourceData.Fertiliser_Products_Data1(),FertiliserProducts[[#Headers],[Include or Exclude]], 0,4)</f>
        <v/>
      </c>
      <c r="N144" s="182" t="str" cm="1">
        <f t="array" ref="N144">Common_InputFunctions.Utility_DisplayArrayInTable(Fertiliser_SourceData.Fertiliser_Products_Data1(),FertiliserProducts[[#Headers],[Include or Exclude]], 0,4)</f>
        <v/>
      </c>
      <c r="O144" s="182" t="str" cm="1">
        <f t="array" ref="O144">Common_InputFunctions.Utility_DisplayArrayInTable(Fertiliser_SourceData.Fertiliser_Products_Data1(),FertiliserProducts[[#Headers],[Include or Exclude]], 0,4)</f>
        <v/>
      </c>
      <c r="P144" s="182" t="str" cm="1">
        <f t="array" ref="P144">Common_InputFunctions.Utility_DisplayArrayInTable(Fertiliser_SourceData.Fertiliser_Products_Data1(),FertiliserProducts[[#Headers],[Include or Exclude]], 0,4)</f>
        <v/>
      </c>
      <c r="Q144" s="182" t="str" cm="1">
        <f t="array" ref="Q144">Common_InputFunctions.Utility_DisplayArrayInTable(Fertiliser_SourceData.Fertiliser_Products_Data1(),FertiliserProducts[[#Headers],[Include or Exclude]], 0,4)</f>
        <v/>
      </c>
      <c r="R144" s="182" t="str" cm="1">
        <f t="array" ref="R144">Common_InputFunctions.Utility_DisplayArrayInTable(Fertiliser_SourceData.Fertiliser_Products_Data1(),FertiliserProducts[[#Headers],[Include or Exclude]], 0,4)</f>
        <v/>
      </c>
      <c r="S144" s="182" t="str" cm="1">
        <f t="array" ref="S144">Common_InputFunctions.Utility_DisplayArrayInTable(Fertiliser_SourceData.Fertiliser_Products_Data1(),FertiliserProducts[[#Headers],[Include or Exclude]], 0,4)</f>
        <v/>
      </c>
      <c r="T144" s="182" t="str" cm="1">
        <f t="array" ref="T144">Common_InputFunctions.Utility_DisplayArrayInTable(Fertiliser_SourceData.Fertiliser_Products_Data1(),FertiliserProducts[[#Headers],[Include or Exclude]], 0,4)</f>
        <v/>
      </c>
      <c r="U144" s="182" t="str" cm="1">
        <f t="array" ref="U144">Common_InputFunctions.Utility_DisplayArrayInTable(Fertiliser_SourceData.Fertiliser_Products_Data1(),FertiliserProducts[[#Headers],[Include or Exclude]], 0,4)</f>
        <v/>
      </c>
      <c r="V144" s="182" t="str" cm="1">
        <f t="array" ref="V144">Common_InputFunctions.Utility_DisplayArrayInTable(Fertiliser_SourceData.Fertiliser_Products_Data1(),FertiliserProducts[[#Headers],[Include or Exclude]], 0,4)</f>
        <v/>
      </c>
      <c r="W144" s="182" t="str" cm="1">
        <f t="array" ref="W144">Common_InputFunctions.Utility_DisplayArrayInTable(Fertiliser_SourceData.Fertiliser_Products_Data1(),FertiliserProducts[[#Headers],[Include or Exclude]], 0,4)</f>
        <v/>
      </c>
      <c r="X144" s="182" t="str" cm="1">
        <f t="array" ref="X144">Common_InputFunctions.Utility_DisplayArrayInTable(Fertiliser_SourceData.Fertiliser_Products_Data1(),FertiliserProducts[[#Headers],[Include or Exclude]], 0,4)</f>
        <v/>
      </c>
      <c r="Y144" s="182" t="str" cm="1">
        <f t="array" ref="Y144">Common_InputFunctions.Utility_DisplayArrayInTable(Fertiliser_SourceData.Fertiliser_Products_Data1(),FertiliserProducts[[#Headers],[Include or Exclude]], 0,4)</f>
        <v/>
      </c>
      <c r="Z144" s="182" t="str" cm="1">
        <f t="array" ref="Z144">Common_InputFunctions.Utility_DisplayArrayInTable(Fertiliser_SourceData.Fertiliser_Products_Data1(),FertiliserProducts[[#Headers],[Include or Exclude]], 0,4)</f>
        <v/>
      </c>
      <c r="AA144" s="182" t="str" cm="1">
        <f t="array" ref="AA144">Common_InputFunctions.Utility_DisplayArrayInTable(Fertiliser_SourceData.Fertiliser_Products_Data1(),FertiliserProducts[[#Headers],[Include or Exclude]], 0,4)</f>
        <v/>
      </c>
      <c r="AB144" s="182" t="str" cm="1">
        <f t="array" ref="AB144">Common_InputFunctions.Utility_DisplayArrayInTable(Fertiliser_SourceData.Fertiliser_Products_Data1(),FertiliserProducts[[#Headers],[Include or Exclude]], 0,4)</f>
        <v/>
      </c>
      <c r="AC144" s="182" t="str" cm="1">
        <f t="array" ref="AC144">Common_InputFunctions.Utility_DisplayArrayInTable(Fertiliser_SourceData.Fertiliser_Products_Data1(),FertiliserProducts[[#Headers],[Include or Exclude]], 0,4)</f>
        <v/>
      </c>
      <c r="AD144" s="182" t="str" cm="1">
        <f t="array" ref="AD144">Common_InputFunctions.Utility_DisplayArrayInTable(Fertiliser_SourceData.Fertiliser_Products_Data1(),FertiliserProducts[[#Headers],[Include or Exclude]], 0,4)</f>
        <v/>
      </c>
      <c r="AE144" s="182" t="str" cm="1">
        <f t="array" ref="AE144">Common_InputFunctions.Utility_DisplayArrayInTable(Fertiliser_SourceData.Fertiliser_Products_Data1(),FertiliserProducts[[#Headers],[Include or Exclude]], 0,4)</f>
        <v/>
      </c>
    </row>
    <row r="145" spans="4:31" ht="20.100000000000001" customHeight="1" x14ac:dyDescent="0.25">
      <c r="D145" s="182" t="str" cm="1">
        <f t="array" ref="D145">Common_InputFunctions.Utility_DisplayArrayInTable(Fertiliser_SourceData.Fertiliser_Products_Data1(),FertiliserProducts[[#Headers],[Include or Exclude]], -1)</f>
        <v/>
      </c>
      <c r="E145" s="182" t="str" cm="1">
        <f t="array" ref="E145">Common_InputFunctions.Utility_DisplayArrayInTable(Fertiliser_SourceData.Fertiliser_Products_Data1(),FertiliserProducts[[#Headers],[Include or Exclude]], 0)</f>
        <v/>
      </c>
      <c r="F145" s="182" t="str" cm="1">
        <f t="array" ref="F145">Common_InputFunctions.Utility_DisplayArrayInTable(Fertiliser_SourceData.Fertiliser_Products_Data1(),FertiliserProducts[[#Headers],[Include or Exclude]], 0)</f>
        <v/>
      </c>
      <c r="G145" s="182" t="str" cm="1">
        <f t="array" ref="G145">Common_InputFunctions.Utility_DisplayArrayInTable(Fertiliser_SourceData.Fertiliser_Products_Data1(),FertiliserProducts[[#Headers],[Include or Exclude]], 0)</f>
        <v/>
      </c>
      <c r="H145" s="182" t="str" cm="1">
        <f t="array" ref="H145">Common_InputFunctions.Utility_DisplayArrayInTable(Fertiliser_SourceData.Fertiliser_Products_Data1(),FertiliserProducts[[#Headers],[Include or Exclude]], 0,4)</f>
        <v/>
      </c>
      <c r="I145" s="182" t="str" cm="1">
        <f t="array" ref="I145">Common_InputFunctions.Utility_DisplayArrayInTable(Fertiliser_SourceData.Fertiliser_Products_Data1(),FertiliserProducts[[#Headers],[Include or Exclude]], 0,4)</f>
        <v/>
      </c>
      <c r="J145" s="182" t="str" cm="1">
        <f t="array" ref="J145">Common_InputFunctions.Utility_DisplayArrayInTable(Fertiliser_SourceData.Fertiliser_Products_Data1(),FertiliserProducts[[#Headers],[Include or Exclude]], 0,4)</f>
        <v/>
      </c>
      <c r="K145" s="182" t="str" cm="1">
        <f t="array" ref="K145">Common_InputFunctions.Utility_DisplayArrayInTable(Fertiliser_SourceData.Fertiliser_Products_Data1(),FertiliserProducts[[#Headers],[Include or Exclude]], 0,4)</f>
        <v/>
      </c>
      <c r="L145" s="182" t="str" cm="1">
        <f t="array" ref="L145">Common_InputFunctions.Utility_DisplayArrayInTable(Fertiliser_SourceData.Fertiliser_Products_Data1(),FertiliserProducts[[#Headers],[Include or Exclude]], 0,4)</f>
        <v/>
      </c>
      <c r="M145" s="182" t="str" cm="1">
        <f t="array" ref="M145">Common_InputFunctions.Utility_DisplayArrayInTable(Fertiliser_SourceData.Fertiliser_Products_Data1(),FertiliserProducts[[#Headers],[Include or Exclude]], 0,4)</f>
        <v/>
      </c>
      <c r="N145" s="182" t="str" cm="1">
        <f t="array" ref="N145">Common_InputFunctions.Utility_DisplayArrayInTable(Fertiliser_SourceData.Fertiliser_Products_Data1(),FertiliserProducts[[#Headers],[Include or Exclude]], 0,4)</f>
        <v/>
      </c>
      <c r="O145" s="182" t="str" cm="1">
        <f t="array" ref="O145">Common_InputFunctions.Utility_DisplayArrayInTable(Fertiliser_SourceData.Fertiliser_Products_Data1(),FertiliserProducts[[#Headers],[Include or Exclude]], 0,4)</f>
        <v/>
      </c>
      <c r="P145" s="182" t="str" cm="1">
        <f t="array" ref="P145">Common_InputFunctions.Utility_DisplayArrayInTable(Fertiliser_SourceData.Fertiliser_Products_Data1(),FertiliserProducts[[#Headers],[Include or Exclude]], 0,4)</f>
        <v/>
      </c>
      <c r="Q145" s="182" t="str" cm="1">
        <f t="array" ref="Q145">Common_InputFunctions.Utility_DisplayArrayInTable(Fertiliser_SourceData.Fertiliser_Products_Data1(),FertiliserProducts[[#Headers],[Include or Exclude]], 0,4)</f>
        <v/>
      </c>
      <c r="R145" s="182" t="str" cm="1">
        <f t="array" ref="R145">Common_InputFunctions.Utility_DisplayArrayInTable(Fertiliser_SourceData.Fertiliser_Products_Data1(),FertiliserProducts[[#Headers],[Include or Exclude]], 0,4)</f>
        <v/>
      </c>
      <c r="S145" s="182" t="str" cm="1">
        <f t="array" ref="S145">Common_InputFunctions.Utility_DisplayArrayInTable(Fertiliser_SourceData.Fertiliser_Products_Data1(),FertiliserProducts[[#Headers],[Include or Exclude]], 0,4)</f>
        <v/>
      </c>
      <c r="T145" s="182" t="str" cm="1">
        <f t="array" ref="T145">Common_InputFunctions.Utility_DisplayArrayInTable(Fertiliser_SourceData.Fertiliser_Products_Data1(),FertiliserProducts[[#Headers],[Include or Exclude]], 0,4)</f>
        <v/>
      </c>
      <c r="U145" s="182" t="str" cm="1">
        <f t="array" ref="U145">Common_InputFunctions.Utility_DisplayArrayInTable(Fertiliser_SourceData.Fertiliser_Products_Data1(),FertiliserProducts[[#Headers],[Include or Exclude]], 0,4)</f>
        <v/>
      </c>
      <c r="V145" s="182" t="str" cm="1">
        <f t="array" ref="V145">Common_InputFunctions.Utility_DisplayArrayInTable(Fertiliser_SourceData.Fertiliser_Products_Data1(),FertiliserProducts[[#Headers],[Include or Exclude]], 0,4)</f>
        <v/>
      </c>
      <c r="W145" s="182" t="str" cm="1">
        <f t="array" ref="W145">Common_InputFunctions.Utility_DisplayArrayInTable(Fertiliser_SourceData.Fertiliser_Products_Data1(),FertiliserProducts[[#Headers],[Include or Exclude]], 0,4)</f>
        <v/>
      </c>
      <c r="X145" s="182" t="str" cm="1">
        <f t="array" ref="X145">Common_InputFunctions.Utility_DisplayArrayInTable(Fertiliser_SourceData.Fertiliser_Products_Data1(),FertiliserProducts[[#Headers],[Include or Exclude]], 0,4)</f>
        <v/>
      </c>
      <c r="Y145" s="182" t="str" cm="1">
        <f t="array" ref="Y145">Common_InputFunctions.Utility_DisplayArrayInTable(Fertiliser_SourceData.Fertiliser_Products_Data1(),FertiliserProducts[[#Headers],[Include or Exclude]], 0,4)</f>
        <v/>
      </c>
      <c r="Z145" s="182" t="str" cm="1">
        <f t="array" ref="Z145">Common_InputFunctions.Utility_DisplayArrayInTable(Fertiliser_SourceData.Fertiliser_Products_Data1(),FertiliserProducts[[#Headers],[Include or Exclude]], 0,4)</f>
        <v/>
      </c>
      <c r="AA145" s="182" t="str" cm="1">
        <f t="array" ref="AA145">Common_InputFunctions.Utility_DisplayArrayInTable(Fertiliser_SourceData.Fertiliser_Products_Data1(),FertiliserProducts[[#Headers],[Include or Exclude]], 0,4)</f>
        <v/>
      </c>
      <c r="AB145" s="182" t="str" cm="1">
        <f t="array" ref="AB145">Common_InputFunctions.Utility_DisplayArrayInTable(Fertiliser_SourceData.Fertiliser_Products_Data1(),FertiliserProducts[[#Headers],[Include or Exclude]], 0,4)</f>
        <v/>
      </c>
      <c r="AC145" s="182" t="str" cm="1">
        <f t="array" ref="AC145">Common_InputFunctions.Utility_DisplayArrayInTable(Fertiliser_SourceData.Fertiliser_Products_Data1(),FertiliserProducts[[#Headers],[Include or Exclude]], 0,4)</f>
        <v/>
      </c>
      <c r="AD145" s="182" t="str" cm="1">
        <f t="array" ref="AD145">Common_InputFunctions.Utility_DisplayArrayInTable(Fertiliser_SourceData.Fertiliser_Products_Data1(),FertiliserProducts[[#Headers],[Include or Exclude]], 0,4)</f>
        <v/>
      </c>
      <c r="AE145" s="182" t="str" cm="1">
        <f t="array" ref="AE145">Common_InputFunctions.Utility_DisplayArrayInTable(Fertiliser_SourceData.Fertiliser_Products_Data1(),FertiliserProducts[[#Headers],[Include or Exclude]], 0,4)</f>
        <v/>
      </c>
    </row>
    <row r="146" spans="4:31" ht="20.100000000000001" customHeight="1" x14ac:dyDescent="0.25">
      <c r="D146" s="182" t="str" cm="1">
        <f t="array" ref="D146">Common_InputFunctions.Utility_DisplayArrayInTable(Fertiliser_SourceData.Fertiliser_Products_Data1(),FertiliserProducts[[#Headers],[Include or Exclude]], -1)</f>
        <v/>
      </c>
      <c r="E146" s="182" t="str" cm="1">
        <f t="array" ref="E146">Common_InputFunctions.Utility_DisplayArrayInTable(Fertiliser_SourceData.Fertiliser_Products_Data1(),FertiliserProducts[[#Headers],[Include or Exclude]], 0)</f>
        <v/>
      </c>
      <c r="F146" s="182" t="str" cm="1">
        <f t="array" ref="F146">Common_InputFunctions.Utility_DisplayArrayInTable(Fertiliser_SourceData.Fertiliser_Products_Data1(),FertiliserProducts[[#Headers],[Include or Exclude]], 0)</f>
        <v/>
      </c>
      <c r="G146" s="182" t="str" cm="1">
        <f t="array" ref="G146">Common_InputFunctions.Utility_DisplayArrayInTable(Fertiliser_SourceData.Fertiliser_Products_Data1(),FertiliserProducts[[#Headers],[Include or Exclude]], 0)</f>
        <v/>
      </c>
      <c r="H146" s="182" t="str" cm="1">
        <f t="array" ref="H146">Common_InputFunctions.Utility_DisplayArrayInTable(Fertiliser_SourceData.Fertiliser_Products_Data1(),FertiliserProducts[[#Headers],[Include or Exclude]], 0,4)</f>
        <v/>
      </c>
      <c r="I146" s="182" t="str" cm="1">
        <f t="array" ref="I146">Common_InputFunctions.Utility_DisplayArrayInTable(Fertiliser_SourceData.Fertiliser_Products_Data1(),FertiliserProducts[[#Headers],[Include or Exclude]], 0,4)</f>
        <v/>
      </c>
      <c r="J146" s="182" t="str" cm="1">
        <f t="array" ref="J146">Common_InputFunctions.Utility_DisplayArrayInTable(Fertiliser_SourceData.Fertiliser_Products_Data1(),FertiliserProducts[[#Headers],[Include or Exclude]], 0,4)</f>
        <v/>
      </c>
      <c r="K146" s="182" t="str" cm="1">
        <f t="array" ref="K146">Common_InputFunctions.Utility_DisplayArrayInTable(Fertiliser_SourceData.Fertiliser_Products_Data1(),FertiliserProducts[[#Headers],[Include or Exclude]], 0,4)</f>
        <v/>
      </c>
      <c r="L146" s="182" t="str" cm="1">
        <f t="array" ref="L146">Common_InputFunctions.Utility_DisplayArrayInTable(Fertiliser_SourceData.Fertiliser_Products_Data1(),FertiliserProducts[[#Headers],[Include or Exclude]], 0,4)</f>
        <v/>
      </c>
      <c r="M146" s="182" t="str" cm="1">
        <f t="array" ref="M146">Common_InputFunctions.Utility_DisplayArrayInTable(Fertiliser_SourceData.Fertiliser_Products_Data1(),FertiliserProducts[[#Headers],[Include or Exclude]], 0,4)</f>
        <v/>
      </c>
      <c r="N146" s="182" t="str" cm="1">
        <f t="array" ref="N146">Common_InputFunctions.Utility_DisplayArrayInTable(Fertiliser_SourceData.Fertiliser_Products_Data1(),FertiliserProducts[[#Headers],[Include or Exclude]], 0,4)</f>
        <v/>
      </c>
      <c r="O146" s="182" t="str" cm="1">
        <f t="array" ref="O146">Common_InputFunctions.Utility_DisplayArrayInTable(Fertiliser_SourceData.Fertiliser_Products_Data1(),FertiliserProducts[[#Headers],[Include or Exclude]], 0,4)</f>
        <v/>
      </c>
      <c r="P146" s="182" t="str" cm="1">
        <f t="array" ref="P146">Common_InputFunctions.Utility_DisplayArrayInTable(Fertiliser_SourceData.Fertiliser_Products_Data1(),FertiliserProducts[[#Headers],[Include or Exclude]], 0,4)</f>
        <v/>
      </c>
      <c r="Q146" s="182" t="str" cm="1">
        <f t="array" ref="Q146">Common_InputFunctions.Utility_DisplayArrayInTable(Fertiliser_SourceData.Fertiliser_Products_Data1(),FertiliserProducts[[#Headers],[Include or Exclude]], 0,4)</f>
        <v/>
      </c>
      <c r="R146" s="182" t="str" cm="1">
        <f t="array" ref="R146">Common_InputFunctions.Utility_DisplayArrayInTable(Fertiliser_SourceData.Fertiliser_Products_Data1(),FertiliserProducts[[#Headers],[Include or Exclude]], 0,4)</f>
        <v/>
      </c>
      <c r="S146" s="182" t="str" cm="1">
        <f t="array" ref="S146">Common_InputFunctions.Utility_DisplayArrayInTable(Fertiliser_SourceData.Fertiliser_Products_Data1(),FertiliserProducts[[#Headers],[Include or Exclude]], 0,4)</f>
        <v/>
      </c>
      <c r="T146" s="182" t="str" cm="1">
        <f t="array" ref="T146">Common_InputFunctions.Utility_DisplayArrayInTable(Fertiliser_SourceData.Fertiliser_Products_Data1(),FertiliserProducts[[#Headers],[Include or Exclude]], 0,4)</f>
        <v/>
      </c>
      <c r="U146" s="182" t="str" cm="1">
        <f t="array" ref="U146">Common_InputFunctions.Utility_DisplayArrayInTable(Fertiliser_SourceData.Fertiliser_Products_Data1(),FertiliserProducts[[#Headers],[Include or Exclude]], 0,4)</f>
        <v/>
      </c>
      <c r="V146" s="182" t="str" cm="1">
        <f t="array" ref="V146">Common_InputFunctions.Utility_DisplayArrayInTable(Fertiliser_SourceData.Fertiliser_Products_Data1(),FertiliserProducts[[#Headers],[Include or Exclude]], 0,4)</f>
        <v/>
      </c>
      <c r="W146" s="182" t="str" cm="1">
        <f t="array" ref="W146">Common_InputFunctions.Utility_DisplayArrayInTable(Fertiliser_SourceData.Fertiliser_Products_Data1(),FertiliserProducts[[#Headers],[Include or Exclude]], 0,4)</f>
        <v/>
      </c>
      <c r="X146" s="182" t="str" cm="1">
        <f t="array" ref="X146">Common_InputFunctions.Utility_DisplayArrayInTable(Fertiliser_SourceData.Fertiliser_Products_Data1(),FertiliserProducts[[#Headers],[Include or Exclude]], 0,4)</f>
        <v/>
      </c>
      <c r="Y146" s="182" t="str" cm="1">
        <f t="array" ref="Y146">Common_InputFunctions.Utility_DisplayArrayInTable(Fertiliser_SourceData.Fertiliser_Products_Data1(),FertiliserProducts[[#Headers],[Include or Exclude]], 0,4)</f>
        <v/>
      </c>
      <c r="Z146" s="182" t="str" cm="1">
        <f t="array" ref="Z146">Common_InputFunctions.Utility_DisplayArrayInTable(Fertiliser_SourceData.Fertiliser_Products_Data1(),FertiliserProducts[[#Headers],[Include or Exclude]], 0,4)</f>
        <v/>
      </c>
      <c r="AA146" s="182" t="str" cm="1">
        <f t="array" ref="AA146">Common_InputFunctions.Utility_DisplayArrayInTable(Fertiliser_SourceData.Fertiliser_Products_Data1(),FertiliserProducts[[#Headers],[Include or Exclude]], 0,4)</f>
        <v/>
      </c>
      <c r="AB146" s="182" t="str" cm="1">
        <f t="array" ref="AB146">Common_InputFunctions.Utility_DisplayArrayInTable(Fertiliser_SourceData.Fertiliser_Products_Data1(),FertiliserProducts[[#Headers],[Include or Exclude]], 0,4)</f>
        <v/>
      </c>
      <c r="AC146" s="182" t="str" cm="1">
        <f t="array" ref="AC146">Common_InputFunctions.Utility_DisplayArrayInTable(Fertiliser_SourceData.Fertiliser_Products_Data1(),FertiliserProducts[[#Headers],[Include or Exclude]], 0,4)</f>
        <v/>
      </c>
      <c r="AD146" s="182" t="str" cm="1">
        <f t="array" ref="AD146">Common_InputFunctions.Utility_DisplayArrayInTable(Fertiliser_SourceData.Fertiliser_Products_Data1(),FertiliserProducts[[#Headers],[Include or Exclude]], 0,4)</f>
        <v/>
      </c>
      <c r="AE146" s="182" t="str" cm="1">
        <f t="array" ref="AE146">Common_InputFunctions.Utility_DisplayArrayInTable(Fertiliser_SourceData.Fertiliser_Products_Data1(),FertiliserProducts[[#Headers],[Include or Exclude]], 0,4)</f>
        <v/>
      </c>
    </row>
    <row r="147" spans="4:31" ht="20.100000000000001" customHeight="1" x14ac:dyDescent="0.25">
      <c r="D147" s="182" t="str" cm="1">
        <f t="array" ref="D147">Common_InputFunctions.Utility_DisplayArrayInTable(Fertiliser_SourceData.Fertiliser_Products_Data1(),FertiliserProducts[[#Headers],[Include or Exclude]], -1)</f>
        <v/>
      </c>
      <c r="E147" s="182" t="str" cm="1">
        <f t="array" ref="E147">Common_InputFunctions.Utility_DisplayArrayInTable(Fertiliser_SourceData.Fertiliser_Products_Data1(),FertiliserProducts[[#Headers],[Include or Exclude]], 0)</f>
        <v/>
      </c>
      <c r="F147" s="182" t="str" cm="1">
        <f t="array" ref="F147">Common_InputFunctions.Utility_DisplayArrayInTable(Fertiliser_SourceData.Fertiliser_Products_Data1(),FertiliserProducts[[#Headers],[Include or Exclude]], 0)</f>
        <v/>
      </c>
      <c r="G147" s="182" t="str" cm="1">
        <f t="array" ref="G147">Common_InputFunctions.Utility_DisplayArrayInTable(Fertiliser_SourceData.Fertiliser_Products_Data1(),FertiliserProducts[[#Headers],[Include or Exclude]], 0)</f>
        <v/>
      </c>
      <c r="H147" s="182" t="str" cm="1">
        <f t="array" ref="H147">Common_InputFunctions.Utility_DisplayArrayInTable(Fertiliser_SourceData.Fertiliser_Products_Data1(),FertiliserProducts[[#Headers],[Include or Exclude]], 0,4)</f>
        <v/>
      </c>
      <c r="I147" s="182" t="str" cm="1">
        <f t="array" ref="I147">Common_InputFunctions.Utility_DisplayArrayInTable(Fertiliser_SourceData.Fertiliser_Products_Data1(),FertiliserProducts[[#Headers],[Include or Exclude]], 0,4)</f>
        <v/>
      </c>
      <c r="J147" s="182" t="str" cm="1">
        <f t="array" ref="J147">Common_InputFunctions.Utility_DisplayArrayInTable(Fertiliser_SourceData.Fertiliser_Products_Data1(),FertiliserProducts[[#Headers],[Include or Exclude]], 0,4)</f>
        <v/>
      </c>
      <c r="K147" s="182" t="str" cm="1">
        <f t="array" ref="K147">Common_InputFunctions.Utility_DisplayArrayInTable(Fertiliser_SourceData.Fertiliser_Products_Data1(),FertiliserProducts[[#Headers],[Include or Exclude]], 0,4)</f>
        <v/>
      </c>
      <c r="L147" s="182" t="str" cm="1">
        <f t="array" ref="L147">Common_InputFunctions.Utility_DisplayArrayInTable(Fertiliser_SourceData.Fertiliser_Products_Data1(),FertiliserProducts[[#Headers],[Include or Exclude]], 0,4)</f>
        <v/>
      </c>
      <c r="M147" s="182" t="str" cm="1">
        <f t="array" ref="M147">Common_InputFunctions.Utility_DisplayArrayInTable(Fertiliser_SourceData.Fertiliser_Products_Data1(),FertiliserProducts[[#Headers],[Include or Exclude]], 0,4)</f>
        <v/>
      </c>
      <c r="N147" s="182" t="str" cm="1">
        <f t="array" ref="N147">Common_InputFunctions.Utility_DisplayArrayInTable(Fertiliser_SourceData.Fertiliser_Products_Data1(),FertiliserProducts[[#Headers],[Include or Exclude]], 0,4)</f>
        <v/>
      </c>
      <c r="O147" s="182" t="str" cm="1">
        <f t="array" ref="O147">Common_InputFunctions.Utility_DisplayArrayInTable(Fertiliser_SourceData.Fertiliser_Products_Data1(),FertiliserProducts[[#Headers],[Include or Exclude]], 0,4)</f>
        <v/>
      </c>
      <c r="P147" s="182" t="str" cm="1">
        <f t="array" ref="P147">Common_InputFunctions.Utility_DisplayArrayInTable(Fertiliser_SourceData.Fertiliser_Products_Data1(),FertiliserProducts[[#Headers],[Include or Exclude]], 0,4)</f>
        <v/>
      </c>
      <c r="Q147" s="182" t="str" cm="1">
        <f t="array" ref="Q147">Common_InputFunctions.Utility_DisplayArrayInTable(Fertiliser_SourceData.Fertiliser_Products_Data1(),FertiliserProducts[[#Headers],[Include or Exclude]], 0,4)</f>
        <v/>
      </c>
      <c r="R147" s="182" t="str" cm="1">
        <f t="array" ref="R147">Common_InputFunctions.Utility_DisplayArrayInTable(Fertiliser_SourceData.Fertiliser_Products_Data1(),FertiliserProducts[[#Headers],[Include or Exclude]], 0,4)</f>
        <v/>
      </c>
      <c r="S147" s="182" t="str" cm="1">
        <f t="array" ref="S147">Common_InputFunctions.Utility_DisplayArrayInTable(Fertiliser_SourceData.Fertiliser_Products_Data1(),FertiliserProducts[[#Headers],[Include or Exclude]], 0,4)</f>
        <v/>
      </c>
      <c r="T147" s="182" t="str" cm="1">
        <f t="array" ref="T147">Common_InputFunctions.Utility_DisplayArrayInTable(Fertiliser_SourceData.Fertiliser_Products_Data1(),FertiliserProducts[[#Headers],[Include or Exclude]], 0,4)</f>
        <v/>
      </c>
      <c r="U147" s="182" t="str" cm="1">
        <f t="array" ref="U147">Common_InputFunctions.Utility_DisplayArrayInTable(Fertiliser_SourceData.Fertiliser_Products_Data1(),FertiliserProducts[[#Headers],[Include or Exclude]], 0,4)</f>
        <v/>
      </c>
      <c r="V147" s="182" t="str" cm="1">
        <f t="array" ref="V147">Common_InputFunctions.Utility_DisplayArrayInTable(Fertiliser_SourceData.Fertiliser_Products_Data1(),FertiliserProducts[[#Headers],[Include or Exclude]], 0,4)</f>
        <v/>
      </c>
      <c r="W147" s="182" t="str" cm="1">
        <f t="array" ref="W147">Common_InputFunctions.Utility_DisplayArrayInTable(Fertiliser_SourceData.Fertiliser_Products_Data1(),FertiliserProducts[[#Headers],[Include or Exclude]], 0,4)</f>
        <v/>
      </c>
      <c r="X147" s="182" t="str" cm="1">
        <f t="array" ref="X147">Common_InputFunctions.Utility_DisplayArrayInTable(Fertiliser_SourceData.Fertiliser_Products_Data1(),FertiliserProducts[[#Headers],[Include or Exclude]], 0,4)</f>
        <v/>
      </c>
      <c r="Y147" s="182" t="str" cm="1">
        <f t="array" ref="Y147">Common_InputFunctions.Utility_DisplayArrayInTable(Fertiliser_SourceData.Fertiliser_Products_Data1(),FertiliserProducts[[#Headers],[Include or Exclude]], 0,4)</f>
        <v/>
      </c>
      <c r="Z147" s="182" t="str" cm="1">
        <f t="array" ref="Z147">Common_InputFunctions.Utility_DisplayArrayInTable(Fertiliser_SourceData.Fertiliser_Products_Data1(),FertiliserProducts[[#Headers],[Include or Exclude]], 0,4)</f>
        <v/>
      </c>
      <c r="AA147" s="182" t="str" cm="1">
        <f t="array" ref="AA147">Common_InputFunctions.Utility_DisplayArrayInTable(Fertiliser_SourceData.Fertiliser_Products_Data1(),FertiliserProducts[[#Headers],[Include or Exclude]], 0,4)</f>
        <v/>
      </c>
      <c r="AB147" s="182" t="str" cm="1">
        <f t="array" ref="AB147">Common_InputFunctions.Utility_DisplayArrayInTable(Fertiliser_SourceData.Fertiliser_Products_Data1(),FertiliserProducts[[#Headers],[Include or Exclude]], 0,4)</f>
        <v/>
      </c>
      <c r="AC147" s="182" t="str" cm="1">
        <f t="array" ref="AC147">Common_InputFunctions.Utility_DisplayArrayInTable(Fertiliser_SourceData.Fertiliser_Products_Data1(),FertiliserProducts[[#Headers],[Include or Exclude]], 0,4)</f>
        <v/>
      </c>
      <c r="AD147" s="182" t="str" cm="1">
        <f t="array" ref="AD147">Common_InputFunctions.Utility_DisplayArrayInTable(Fertiliser_SourceData.Fertiliser_Products_Data1(),FertiliserProducts[[#Headers],[Include or Exclude]], 0,4)</f>
        <v/>
      </c>
      <c r="AE147" s="182" t="str" cm="1">
        <f t="array" ref="AE147">Common_InputFunctions.Utility_DisplayArrayInTable(Fertiliser_SourceData.Fertiliser_Products_Data1(),FertiliserProducts[[#Headers],[Include or Exclude]], 0,4)</f>
        <v/>
      </c>
    </row>
    <row r="148" spans="4:31" ht="20.100000000000001" customHeight="1" x14ac:dyDescent="0.25">
      <c r="D148" s="182" t="str" cm="1">
        <f t="array" ref="D148">Common_InputFunctions.Utility_DisplayArrayInTable(Fertiliser_SourceData.Fertiliser_Products_Data1(),FertiliserProducts[[#Headers],[Include or Exclude]], -1)</f>
        <v/>
      </c>
      <c r="E148" s="182" t="str" cm="1">
        <f t="array" ref="E148">Common_InputFunctions.Utility_DisplayArrayInTable(Fertiliser_SourceData.Fertiliser_Products_Data1(),FertiliserProducts[[#Headers],[Include or Exclude]], 0)</f>
        <v/>
      </c>
      <c r="F148" s="182" t="str" cm="1">
        <f t="array" ref="F148">Common_InputFunctions.Utility_DisplayArrayInTable(Fertiliser_SourceData.Fertiliser_Products_Data1(),FertiliserProducts[[#Headers],[Include or Exclude]], 0)</f>
        <v/>
      </c>
      <c r="G148" s="182" t="str" cm="1">
        <f t="array" ref="G148">Common_InputFunctions.Utility_DisplayArrayInTable(Fertiliser_SourceData.Fertiliser_Products_Data1(),FertiliserProducts[[#Headers],[Include or Exclude]], 0)</f>
        <v/>
      </c>
      <c r="H148" s="182" t="str" cm="1">
        <f t="array" ref="H148">Common_InputFunctions.Utility_DisplayArrayInTable(Fertiliser_SourceData.Fertiliser_Products_Data1(),FertiliserProducts[[#Headers],[Include or Exclude]], 0,4)</f>
        <v/>
      </c>
      <c r="I148" s="182" t="str" cm="1">
        <f t="array" ref="I148">Common_InputFunctions.Utility_DisplayArrayInTable(Fertiliser_SourceData.Fertiliser_Products_Data1(),FertiliserProducts[[#Headers],[Include or Exclude]], 0,4)</f>
        <v/>
      </c>
      <c r="J148" s="182" t="str" cm="1">
        <f t="array" ref="J148">Common_InputFunctions.Utility_DisplayArrayInTable(Fertiliser_SourceData.Fertiliser_Products_Data1(),FertiliserProducts[[#Headers],[Include or Exclude]], 0,4)</f>
        <v/>
      </c>
      <c r="K148" s="182" t="str" cm="1">
        <f t="array" ref="K148">Common_InputFunctions.Utility_DisplayArrayInTable(Fertiliser_SourceData.Fertiliser_Products_Data1(),FertiliserProducts[[#Headers],[Include or Exclude]], 0,4)</f>
        <v/>
      </c>
      <c r="L148" s="182" t="str" cm="1">
        <f t="array" ref="L148">Common_InputFunctions.Utility_DisplayArrayInTable(Fertiliser_SourceData.Fertiliser_Products_Data1(),FertiliserProducts[[#Headers],[Include or Exclude]], 0,4)</f>
        <v/>
      </c>
      <c r="M148" s="182" t="str" cm="1">
        <f t="array" ref="M148">Common_InputFunctions.Utility_DisplayArrayInTable(Fertiliser_SourceData.Fertiliser_Products_Data1(),FertiliserProducts[[#Headers],[Include or Exclude]], 0,4)</f>
        <v/>
      </c>
      <c r="N148" s="182" t="str" cm="1">
        <f t="array" ref="N148">Common_InputFunctions.Utility_DisplayArrayInTable(Fertiliser_SourceData.Fertiliser_Products_Data1(),FertiliserProducts[[#Headers],[Include or Exclude]], 0,4)</f>
        <v/>
      </c>
      <c r="O148" s="182" t="str" cm="1">
        <f t="array" ref="O148">Common_InputFunctions.Utility_DisplayArrayInTable(Fertiliser_SourceData.Fertiliser_Products_Data1(),FertiliserProducts[[#Headers],[Include or Exclude]], 0,4)</f>
        <v/>
      </c>
      <c r="P148" s="182" t="str" cm="1">
        <f t="array" ref="P148">Common_InputFunctions.Utility_DisplayArrayInTable(Fertiliser_SourceData.Fertiliser_Products_Data1(),FertiliserProducts[[#Headers],[Include or Exclude]], 0,4)</f>
        <v/>
      </c>
      <c r="Q148" s="182" t="str" cm="1">
        <f t="array" ref="Q148">Common_InputFunctions.Utility_DisplayArrayInTable(Fertiliser_SourceData.Fertiliser_Products_Data1(),FertiliserProducts[[#Headers],[Include or Exclude]], 0,4)</f>
        <v/>
      </c>
      <c r="R148" s="182" t="str" cm="1">
        <f t="array" ref="R148">Common_InputFunctions.Utility_DisplayArrayInTable(Fertiliser_SourceData.Fertiliser_Products_Data1(),FertiliserProducts[[#Headers],[Include or Exclude]], 0,4)</f>
        <v/>
      </c>
      <c r="S148" s="182" t="str" cm="1">
        <f t="array" ref="S148">Common_InputFunctions.Utility_DisplayArrayInTable(Fertiliser_SourceData.Fertiliser_Products_Data1(),FertiliserProducts[[#Headers],[Include or Exclude]], 0,4)</f>
        <v/>
      </c>
      <c r="T148" s="182" t="str" cm="1">
        <f t="array" ref="T148">Common_InputFunctions.Utility_DisplayArrayInTable(Fertiliser_SourceData.Fertiliser_Products_Data1(),FertiliserProducts[[#Headers],[Include or Exclude]], 0,4)</f>
        <v/>
      </c>
      <c r="U148" s="182" t="str" cm="1">
        <f t="array" ref="U148">Common_InputFunctions.Utility_DisplayArrayInTable(Fertiliser_SourceData.Fertiliser_Products_Data1(),FertiliserProducts[[#Headers],[Include or Exclude]], 0,4)</f>
        <v/>
      </c>
      <c r="V148" s="182" t="str" cm="1">
        <f t="array" ref="V148">Common_InputFunctions.Utility_DisplayArrayInTable(Fertiliser_SourceData.Fertiliser_Products_Data1(),FertiliserProducts[[#Headers],[Include or Exclude]], 0,4)</f>
        <v/>
      </c>
      <c r="W148" s="182" t="str" cm="1">
        <f t="array" ref="W148">Common_InputFunctions.Utility_DisplayArrayInTable(Fertiliser_SourceData.Fertiliser_Products_Data1(),FertiliserProducts[[#Headers],[Include or Exclude]], 0,4)</f>
        <v/>
      </c>
      <c r="X148" s="182" t="str" cm="1">
        <f t="array" ref="X148">Common_InputFunctions.Utility_DisplayArrayInTable(Fertiliser_SourceData.Fertiliser_Products_Data1(),FertiliserProducts[[#Headers],[Include or Exclude]], 0,4)</f>
        <v/>
      </c>
      <c r="Y148" s="182" t="str" cm="1">
        <f t="array" ref="Y148">Common_InputFunctions.Utility_DisplayArrayInTable(Fertiliser_SourceData.Fertiliser_Products_Data1(),FertiliserProducts[[#Headers],[Include or Exclude]], 0,4)</f>
        <v/>
      </c>
      <c r="Z148" s="182" t="str" cm="1">
        <f t="array" ref="Z148">Common_InputFunctions.Utility_DisplayArrayInTable(Fertiliser_SourceData.Fertiliser_Products_Data1(),FertiliserProducts[[#Headers],[Include or Exclude]], 0,4)</f>
        <v/>
      </c>
      <c r="AA148" s="182" t="str" cm="1">
        <f t="array" ref="AA148">Common_InputFunctions.Utility_DisplayArrayInTable(Fertiliser_SourceData.Fertiliser_Products_Data1(),FertiliserProducts[[#Headers],[Include or Exclude]], 0,4)</f>
        <v/>
      </c>
      <c r="AB148" s="182" t="str" cm="1">
        <f t="array" ref="AB148">Common_InputFunctions.Utility_DisplayArrayInTable(Fertiliser_SourceData.Fertiliser_Products_Data1(),FertiliserProducts[[#Headers],[Include or Exclude]], 0,4)</f>
        <v/>
      </c>
      <c r="AC148" s="182" t="str" cm="1">
        <f t="array" ref="AC148">Common_InputFunctions.Utility_DisplayArrayInTable(Fertiliser_SourceData.Fertiliser_Products_Data1(),FertiliserProducts[[#Headers],[Include or Exclude]], 0,4)</f>
        <v/>
      </c>
      <c r="AD148" s="182" t="str" cm="1">
        <f t="array" ref="AD148">Common_InputFunctions.Utility_DisplayArrayInTable(Fertiliser_SourceData.Fertiliser_Products_Data1(),FertiliserProducts[[#Headers],[Include or Exclude]], 0,4)</f>
        <v/>
      </c>
      <c r="AE148" s="182" t="str" cm="1">
        <f t="array" ref="AE148">Common_InputFunctions.Utility_DisplayArrayInTable(Fertiliser_SourceData.Fertiliser_Products_Data1(),FertiliserProducts[[#Headers],[Include or Exclude]], 0,4)</f>
        <v/>
      </c>
    </row>
    <row r="149" spans="4:31" ht="20.100000000000001" customHeight="1" x14ac:dyDescent="0.25">
      <c r="D149" s="182" t="str" cm="1">
        <f t="array" ref="D149">Common_InputFunctions.Utility_DisplayArrayInTable(Fertiliser_SourceData.Fertiliser_Products_Data1(),FertiliserProducts[[#Headers],[Include or Exclude]], -1)</f>
        <v/>
      </c>
      <c r="E149" s="182" t="str" cm="1">
        <f t="array" ref="E149">Common_InputFunctions.Utility_DisplayArrayInTable(Fertiliser_SourceData.Fertiliser_Products_Data1(),FertiliserProducts[[#Headers],[Include or Exclude]], 0)</f>
        <v/>
      </c>
      <c r="F149" s="182" t="str" cm="1">
        <f t="array" ref="F149">Common_InputFunctions.Utility_DisplayArrayInTable(Fertiliser_SourceData.Fertiliser_Products_Data1(),FertiliserProducts[[#Headers],[Include or Exclude]], 0)</f>
        <v/>
      </c>
      <c r="G149" s="182" t="str" cm="1">
        <f t="array" ref="G149">Common_InputFunctions.Utility_DisplayArrayInTable(Fertiliser_SourceData.Fertiliser_Products_Data1(),FertiliserProducts[[#Headers],[Include or Exclude]], 0)</f>
        <v/>
      </c>
      <c r="H149" s="182" t="str" cm="1">
        <f t="array" ref="H149">Common_InputFunctions.Utility_DisplayArrayInTable(Fertiliser_SourceData.Fertiliser_Products_Data1(),FertiliserProducts[[#Headers],[Include or Exclude]], 0,4)</f>
        <v/>
      </c>
      <c r="I149" s="182" t="str" cm="1">
        <f t="array" ref="I149">Common_InputFunctions.Utility_DisplayArrayInTable(Fertiliser_SourceData.Fertiliser_Products_Data1(),FertiliserProducts[[#Headers],[Include or Exclude]], 0,4)</f>
        <v/>
      </c>
      <c r="J149" s="182" t="str" cm="1">
        <f t="array" ref="J149">Common_InputFunctions.Utility_DisplayArrayInTable(Fertiliser_SourceData.Fertiliser_Products_Data1(),FertiliserProducts[[#Headers],[Include or Exclude]], 0,4)</f>
        <v/>
      </c>
      <c r="K149" s="182" t="str" cm="1">
        <f t="array" ref="K149">Common_InputFunctions.Utility_DisplayArrayInTable(Fertiliser_SourceData.Fertiliser_Products_Data1(),FertiliserProducts[[#Headers],[Include or Exclude]], 0,4)</f>
        <v/>
      </c>
      <c r="L149" s="182" t="str" cm="1">
        <f t="array" ref="L149">Common_InputFunctions.Utility_DisplayArrayInTable(Fertiliser_SourceData.Fertiliser_Products_Data1(),FertiliserProducts[[#Headers],[Include or Exclude]], 0,4)</f>
        <v/>
      </c>
      <c r="M149" s="182" t="str" cm="1">
        <f t="array" ref="M149">Common_InputFunctions.Utility_DisplayArrayInTable(Fertiliser_SourceData.Fertiliser_Products_Data1(),FertiliserProducts[[#Headers],[Include or Exclude]], 0,4)</f>
        <v/>
      </c>
      <c r="N149" s="182" t="str" cm="1">
        <f t="array" ref="N149">Common_InputFunctions.Utility_DisplayArrayInTable(Fertiliser_SourceData.Fertiliser_Products_Data1(),FertiliserProducts[[#Headers],[Include or Exclude]], 0,4)</f>
        <v/>
      </c>
      <c r="O149" s="182" t="str" cm="1">
        <f t="array" ref="O149">Common_InputFunctions.Utility_DisplayArrayInTable(Fertiliser_SourceData.Fertiliser_Products_Data1(),FertiliserProducts[[#Headers],[Include or Exclude]], 0,4)</f>
        <v/>
      </c>
      <c r="P149" s="182" t="str" cm="1">
        <f t="array" ref="P149">Common_InputFunctions.Utility_DisplayArrayInTable(Fertiliser_SourceData.Fertiliser_Products_Data1(),FertiliserProducts[[#Headers],[Include or Exclude]], 0,4)</f>
        <v/>
      </c>
      <c r="Q149" s="182" t="str" cm="1">
        <f t="array" ref="Q149">Common_InputFunctions.Utility_DisplayArrayInTable(Fertiliser_SourceData.Fertiliser_Products_Data1(),FertiliserProducts[[#Headers],[Include or Exclude]], 0,4)</f>
        <v/>
      </c>
      <c r="R149" s="182" t="str" cm="1">
        <f t="array" ref="R149">Common_InputFunctions.Utility_DisplayArrayInTable(Fertiliser_SourceData.Fertiliser_Products_Data1(),FertiliserProducts[[#Headers],[Include or Exclude]], 0,4)</f>
        <v/>
      </c>
      <c r="S149" s="182" t="str" cm="1">
        <f t="array" ref="S149">Common_InputFunctions.Utility_DisplayArrayInTable(Fertiliser_SourceData.Fertiliser_Products_Data1(),FertiliserProducts[[#Headers],[Include or Exclude]], 0,4)</f>
        <v/>
      </c>
      <c r="T149" s="182" t="str" cm="1">
        <f t="array" ref="T149">Common_InputFunctions.Utility_DisplayArrayInTable(Fertiliser_SourceData.Fertiliser_Products_Data1(),FertiliserProducts[[#Headers],[Include or Exclude]], 0,4)</f>
        <v/>
      </c>
      <c r="U149" s="182" t="str" cm="1">
        <f t="array" ref="U149">Common_InputFunctions.Utility_DisplayArrayInTable(Fertiliser_SourceData.Fertiliser_Products_Data1(),FertiliserProducts[[#Headers],[Include or Exclude]], 0,4)</f>
        <v/>
      </c>
      <c r="V149" s="182" t="str" cm="1">
        <f t="array" ref="V149">Common_InputFunctions.Utility_DisplayArrayInTable(Fertiliser_SourceData.Fertiliser_Products_Data1(),FertiliserProducts[[#Headers],[Include or Exclude]], 0,4)</f>
        <v/>
      </c>
      <c r="W149" s="182" t="str" cm="1">
        <f t="array" ref="W149">Common_InputFunctions.Utility_DisplayArrayInTable(Fertiliser_SourceData.Fertiliser_Products_Data1(),FertiliserProducts[[#Headers],[Include or Exclude]], 0,4)</f>
        <v/>
      </c>
      <c r="X149" s="182" t="str" cm="1">
        <f t="array" ref="X149">Common_InputFunctions.Utility_DisplayArrayInTable(Fertiliser_SourceData.Fertiliser_Products_Data1(),FertiliserProducts[[#Headers],[Include or Exclude]], 0,4)</f>
        <v/>
      </c>
      <c r="Y149" s="182" t="str" cm="1">
        <f t="array" ref="Y149">Common_InputFunctions.Utility_DisplayArrayInTable(Fertiliser_SourceData.Fertiliser_Products_Data1(),FertiliserProducts[[#Headers],[Include or Exclude]], 0,4)</f>
        <v/>
      </c>
      <c r="Z149" s="182" t="str" cm="1">
        <f t="array" ref="Z149">Common_InputFunctions.Utility_DisplayArrayInTable(Fertiliser_SourceData.Fertiliser_Products_Data1(),FertiliserProducts[[#Headers],[Include or Exclude]], 0,4)</f>
        <v/>
      </c>
      <c r="AA149" s="182" t="str" cm="1">
        <f t="array" ref="AA149">Common_InputFunctions.Utility_DisplayArrayInTable(Fertiliser_SourceData.Fertiliser_Products_Data1(),FertiliserProducts[[#Headers],[Include or Exclude]], 0,4)</f>
        <v/>
      </c>
      <c r="AB149" s="182" t="str" cm="1">
        <f t="array" ref="AB149">Common_InputFunctions.Utility_DisplayArrayInTable(Fertiliser_SourceData.Fertiliser_Products_Data1(),FertiliserProducts[[#Headers],[Include or Exclude]], 0,4)</f>
        <v/>
      </c>
      <c r="AC149" s="182" t="str" cm="1">
        <f t="array" ref="AC149">Common_InputFunctions.Utility_DisplayArrayInTable(Fertiliser_SourceData.Fertiliser_Products_Data1(),FertiliserProducts[[#Headers],[Include or Exclude]], 0,4)</f>
        <v/>
      </c>
      <c r="AD149" s="182" t="str" cm="1">
        <f t="array" ref="AD149">Common_InputFunctions.Utility_DisplayArrayInTable(Fertiliser_SourceData.Fertiliser_Products_Data1(),FertiliserProducts[[#Headers],[Include or Exclude]], 0,4)</f>
        <v/>
      </c>
      <c r="AE149" s="182" t="str" cm="1">
        <f t="array" ref="AE149">Common_InputFunctions.Utility_DisplayArrayInTable(Fertiliser_SourceData.Fertiliser_Products_Data1(),FertiliserProducts[[#Headers],[Include or Exclude]], 0,4)</f>
        <v/>
      </c>
    </row>
    <row r="150" spans="4:31" ht="20.100000000000001" customHeight="1" x14ac:dyDescent="0.25">
      <c r="D150" s="182" t="str" cm="1">
        <f t="array" ref="D150">Common_InputFunctions.Utility_DisplayArrayInTable(Fertiliser_SourceData.Fertiliser_Products_Data1(),FertiliserProducts[[#Headers],[Include or Exclude]], -1)</f>
        <v/>
      </c>
      <c r="E150" s="182" t="str" cm="1">
        <f t="array" ref="E150">Common_InputFunctions.Utility_DisplayArrayInTable(Fertiliser_SourceData.Fertiliser_Products_Data1(),FertiliserProducts[[#Headers],[Include or Exclude]], 0)</f>
        <v/>
      </c>
      <c r="F150" s="182" t="str" cm="1">
        <f t="array" ref="F150">Common_InputFunctions.Utility_DisplayArrayInTable(Fertiliser_SourceData.Fertiliser_Products_Data1(),FertiliserProducts[[#Headers],[Include or Exclude]], 0)</f>
        <v/>
      </c>
      <c r="G150" s="182" t="str" cm="1">
        <f t="array" ref="G150">Common_InputFunctions.Utility_DisplayArrayInTable(Fertiliser_SourceData.Fertiliser_Products_Data1(),FertiliserProducts[[#Headers],[Include or Exclude]], 0)</f>
        <v/>
      </c>
      <c r="H150" s="182" t="str" cm="1">
        <f t="array" ref="H150">Common_InputFunctions.Utility_DisplayArrayInTable(Fertiliser_SourceData.Fertiliser_Products_Data1(),FertiliserProducts[[#Headers],[Include or Exclude]], 0,4)</f>
        <v/>
      </c>
      <c r="I150" s="182" t="str" cm="1">
        <f t="array" ref="I150">Common_InputFunctions.Utility_DisplayArrayInTable(Fertiliser_SourceData.Fertiliser_Products_Data1(),FertiliserProducts[[#Headers],[Include or Exclude]], 0,4)</f>
        <v/>
      </c>
      <c r="J150" s="182" t="str" cm="1">
        <f t="array" ref="J150">Common_InputFunctions.Utility_DisplayArrayInTable(Fertiliser_SourceData.Fertiliser_Products_Data1(),FertiliserProducts[[#Headers],[Include or Exclude]], 0,4)</f>
        <v/>
      </c>
      <c r="K150" s="182" t="str" cm="1">
        <f t="array" ref="K150">Common_InputFunctions.Utility_DisplayArrayInTable(Fertiliser_SourceData.Fertiliser_Products_Data1(),FertiliserProducts[[#Headers],[Include or Exclude]], 0,4)</f>
        <v/>
      </c>
      <c r="L150" s="182" t="str" cm="1">
        <f t="array" ref="L150">Common_InputFunctions.Utility_DisplayArrayInTable(Fertiliser_SourceData.Fertiliser_Products_Data1(),FertiliserProducts[[#Headers],[Include or Exclude]], 0,4)</f>
        <v/>
      </c>
      <c r="M150" s="182" t="str" cm="1">
        <f t="array" ref="M150">Common_InputFunctions.Utility_DisplayArrayInTable(Fertiliser_SourceData.Fertiliser_Products_Data1(),FertiliserProducts[[#Headers],[Include or Exclude]], 0,4)</f>
        <v/>
      </c>
      <c r="N150" s="182" t="str" cm="1">
        <f t="array" ref="N150">Common_InputFunctions.Utility_DisplayArrayInTable(Fertiliser_SourceData.Fertiliser_Products_Data1(),FertiliserProducts[[#Headers],[Include or Exclude]], 0,4)</f>
        <v/>
      </c>
      <c r="O150" s="182" t="str" cm="1">
        <f t="array" ref="O150">Common_InputFunctions.Utility_DisplayArrayInTable(Fertiliser_SourceData.Fertiliser_Products_Data1(),FertiliserProducts[[#Headers],[Include or Exclude]], 0,4)</f>
        <v/>
      </c>
      <c r="P150" s="182" t="str" cm="1">
        <f t="array" ref="P150">Common_InputFunctions.Utility_DisplayArrayInTable(Fertiliser_SourceData.Fertiliser_Products_Data1(),FertiliserProducts[[#Headers],[Include or Exclude]], 0,4)</f>
        <v/>
      </c>
      <c r="Q150" s="182" t="str" cm="1">
        <f t="array" ref="Q150">Common_InputFunctions.Utility_DisplayArrayInTable(Fertiliser_SourceData.Fertiliser_Products_Data1(),FertiliserProducts[[#Headers],[Include or Exclude]], 0,4)</f>
        <v/>
      </c>
      <c r="R150" s="182" t="str" cm="1">
        <f t="array" ref="R150">Common_InputFunctions.Utility_DisplayArrayInTable(Fertiliser_SourceData.Fertiliser_Products_Data1(),FertiliserProducts[[#Headers],[Include or Exclude]], 0,4)</f>
        <v/>
      </c>
      <c r="S150" s="182" t="str" cm="1">
        <f t="array" ref="S150">Common_InputFunctions.Utility_DisplayArrayInTable(Fertiliser_SourceData.Fertiliser_Products_Data1(),FertiliserProducts[[#Headers],[Include or Exclude]], 0,4)</f>
        <v/>
      </c>
      <c r="T150" s="182" t="str" cm="1">
        <f t="array" ref="T150">Common_InputFunctions.Utility_DisplayArrayInTable(Fertiliser_SourceData.Fertiliser_Products_Data1(),FertiliserProducts[[#Headers],[Include or Exclude]], 0,4)</f>
        <v/>
      </c>
      <c r="U150" s="182" t="str" cm="1">
        <f t="array" ref="U150">Common_InputFunctions.Utility_DisplayArrayInTable(Fertiliser_SourceData.Fertiliser_Products_Data1(),FertiliserProducts[[#Headers],[Include or Exclude]], 0,4)</f>
        <v/>
      </c>
      <c r="V150" s="182" t="str" cm="1">
        <f t="array" ref="V150">Common_InputFunctions.Utility_DisplayArrayInTable(Fertiliser_SourceData.Fertiliser_Products_Data1(),FertiliserProducts[[#Headers],[Include or Exclude]], 0,4)</f>
        <v/>
      </c>
      <c r="W150" s="182" t="str" cm="1">
        <f t="array" ref="W150">Common_InputFunctions.Utility_DisplayArrayInTable(Fertiliser_SourceData.Fertiliser_Products_Data1(),FertiliserProducts[[#Headers],[Include or Exclude]], 0,4)</f>
        <v/>
      </c>
      <c r="X150" s="182" t="str" cm="1">
        <f t="array" ref="X150">Common_InputFunctions.Utility_DisplayArrayInTable(Fertiliser_SourceData.Fertiliser_Products_Data1(),FertiliserProducts[[#Headers],[Include or Exclude]], 0,4)</f>
        <v/>
      </c>
      <c r="Y150" s="182" t="str" cm="1">
        <f t="array" ref="Y150">Common_InputFunctions.Utility_DisplayArrayInTable(Fertiliser_SourceData.Fertiliser_Products_Data1(),FertiliserProducts[[#Headers],[Include or Exclude]], 0,4)</f>
        <v/>
      </c>
      <c r="Z150" s="182" t="str" cm="1">
        <f t="array" ref="Z150">Common_InputFunctions.Utility_DisplayArrayInTable(Fertiliser_SourceData.Fertiliser_Products_Data1(),FertiliserProducts[[#Headers],[Include or Exclude]], 0,4)</f>
        <v/>
      </c>
      <c r="AA150" s="182" t="str" cm="1">
        <f t="array" ref="AA150">Common_InputFunctions.Utility_DisplayArrayInTable(Fertiliser_SourceData.Fertiliser_Products_Data1(),FertiliserProducts[[#Headers],[Include or Exclude]], 0,4)</f>
        <v/>
      </c>
      <c r="AB150" s="182" t="str" cm="1">
        <f t="array" ref="AB150">Common_InputFunctions.Utility_DisplayArrayInTable(Fertiliser_SourceData.Fertiliser_Products_Data1(),FertiliserProducts[[#Headers],[Include or Exclude]], 0,4)</f>
        <v/>
      </c>
      <c r="AC150" s="182" t="str" cm="1">
        <f t="array" ref="AC150">Common_InputFunctions.Utility_DisplayArrayInTable(Fertiliser_SourceData.Fertiliser_Products_Data1(),FertiliserProducts[[#Headers],[Include or Exclude]], 0,4)</f>
        <v/>
      </c>
      <c r="AD150" s="182" t="str" cm="1">
        <f t="array" ref="AD150">Common_InputFunctions.Utility_DisplayArrayInTable(Fertiliser_SourceData.Fertiliser_Products_Data1(),FertiliserProducts[[#Headers],[Include or Exclude]], 0,4)</f>
        <v/>
      </c>
      <c r="AE150" s="182" t="str" cm="1">
        <f t="array" ref="AE150">Common_InputFunctions.Utility_DisplayArrayInTable(Fertiliser_SourceData.Fertiliser_Products_Data1(),FertiliserProducts[[#Headers],[Include or Exclude]], 0,4)</f>
        <v/>
      </c>
    </row>
    <row r="151" spans="4:31" ht="20.100000000000001" customHeight="1" x14ac:dyDescent="0.25">
      <c r="D151" s="182" t="str" cm="1">
        <f t="array" ref="D151">Common_InputFunctions.Utility_DisplayArrayInTable(Fertiliser_SourceData.Fertiliser_Products_Data1(),FertiliserProducts[[#Headers],[Include or Exclude]], -1)</f>
        <v/>
      </c>
      <c r="E151" s="182" t="str" cm="1">
        <f t="array" ref="E151">Common_InputFunctions.Utility_DisplayArrayInTable(Fertiliser_SourceData.Fertiliser_Products_Data1(),FertiliserProducts[[#Headers],[Include or Exclude]], 0)</f>
        <v/>
      </c>
      <c r="F151" s="182" t="str" cm="1">
        <f t="array" ref="F151">Common_InputFunctions.Utility_DisplayArrayInTable(Fertiliser_SourceData.Fertiliser_Products_Data1(),FertiliserProducts[[#Headers],[Include or Exclude]], 0)</f>
        <v/>
      </c>
      <c r="G151" s="182" t="str" cm="1">
        <f t="array" ref="G151">Common_InputFunctions.Utility_DisplayArrayInTable(Fertiliser_SourceData.Fertiliser_Products_Data1(),FertiliserProducts[[#Headers],[Include or Exclude]], 0)</f>
        <v/>
      </c>
      <c r="H151" s="182" t="str" cm="1">
        <f t="array" ref="H151">Common_InputFunctions.Utility_DisplayArrayInTable(Fertiliser_SourceData.Fertiliser_Products_Data1(),FertiliserProducts[[#Headers],[Include or Exclude]], 0,4)</f>
        <v/>
      </c>
      <c r="I151" s="182" t="str" cm="1">
        <f t="array" ref="I151">Common_InputFunctions.Utility_DisplayArrayInTable(Fertiliser_SourceData.Fertiliser_Products_Data1(),FertiliserProducts[[#Headers],[Include or Exclude]], 0,4)</f>
        <v/>
      </c>
      <c r="J151" s="182" t="str" cm="1">
        <f t="array" ref="J151">Common_InputFunctions.Utility_DisplayArrayInTable(Fertiliser_SourceData.Fertiliser_Products_Data1(),FertiliserProducts[[#Headers],[Include or Exclude]], 0,4)</f>
        <v/>
      </c>
      <c r="K151" s="182" t="str" cm="1">
        <f t="array" ref="K151">Common_InputFunctions.Utility_DisplayArrayInTable(Fertiliser_SourceData.Fertiliser_Products_Data1(),FertiliserProducts[[#Headers],[Include or Exclude]], 0,4)</f>
        <v/>
      </c>
      <c r="L151" s="182" t="str" cm="1">
        <f t="array" ref="L151">Common_InputFunctions.Utility_DisplayArrayInTable(Fertiliser_SourceData.Fertiliser_Products_Data1(),FertiliserProducts[[#Headers],[Include or Exclude]], 0,4)</f>
        <v/>
      </c>
      <c r="M151" s="182" t="str" cm="1">
        <f t="array" ref="M151">Common_InputFunctions.Utility_DisplayArrayInTable(Fertiliser_SourceData.Fertiliser_Products_Data1(),FertiliserProducts[[#Headers],[Include or Exclude]], 0,4)</f>
        <v/>
      </c>
      <c r="N151" s="182" t="str" cm="1">
        <f t="array" ref="N151">Common_InputFunctions.Utility_DisplayArrayInTable(Fertiliser_SourceData.Fertiliser_Products_Data1(),FertiliserProducts[[#Headers],[Include or Exclude]], 0,4)</f>
        <v/>
      </c>
      <c r="O151" s="182" t="str" cm="1">
        <f t="array" ref="O151">Common_InputFunctions.Utility_DisplayArrayInTable(Fertiliser_SourceData.Fertiliser_Products_Data1(),FertiliserProducts[[#Headers],[Include or Exclude]], 0,4)</f>
        <v/>
      </c>
      <c r="P151" s="182" t="str" cm="1">
        <f t="array" ref="P151">Common_InputFunctions.Utility_DisplayArrayInTable(Fertiliser_SourceData.Fertiliser_Products_Data1(),FertiliserProducts[[#Headers],[Include or Exclude]], 0,4)</f>
        <v/>
      </c>
      <c r="Q151" s="182" t="str" cm="1">
        <f t="array" ref="Q151">Common_InputFunctions.Utility_DisplayArrayInTable(Fertiliser_SourceData.Fertiliser_Products_Data1(),FertiliserProducts[[#Headers],[Include or Exclude]], 0,4)</f>
        <v/>
      </c>
      <c r="R151" s="182" t="str" cm="1">
        <f t="array" ref="R151">Common_InputFunctions.Utility_DisplayArrayInTable(Fertiliser_SourceData.Fertiliser_Products_Data1(),FertiliserProducts[[#Headers],[Include or Exclude]], 0,4)</f>
        <v/>
      </c>
      <c r="S151" s="182" t="str" cm="1">
        <f t="array" ref="S151">Common_InputFunctions.Utility_DisplayArrayInTable(Fertiliser_SourceData.Fertiliser_Products_Data1(),FertiliserProducts[[#Headers],[Include or Exclude]], 0,4)</f>
        <v/>
      </c>
      <c r="T151" s="182" t="str" cm="1">
        <f t="array" ref="T151">Common_InputFunctions.Utility_DisplayArrayInTable(Fertiliser_SourceData.Fertiliser_Products_Data1(),FertiliserProducts[[#Headers],[Include or Exclude]], 0,4)</f>
        <v/>
      </c>
      <c r="U151" s="182" t="str" cm="1">
        <f t="array" ref="U151">Common_InputFunctions.Utility_DisplayArrayInTable(Fertiliser_SourceData.Fertiliser_Products_Data1(),FertiliserProducts[[#Headers],[Include or Exclude]], 0,4)</f>
        <v/>
      </c>
      <c r="V151" s="182" t="str" cm="1">
        <f t="array" ref="V151">Common_InputFunctions.Utility_DisplayArrayInTable(Fertiliser_SourceData.Fertiliser_Products_Data1(),FertiliserProducts[[#Headers],[Include or Exclude]], 0,4)</f>
        <v/>
      </c>
      <c r="W151" s="182" t="str" cm="1">
        <f t="array" ref="W151">Common_InputFunctions.Utility_DisplayArrayInTable(Fertiliser_SourceData.Fertiliser_Products_Data1(),FertiliserProducts[[#Headers],[Include or Exclude]], 0,4)</f>
        <v/>
      </c>
      <c r="X151" s="182" t="str" cm="1">
        <f t="array" ref="X151">Common_InputFunctions.Utility_DisplayArrayInTable(Fertiliser_SourceData.Fertiliser_Products_Data1(),FertiliserProducts[[#Headers],[Include or Exclude]], 0,4)</f>
        <v/>
      </c>
      <c r="Y151" s="182" t="str" cm="1">
        <f t="array" ref="Y151">Common_InputFunctions.Utility_DisplayArrayInTable(Fertiliser_SourceData.Fertiliser_Products_Data1(),FertiliserProducts[[#Headers],[Include or Exclude]], 0,4)</f>
        <v/>
      </c>
      <c r="Z151" s="182" t="str" cm="1">
        <f t="array" ref="Z151">Common_InputFunctions.Utility_DisplayArrayInTable(Fertiliser_SourceData.Fertiliser_Products_Data1(),FertiliserProducts[[#Headers],[Include or Exclude]], 0,4)</f>
        <v/>
      </c>
      <c r="AA151" s="182" t="str" cm="1">
        <f t="array" ref="AA151">Common_InputFunctions.Utility_DisplayArrayInTable(Fertiliser_SourceData.Fertiliser_Products_Data1(),FertiliserProducts[[#Headers],[Include or Exclude]], 0,4)</f>
        <v/>
      </c>
      <c r="AB151" s="182" t="str" cm="1">
        <f t="array" ref="AB151">Common_InputFunctions.Utility_DisplayArrayInTable(Fertiliser_SourceData.Fertiliser_Products_Data1(),FertiliserProducts[[#Headers],[Include or Exclude]], 0,4)</f>
        <v/>
      </c>
      <c r="AC151" s="182" t="str" cm="1">
        <f t="array" ref="AC151">Common_InputFunctions.Utility_DisplayArrayInTable(Fertiliser_SourceData.Fertiliser_Products_Data1(),FertiliserProducts[[#Headers],[Include or Exclude]], 0,4)</f>
        <v/>
      </c>
      <c r="AD151" s="182" t="str" cm="1">
        <f t="array" ref="AD151">Common_InputFunctions.Utility_DisplayArrayInTable(Fertiliser_SourceData.Fertiliser_Products_Data1(),FertiliserProducts[[#Headers],[Include or Exclude]], 0,4)</f>
        <v/>
      </c>
      <c r="AE151" s="182" t="str" cm="1">
        <f t="array" ref="AE151">Common_InputFunctions.Utility_DisplayArrayInTable(Fertiliser_SourceData.Fertiliser_Products_Data1(),FertiliserProducts[[#Headers],[Include or Exclude]], 0,4)</f>
        <v/>
      </c>
    </row>
    <row r="152" spans="4:31" ht="20.100000000000001" customHeight="1" x14ac:dyDescent="0.25">
      <c r="D152" s="182" t="str" cm="1">
        <f t="array" ref="D152">Common_InputFunctions.Utility_DisplayArrayInTable(Fertiliser_SourceData.Fertiliser_Products_Data1(),FertiliserProducts[[#Headers],[Include or Exclude]], -1)</f>
        <v/>
      </c>
      <c r="E152" s="182" t="str" cm="1">
        <f t="array" ref="E152">Common_InputFunctions.Utility_DisplayArrayInTable(Fertiliser_SourceData.Fertiliser_Products_Data1(),FertiliserProducts[[#Headers],[Include or Exclude]], 0)</f>
        <v/>
      </c>
      <c r="F152" s="182" t="str" cm="1">
        <f t="array" ref="F152">Common_InputFunctions.Utility_DisplayArrayInTable(Fertiliser_SourceData.Fertiliser_Products_Data1(),FertiliserProducts[[#Headers],[Include or Exclude]], 0)</f>
        <v/>
      </c>
      <c r="G152" s="182" t="str" cm="1">
        <f t="array" ref="G152">Common_InputFunctions.Utility_DisplayArrayInTable(Fertiliser_SourceData.Fertiliser_Products_Data1(),FertiliserProducts[[#Headers],[Include or Exclude]], 0)</f>
        <v/>
      </c>
      <c r="H152" s="182" t="str" cm="1">
        <f t="array" ref="H152">Common_InputFunctions.Utility_DisplayArrayInTable(Fertiliser_SourceData.Fertiliser_Products_Data1(),FertiliserProducts[[#Headers],[Include or Exclude]], 0,4)</f>
        <v/>
      </c>
      <c r="I152" s="182" t="str" cm="1">
        <f t="array" ref="I152">Common_InputFunctions.Utility_DisplayArrayInTable(Fertiliser_SourceData.Fertiliser_Products_Data1(),FertiliserProducts[[#Headers],[Include or Exclude]], 0,4)</f>
        <v/>
      </c>
      <c r="J152" s="182" t="str" cm="1">
        <f t="array" ref="J152">Common_InputFunctions.Utility_DisplayArrayInTable(Fertiliser_SourceData.Fertiliser_Products_Data1(),FertiliserProducts[[#Headers],[Include or Exclude]], 0,4)</f>
        <v/>
      </c>
      <c r="K152" s="182" t="str" cm="1">
        <f t="array" ref="K152">Common_InputFunctions.Utility_DisplayArrayInTable(Fertiliser_SourceData.Fertiliser_Products_Data1(),FertiliserProducts[[#Headers],[Include or Exclude]], 0,4)</f>
        <v/>
      </c>
      <c r="L152" s="182" t="str" cm="1">
        <f t="array" ref="L152">Common_InputFunctions.Utility_DisplayArrayInTable(Fertiliser_SourceData.Fertiliser_Products_Data1(),FertiliserProducts[[#Headers],[Include or Exclude]], 0,4)</f>
        <v/>
      </c>
      <c r="M152" s="182" t="str" cm="1">
        <f t="array" ref="M152">Common_InputFunctions.Utility_DisplayArrayInTable(Fertiliser_SourceData.Fertiliser_Products_Data1(),FertiliserProducts[[#Headers],[Include or Exclude]], 0,4)</f>
        <v/>
      </c>
      <c r="N152" s="182" t="str" cm="1">
        <f t="array" ref="N152">Common_InputFunctions.Utility_DisplayArrayInTable(Fertiliser_SourceData.Fertiliser_Products_Data1(),FertiliserProducts[[#Headers],[Include or Exclude]], 0,4)</f>
        <v/>
      </c>
      <c r="O152" s="182" t="str" cm="1">
        <f t="array" ref="O152">Common_InputFunctions.Utility_DisplayArrayInTable(Fertiliser_SourceData.Fertiliser_Products_Data1(),FertiliserProducts[[#Headers],[Include or Exclude]], 0,4)</f>
        <v/>
      </c>
      <c r="P152" s="182" t="str" cm="1">
        <f t="array" ref="P152">Common_InputFunctions.Utility_DisplayArrayInTable(Fertiliser_SourceData.Fertiliser_Products_Data1(),FertiliserProducts[[#Headers],[Include or Exclude]], 0,4)</f>
        <v/>
      </c>
      <c r="Q152" s="182" t="str" cm="1">
        <f t="array" ref="Q152">Common_InputFunctions.Utility_DisplayArrayInTable(Fertiliser_SourceData.Fertiliser_Products_Data1(),FertiliserProducts[[#Headers],[Include or Exclude]], 0,4)</f>
        <v/>
      </c>
      <c r="R152" s="182" t="str" cm="1">
        <f t="array" ref="R152">Common_InputFunctions.Utility_DisplayArrayInTable(Fertiliser_SourceData.Fertiliser_Products_Data1(),FertiliserProducts[[#Headers],[Include or Exclude]], 0,4)</f>
        <v/>
      </c>
      <c r="S152" s="182" t="str" cm="1">
        <f t="array" ref="S152">Common_InputFunctions.Utility_DisplayArrayInTable(Fertiliser_SourceData.Fertiliser_Products_Data1(),FertiliserProducts[[#Headers],[Include or Exclude]], 0,4)</f>
        <v/>
      </c>
      <c r="T152" s="182" t="str" cm="1">
        <f t="array" ref="T152">Common_InputFunctions.Utility_DisplayArrayInTable(Fertiliser_SourceData.Fertiliser_Products_Data1(),FertiliserProducts[[#Headers],[Include or Exclude]], 0,4)</f>
        <v/>
      </c>
      <c r="U152" s="182" t="str" cm="1">
        <f t="array" ref="U152">Common_InputFunctions.Utility_DisplayArrayInTable(Fertiliser_SourceData.Fertiliser_Products_Data1(),FertiliserProducts[[#Headers],[Include or Exclude]], 0,4)</f>
        <v/>
      </c>
      <c r="V152" s="182" t="str" cm="1">
        <f t="array" ref="V152">Common_InputFunctions.Utility_DisplayArrayInTable(Fertiliser_SourceData.Fertiliser_Products_Data1(),FertiliserProducts[[#Headers],[Include or Exclude]], 0,4)</f>
        <v/>
      </c>
      <c r="W152" s="182" t="str" cm="1">
        <f t="array" ref="W152">Common_InputFunctions.Utility_DisplayArrayInTable(Fertiliser_SourceData.Fertiliser_Products_Data1(),FertiliserProducts[[#Headers],[Include or Exclude]], 0,4)</f>
        <v/>
      </c>
      <c r="X152" s="182" t="str" cm="1">
        <f t="array" ref="X152">Common_InputFunctions.Utility_DisplayArrayInTable(Fertiliser_SourceData.Fertiliser_Products_Data1(),FertiliserProducts[[#Headers],[Include or Exclude]], 0,4)</f>
        <v/>
      </c>
      <c r="Y152" s="182" t="str" cm="1">
        <f t="array" ref="Y152">Common_InputFunctions.Utility_DisplayArrayInTable(Fertiliser_SourceData.Fertiliser_Products_Data1(),FertiliserProducts[[#Headers],[Include or Exclude]], 0,4)</f>
        <v/>
      </c>
      <c r="Z152" s="182" t="str" cm="1">
        <f t="array" ref="Z152">Common_InputFunctions.Utility_DisplayArrayInTable(Fertiliser_SourceData.Fertiliser_Products_Data1(),FertiliserProducts[[#Headers],[Include or Exclude]], 0,4)</f>
        <v/>
      </c>
      <c r="AA152" s="182" t="str" cm="1">
        <f t="array" ref="AA152">Common_InputFunctions.Utility_DisplayArrayInTable(Fertiliser_SourceData.Fertiliser_Products_Data1(),FertiliserProducts[[#Headers],[Include or Exclude]], 0,4)</f>
        <v/>
      </c>
      <c r="AB152" s="182" t="str" cm="1">
        <f t="array" ref="AB152">Common_InputFunctions.Utility_DisplayArrayInTable(Fertiliser_SourceData.Fertiliser_Products_Data1(),FertiliserProducts[[#Headers],[Include or Exclude]], 0,4)</f>
        <v/>
      </c>
      <c r="AC152" s="182" t="str" cm="1">
        <f t="array" ref="AC152">Common_InputFunctions.Utility_DisplayArrayInTable(Fertiliser_SourceData.Fertiliser_Products_Data1(),FertiliserProducts[[#Headers],[Include or Exclude]], 0,4)</f>
        <v/>
      </c>
      <c r="AD152" s="182" t="str" cm="1">
        <f t="array" ref="AD152">Common_InputFunctions.Utility_DisplayArrayInTable(Fertiliser_SourceData.Fertiliser_Products_Data1(),FertiliserProducts[[#Headers],[Include or Exclude]], 0,4)</f>
        <v/>
      </c>
      <c r="AE152" s="182" t="str" cm="1">
        <f t="array" ref="AE152">Common_InputFunctions.Utility_DisplayArrayInTable(Fertiliser_SourceData.Fertiliser_Products_Data1(),FertiliserProducts[[#Headers],[Include or Exclude]], 0,4)</f>
        <v/>
      </c>
    </row>
    <row r="153" spans="4:31" ht="20.100000000000001" customHeight="1" x14ac:dyDescent="0.25">
      <c r="D153" s="182" t="str" cm="1">
        <f t="array" ref="D153">Common_InputFunctions.Utility_DisplayArrayInTable(Fertiliser_SourceData.Fertiliser_Products_Data1(),FertiliserProducts[[#Headers],[Include or Exclude]], -1)</f>
        <v/>
      </c>
      <c r="E153" s="182" t="str" cm="1">
        <f t="array" ref="E153">Common_InputFunctions.Utility_DisplayArrayInTable(Fertiliser_SourceData.Fertiliser_Products_Data1(),FertiliserProducts[[#Headers],[Include or Exclude]], 0)</f>
        <v/>
      </c>
      <c r="F153" s="182" t="str" cm="1">
        <f t="array" ref="F153">Common_InputFunctions.Utility_DisplayArrayInTable(Fertiliser_SourceData.Fertiliser_Products_Data1(),FertiliserProducts[[#Headers],[Include or Exclude]], 0)</f>
        <v/>
      </c>
      <c r="G153" s="182" t="str" cm="1">
        <f t="array" ref="G153">Common_InputFunctions.Utility_DisplayArrayInTable(Fertiliser_SourceData.Fertiliser_Products_Data1(),FertiliserProducts[[#Headers],[Include or Exclude]], 0)</f>
        <v/>
      </c>
      <c r="H153" s="182" t="str" cm="1">
        <f t="array" ref="H153">Common_InputFunctions.Utility_DisplayArrayInTable(Fertiliser_SourceData.Fertiliser_Products_Data1(),FertiliserProducts[[#Headers],[Include or Exclude]], 0,4)</f>
        <v/>
      </c>
      <c r="I153" s="182" t="str" cm="1">
        <f t="array" ref="I153">Common_InputFunctions.Utility_DisplayArrayInTable(Fertiliser_SourceData.Fertiliser_Products_Data1(),FertiliserProducts[[#Headers],[Include or Exclude]], 0,4)</f>
        <v/>
      </c>
      <c r="J153" s="182" t="str" cm="1">
        <f t="array" ref="J153">Common_InputFunctions.Utility_DisplayArrayInTable(Fertiliser_SourceData.Fertiliser_Products_Data1(),FertiliserProducts[[#Headers],[Include or Exclude]], 0,4)</f>
        <v/>
      </c>
      <c r="K153" s="182" t="str" cm="1">
        <f t="array" ref="K153">Common_InputFunctions.Utility_DisplayArrayInTable(Fertiliser_SourceData.Fertiliser_Products_Data1(),FertiliserProducts[[#Headers],[Include or Exclude]], 0,4)</f>
        <v/>
      </c>
      <c r="L153" s="182" t="str" cm="1">
        <f t="array" ref="L153">Common_InputFunctions.Utility_DisplayArrayInTable(Fertiliser_SourceData.Fertiliser_Products_Data1(),FertiliserProducts[[#Headers],[Include or Exclude]], 0,4)</f>
        <v/>
      </c>
      <c r="M153" s="182" t="str" cm="1">
        <f t="array" ref="M153">Common_InputFunctions.Utility_DisplayArrayInTable(Fertiliser_SourceData.Fertiliser_Products_Data1(),FertiliserProducts[[#Headers],[Include or Exclude]], 0,4)</f>
        <v/>
      </c>
      <c r="N153" s="182" t="str" cm="1">
        <f t="array" ref="N153">Common_InputFunctions.Utility_DisplayArrayInTable(Fertiliser_SourceData.Fertiliser_Products_Data1(),FertiliserProducts[[#Headers],[Include or Exclude]], 0,4)</f>
        <v/>
      </c>
      <c r="O153" s="182" t="str" cm="1">
        <f t="array" ref="O153">Common_InputFunctions.Utility_DisplayArrayInTable(Fertiliser_SourceData.Fertiliser_Products_Data1(),FertiliserProducts[[#Headers],[Include or Exclude]], 0,4)</f>
        <v/>
      </c>
      <c r="P153" s="182" t="str" cm="1">
        <f t="array" ref="P153">Common_InputFunctions.Utility_DisplayArrayInTable(Fertiliser_SourceData.Fertiliser_Products_Data1(),FertiliserProducts[[#Headers],[Include or Exclude]], 0,4)</f>
        <v/>
      </c>
      <c r="Q153" s="182" t="str" cm="1">
        <f t="array" ref="Q153">Common_InputFunctions.Utility_DisplayArrayInTable(Fertiliser_SourceData.Fertiliser_Products_Data1(),FertiliserProducts[[#Headers],[Include or Exclude]], 0,4)</f>
        <v/>
      </c>
      <c r="R153" s="182" t="str" cm="1">
        <f t="array" ref="R153">Common_InputFunctions.Utility_DisplayArrayInTable(Fertiliser_SourceData.Fertiliser_Products_Data1(),FertiliserProducts[[#Headers],[Include or Exclude]], 0,4)</f>
        <v/>
      </c>
      <c r="S153" s="182" t="str" cm="1">
        <f t="array" ref="S153">Common_InputFunctions.Utility_DisplayArrayInTable(Fertiliser_SourceData.Fertiliser_Products_Data1(),FertiliserProducts[[#Headers],[Include or Exclude]], 0,4)</f>
        <v/>
      </c>
      <c r="T153" s="182" t="str" cm="1">
        <f t="array" ref="T153">Common_InputFunctions.Utility_DisplayArrayInTable(Fertiliser_SourceData.Fertiliser_Products_Data1(),FertiliserProducts[[#Headers],[Include or Exclude]], 0,4)</f>
        <v/>
      </c>
      <c r="U153" s="182" t="str" cm="1">
        <f t="array" ref="U153">Common_InputFunctions.Utility_DisplayArrayInTable(Fertiliser_SourceData.Fertiliser_Products_Data1(),FertiliserProducts[[#Headers],[Include or Exclude]], 0,4)</f>
        <v/>
      </c>
      <c r="V153" s="182" t="str" cm="1">
        <f t="array" ref="V153">Common_InputFunctions.Utility_DisplayArrayInTable(Fertiliser_SourceData.Fertiliser_Products_Data1(),FertiliserProducts[[#Headers],[Include or Exclude]], 0,4)</f>
        <v/>
      </c>
      <c r="W153" s="182" t="str" cm="1">
        <f t="array" ref="W153">Common_InputFunctions.Utility_DisplayArrayInTable(Fertiliser_SourceData.Fertiliser_Products_Data1(),FertiliserProducts[[#Headers],[Include or Exclude]], 0,4)</f>
        <v/>
      </c>
      <c r="X153" s="182" t="str" cm="1">
        <f t="array" ref="X153">Common_InputFunctions.Utility_DisplayArrayInTable(Fertiliser_SourceData.Fertiliser_Products_Data1(),FertiliserProducts[[#Headers],[Include or Exclude]], 0,4)</f>
        <v/>
      </c>
      <c r="Y153" s="182" t="str" cm="1">
        <f t="array" ref="Y153">Common_InputFunctions.Utility_DisplayArrayInTable(Fertiliser_SourceData.Fertiliser_Products_Data1(),FertiliserProducts[[#Headers],[Include or Exclude]], 0,4)</f>
        <v/>
      </c>
      <c r="Z153" s="182" t="str" cm="1">
        <f t="array" ref="Z153">Common_InputFunctions.Utility_DisplayArrayInTable(Fertiliser_SourceData.Fertiliser_Products_Data1(),FertiliserProducts[[#Headers],[Include or Exclude]], 0,4)</f>
        <v/>
      </c>
      <c r="AA153" s="182" t="str" cm="1">
        <f t="array" ref="AA153">Common_InputFunctions.Utility_DisplayArrayInTable(Fertiliser_SourceData.Fertiliser_Products_Data1(),FertiliserProducts[[#Headers],[Include or Exclude]], 0,4)</f>
        <v/>
      </c>
      <c r="AB153" s="182" t="str" cm="1">
        <f t="array" ref="AB153">Common_InputFunctions.Utility_DisplayArrayInTable(Fertiliser_SourceData.Fertiliser_Products_Data1(),FertiliserProducts[[#Headers],[Include or Exclude]], 0,4)</f>
        <v/>
      </c>
      <c r="AC153" s="182" t="str" cm="1">
        <f t="array" ref="AC153">Common_InputFunctions.Utility_DisplayArrayInTable(Fertiliser_SourceData.Fertiliser_Products_Data1(),FertiliserProducts[[#Headers],[Include or Exclude]], 0,4)</f>
        <v/>
      </c>
      <c r="AD153" s="182" t="str" cm="1">
        <f t="array" ref="AD153">Common_InputFunctions.Utility_DisplayArrayInTable(Fertiliser_SourceData.Fertiliser_Products_Data1(),FertiliserProducts[[#Headers],[Include or Exclude]], 0,4)</f>
        <v/>
      </c>
      <c r="AE153" s="182"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005F8-5CD0-41A5-B3F3-1BAD3B65A004}">
  <dimension ref="A1:AI165"/>
  <sheetViews>
    <sheetView showGridLines="0" topLeftCell="A138"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3"/>
      <c r="F5" s="173"/>
      <c r="G5" s="173"/>
      <c r="H5" s="173"/>
      <c r="I5" s="173"/>
      <c r="J5" s="173"/>
      <c r="K5" s="173"/>
      <c r="L5" s="173"/>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3"/>
      <c r="F6" s="173"/>
      <c r="G6" s="173"/>
      <c r="H6" s="173"/>
      <c r="I6" s="173"/>
      <c r="J6" s="173"/>
      <c r="K6" s="173"/>
      <c r="L6" s="173"/>
    </row>
    <row r="7" spans="1:35" ht="20.100000000000001" customHeight="1" x14ac:dyDescent="0.25">
      <c r="D7" s="27" t="str" cm="1">
        <f t="array" ref="D7">Fuel_SourceData.Fuel_Scope1Scope3EmissionFactorsTransport_Source()</f>
        <v>Australian National Greenhouse Accounts Factors 2025 - Table 9</v>
      </c>
      <c r="E7" s="173"/>
      <c r="F7" s="173"/>
      <c r="G7" s="173"/>
      <c r="H7" s="173"/>
      <c r="I7" s="173"/>
      <c r="J7" s="173"/>
      <c r="K7" s="173"/>
      <c r="L7" s="173"/>
    </row>
    <row r="8" spans="1:35" ht="20.100000000000001" customHeight="1" x14ac:dyDescent="0.25">
      <c r="A8" s="7" t="s">
        <v>0</v>
      </c>
      <c r="D8" s="36" t="str" cm="1">
        <f t="array" ref="D8">"⚠️" &amp; Fuel_SourceData.Fuel_Scope1Scope3EmissionFactorsTransport_Variation()</f>
        <v>⚠️VARIATION OF SOURCE DATA: 'NE' values returned as zero for calculations.</v>
      </c>
      <c r="E8" s="173"/>
      <c r="F8" s="173"/>
      <c r="G8" s="173"/>
      <c r="H8" s="173"/>
      <c r="I8" s="173"/>
      <c r="J8" s="173"/>
      <c r="K8" s="173"/>
      <c r="L8" s="173"/>
    </row>
    <row r="9" spans="1:35" ht="20.100000000000001" customHeight="1" x14ac:dyDescent="0.25">
      <c r="A9" s="5" t="str">
        <f>HYPERLINK("#'Input - Enterprise'!A1", "Enterprise")</f>
        <v>Enterprise</v>
      </c>
      <c r="D9" s="223" t="s">
        <v>754</v>
      </c>
      <c r="E9" s="223" t="s">
        <v>755</v>
      </c>
      <c r="F9" s="223" t="s">
        <v>756</v>
      </c>
      <c r="G9" s="223" t="s">
        <v>757</v>
      </c>
      <c r="H9" s="223" t="s">
        <v>758</v>
      </c>
      <c r="I9" s="223" t="s">
        <v>759</v>
      </c>
      <c r="J9" s="223" t="s">
        <v>760</v>
      </c>
      <c r="K9" s="223" t="s">
        <v>761</v>
      </c>
      <c r="L9" s="223" t="s">
        <v>762</v>
      </c>
    </row>
    <row r="10" spans="1:35" ht="20.100000000000001" customHeight="1" x14ac:dyDescent="0.25">
      <c r="A10" s="5" t="str">
        <f>HYPERLINK("#'Input - Site'!A1", "Site")</f>
        <v>Site</v>
      </c>
      <c r="D10" s="224" t="str" cm="1">
        <f t="array" ref="D10">Common_InputFunctions.Utility_DisplayArrayInTable(Fuel_SourceData.Fuel_Scope1Scope3EmissionFactorsTransport_Data(), Table_Fuel_EFs_Transport[[#Headers],[Transport type]], 0)</f>
        <v>Cars and light commercial vehicles</v>
      </c>
      <c r="E10" s="224" t="str" cm="1">
        <f t="array" ref="E10">Common_InputFunctions.Utility_DisplayArrayInTable(Fuel_SourceData.Fuel_Scope1Scope3EmissionFactorsTransport_Data(), Table_Fuel_EFs_Transport[[#Headers],[Transport type]], 0)</f>
        <v>Gasoline</v>
      </c>
      <c r="F10" s="224" cm="1">
        <f t="array" ref="F10">Common_InputFunctions.Utility_DisplayArrayInTable(Fuel_SourceData.Fuel_Scope1Scope3EmissionFactorsTransport_Data(), Table_Fuel_EFs_Transport[[#Headers],[Transport type]], 0)</f>
        <v>34.200000000000003</v>
      </c>
      <c r="G10" s="224" t="str" cm="1">
        <f t="array" ref="G10">Common_InputFunctions.Utility_DisplayArrayInTable(Fuel_SourceData.Fuel_Scope1Scope3EmissionFactorsTransport_Data(), Table_Fuel_EFs_Transport[[#Headers],[Transport type]], 0)</f>
        <v>kl</v>
      </c>
      <c r="H10" s="224" cm="1">
        <f t="array" ref="H10">Common_InputFunctions.Utility_DisplayArrayInTable(Fuel_SourceData.Fuel_Scope1Scope3EmissionFactorsTransport_Data(), Table_Fuel_EFs_Transport[[#Headers],[Transport type]], 0)</f>
        <v>67.400000000000006</v>
      </c>
      <c r="I10" s="224" cm="1">
        <f t="array" ref="I10">Common_InputFunctions.Utility_DisplayArrayInTable(Fuel_SourceData.Fuel_Scope1Scope3EmissionFactorsTransport_Data(), Table_Fuel_EFs_Transport[[#Headers],[Transport type]], 0)</f>
        <v>0.02</v>
      </c>
      <c r="J10" s="224" cm="1">
        <f t="array" ref="J10">Common_InputFunctions.Utility_DisplayArrayInTable(Fuel_SourceData.Fuel_Scope1Scope3EmissionFactorsTransport_Data(), Table_Fuel_EFs_Transport[[#Headers],[Transport type]], 0)</f>
        <v>0.2</v>
      </c>
      <c r="K10" s="224" cm="1">
        <f t="array" ref="K10">Common_InputFunctions.Utility_DisplayArrayInTable(Fuel_SourceData.Fuel_Scope1Scope3EmissionFactorsTransport_Data(), Table_Fuel_EFs_Transport[[#Headers],[Transport type]], 0)</f>
        <v>67.62</v>
      </c>
      <c r="L10" s="22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4" t="str" cm="1">
        <f t="array" ref="D11">Common_InputFunctions.Utility_DisplayArrayInTable(Fuel_SourceData.Fuel_Scope1Scope3EmissionFactorsTransport_Data(), Table_Fuel_EFs_Transport[[#Headers],[Transport type]], 0)</f>
        <v>Cars and light commercial vehicles</v>
      </c>
      <c r="E11" s="224" t="str" cm="1">
        <f t="array" ref="E11">Common_InputFunctions.Utility_DisplayArrayInTable(Fuel_SourceData.Fuel_Scope1Scope3EmissionFactorsTransport_Data(), Table_Fuel_EFs_Transport[[#Headers],[Transport type]], 0)</f>
        <v>Diesel oil</v>
      </c>
      <c r="F11" s="224" cm="1">
        <f t="array" ref="F11">Common_InputFunctions.Utility_DisplayArrayInTable(Fuel_SourceData.Fuel_Scope1Scope3EmissionFactorsTransport_Data(), Table_Fuel_EFs_Transport[[#Headers],[Transport type]], 0)</f>
        <v>38.6</v>
      </c>
      <c r="G11" s="224" t="str" cm="1">
        <f t="array" ref="G11">Common_InputFunctions.Utility_DisplayArrayInTable(Fuel_SourceData.Fuel_Scope1Scope3EmissionFactorsTransport_Data(), Table_Fuel_EFs_Transport[[#Headers],[Transport type]], 0)</f>
        <v>kl</v>
      </c>
      <c r="H11" s="224" cm="1">
        <f t="array" ref="H11">Common_InputFunctions.Utility_DisplayArrayInTable(Fuel_SourceData.Fuel_Scope1Scope3EmissionFactorsTransport_Data(), Table_Fuel_EFs_Transport[[#Headers],[Transport type]], 0)</f>
        <v>69.900000000000006</v>
      </c>
      <c r="I11" s="224" cm="1">
        <f t="array" ref="I11">Common_InputFunctions.Utility_DisplayArrayInTable(Fuel_SourceData.Fuel_Scope1Scope3EmissionFactorsTransport_Data(), Table_Fuel_EFs_Transport[[#Headers],[Transport type]], 0)</f>
        <v>0.01</v>
      </c>
      <c r="J11" s="224" cm="1">
        <f t="array" ref="J11">Common_InputFunctions.Utility_DisplayArrayInTable(Fuel_SourceData.Fuel_Scope1Scope3EmissionFactorsTransport_Data(), Table_Fuel_EFs_Transport[[#Headers],[Transport type]], 0)</f>
        <v>0.5</v>
      </c>
      <c r="K11" s="224" cm="1">
        <f t="array" ref="K11">Common_InputFunctions.Utility_DisplayArrayInTable(Fuel_SourceData.Fuel_Scope1Scope3EmissionFactorsTransport_Data(), Table_Fuel_EFs_Transport[[#Headers],[Transport type]], 0)</f>
        <v>70.41</v>
      </c>
      <c r="L11" s="22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4" t="str" cm="1">
        <f t="array" ref="D12">Common_InputFunctions.Utility_DisplayArrayInTable(Fuel_SourceData.Fuel_Scope1Scope3EmissionFactorsTransport_Data(), Table_Fuel_EFs_Transport[[#Headers],[Transport type]], 0)</f>
        <v>Cars and light commercial vehicles</v>
      </c>
      <c r="E12" s="224" t="str" cm="1">
        <f t="array" ref="E12">Common_InputFunctions.Utility_DisplayArrayInTable(Fuel_SourceData.Fuel_Scope1Scope3EmissionFactorsTransport_Data(), Table_Fuel_EFs_Transport[[#Headers],[Transport type]], 0)</f>
        <v>Liquefied petroleum gas (LPG)</v>
      </c>
      <c r="F12" s="224" cm="1">
        <f t="array" ref="F12">Common_InputFunctions.Utility_DisplayArrayInTable(Fuel_SourceData.Fuel_Scope1Scope3EmissionFactorsTransport_Data(), Table_Fuel_EFs_Transport[[#Headers],[Transport type]], 0)</f>
        <v>26.2</v>
      </c>
      <c r="G12" s="224" t="str" cm="1">
        <f t="array" ref="G12">Common_InputFunctions.Utility_DisplayArrayInTable(Fuel_SourceData.Fuel_Scope1Scope3EmissionFactorsTransport_Data(), Table_Fuel_EFs_Transport[[#Headers],[Transport type]], 0)</f>
        <v>kl</v>
      </c>
      <c r="H12" s="224" cm="1">
        <f t="array" ref="H12">Common_InputFunctions.Utility_DisplayArrayInTable(Fuel_SourceData.Fuel_Scope1Scope3EmissionFactorsTransport_Data(), Table_Fuel_EFs_Transport[[#Headers],[Transport type]], 0)</f>
        <v>60.2</v>
      </c>
      <c r="I12" s="224" cm="1">
        <f t="array" ref="I12">Common_InputFunctions.Utility_DisplayArrayInTable(Fuel_SourceData.Fuel_Scope1Scope3EmissionFactorsTransport_Data(), Table_Fuel_EFs_Transport[[#Headers],[Transport type]], 0)</f>
        <v>0.5</v>
      </c>
      <c r="J12" s="224" cm="1">
        <f t="array" ref="J12">Common_InputFunctions.Utility_DisplayArrayInTable(Fuel_SourceData.Fuel_Scope1Scope3EmissionFactorsTransport_Data(), Table_Fuel_EFs_Transport[[#Headers],[Transport type]], 0)</f>
        <v>0.3</v>
      </c>
      <c r="K12" s="224" cm="1">
        <f t="array" ref="K12">Common_InputFunctions.Utility_DisplayArrayInTable(Fuel_SourceData.Fuel_Scope1Scope3EmissionFactorsTransport_Data(), Table_Fuel_EFs_Transport[[#Headers],[Transport type]], 0)</f>
        <v>61</v>
      </c>
      <c r="L12" s="22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4" t="str" cm="1">
        <f t="array" ref="D13">Common_InputFunctions.Utility_DisplayArrayInTable(Fuel_SourceData.Fuel_Scope1Scope3EmissionFactorsTransport_Data(), Table_Fuel_EFs_Transport[[#Headers],[Transport type]], 0)</f>
        <v>Cars and light commercial vehicles</v>
      </c>
      <c r="E13" s="224" t="str" cm="1">
        <f t="array" ref="E13">Common_InputFunctions.Utility_DisplayArrayInTable(Fuel_SourceData.Fuel_Scope1Scope3EmissionFactorsTransport_Data(), Table_Fuel_EFs_Transport[[#Headers],[Transport type]], 0)</f>
        <v>Fuel oil</v>
      </c>
      <c r="F13" s="224" cm="1">
        <f t="array" ref="F13">Common_InputFunctions.Utility_DisplayArrayInTable(Fuel_SourceData.Fuel_Scope1Scope3EmissionFactorsTransport_Data(), Table_Fuel_EFs_Transport[[#Headers],[Transport type]], 0)</f>
        <v>39.700000000000003</v>
      </c>
      <c r="G13" s="224" t="str" cm="1">
        <f t="array" ref="G13">Common_InputFunctions.Utility_DisplayArrayInTable(Fuel_SourceData.Fuel_Scope1Scope3EmissionFactorsTransport_Data(), Table_Fuel_EFs_Transport[[#Headers],[Transport type]], 0)</f>
        <v>kl</v>
      </c>
      <c r="H13" s="224" cm="1">
        <f t="array" ref="H13">Common_InputFunctions.Utility_DisplayArrayInTable(Fuel_SourceData.Fuel_Scope1Scope3EmissionFactorsTransport_Data(), Table_Fuel_EFs_Transport[[#Headers],[Transport type]], 0)</f>
        <v>73.599999999999994</v>
      </c>
      <c r="I13" s="224" cm="1">
        <f t="array" ref="I13">Common_InputFunctions.Utility_DisplayArrayInTable(Fuel_SourceData.Fuel_Scope1Scope3EmissionFactorsTransport_Data(), Table_Fuel_EFs_Transport[[#Headers],[Transport type]], 0)</f>
        <v>0.08</v>
      </c>
      <c r="J13" s="224" cm="1">
        <f t="array" ref="J13">Common_InputFunctions.Utility_DisplayArrayInTable(Fuel_SourceData.Fuel_Scope1Scope3EmissionFactorsTransport_Data(), Table_Fuel_EFs_Transport[[#Headers],[Transport type]], 0)</f>
        <v>0.5</v>
      </c>
      <c r="K13" s="224" cm="1">
        <f t="array" ref="K13">Common_InputFunctions.Utility_DisplayArrayInTable(Fuel_SourceData.Fuel_Scope1Scope3EmissionFactorsTransport_Data(), Table_Fuel_EFs_Transport[[#Headers],[Transport type]], 0)</f>
        <v>74.180000000000007</v>
      </c>
      <c r="L13" s="224"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4" t="str" cm="1">
        <f t="array" ref="D14">Common_InputFunctions.Utility_DisplayArrayInTable(Fuel_SourceData.Fuel_Scope1Scope3EmissionFactorsTransport_Data(), Table_Fuel_EFs_Transport[[#Headers],[Transport type]], 0)</f>
        <v>Cars and light commercial vehicles</v>
      </c>
      <c r="E14" s="224" t="str" cm="1">
        <f t="array" ref="E14">Common_InputFunctions.Utility_DisplayArrayInTable(Fuel_SourceData.Fuel_Scope1Scope3EmissionFactorsTransport_Data(), Table_Fuel_EFs_Transport[[#Headers],[Transport type]], 0)</f>
        <v>Ethanol</v>
      </c>
      <c r="F14" s="224" cm="1">
        <f t="array" ref="F14">Common_InputFunctions.Utility_DisplayArrayInTable(Fuel_SourceData.Fuel_Scope1Scope3EmissionFactorsTransport_Data(), Table_Fuel_EFs_Transport[[#Headers],[Transport type]], 0)</f>
        <v>23.4</v>
      </c>
      <c r="G14" s="224" t="str" cm="1">
        <f t="array" ref="G14">Common_InputFunctions.Utility_DisplayArrayInTable(Fuel_SourceData.Fuel_Scope1Scope3EmissionFactorsTransport_Data(), Table_Fuel_EFs_Transport[[#Headers],[Transport type]], 0)</f>
        <v>kl</v>
      </c>
      <c r="H14" s="224" cm="1">
        <f t="array" ref="H14">Common_InputFunctions.Utility_DisplayArrayInTable(Fuel_SourceData.Fuel_Scope1Scope3EmissionFactorsTransport_Data(), Table_Fuel_EFs_Transport[[#Headers],[Transport type]], 0)</f>
        <v>0</v>
      </c>
      <c r="I14" s="224" cm="1">
        <f t="array" ref="I14">Common_InputFunctions.Utility_DisplayArrayInTable(Fuel_SourceData.Fuel_Scope1Scope3EmissionFactorsTransport_Data(), Table_Fuel_EFs_Transport[[#Headers],[Transport type]], 0)</f>
        <v>0.2</v>
      </c>
      <c r="J14" s="224" cm="1">
        <f t="array" ref="J14">Common_InputFunctions.Utility_DisplayArrayInTable(Fuel_SourceData.Fuel_Scope1Scope3EmissionFactorsTransport_Data(), Table_Fuel_EFs_Transport[[#Headers],[Transport type]], 0)</f>
        <v>0.2</v>
      </c>
      <c r="K14" s="224" cm="1">
        <f t="array" ref="K14">Common_InputFunctions.Utility_DisplayArrayInTable(Fuel_SourceData.Fuel_Scope1Scope3EmissionFactorsTransport_Data(), Table_Fuel_EFs_Transport[[#Headers],[Transport type]], 0)</f>
        <v>0.4</v>
      </c>
      <c r="L14" s="224"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4" t="str" cm="1">
        <f t="array" ref="D15">Common_InputFunctions.Utility_DisplayArrayInTable(Fuel_SourceData.Fuel_Scope1Scope3EmissionFactorsTransport_Data(), Table_Fuel_EFs_Transport[[#Headers],[Transport type]], 0)</f>
        <v>Cars and light commercial vehicles</v>
      </c>
      <c r="E15" s="224" t="str" cm="1">
        <f t="array" ref="E15">Common_InputFunctions.Utility_DisplayArrayInTable(Fuel_SourceData.Fuel_Scope1Scope3EmissionFactorsTransport_Data(), Table_Fuel_EFs_Transport[[#Headers],[Transport type]], 0)</f>
        <v>Biodiesel</v>
      </c>
      <c r="F15" s="224" cm="1">
        <f t="array" ref="F15">Common_InputFunctions.Utility_DisplayArrayInTable(Fuel_SourceData.Fuel_Scope1Scope3EmissionFactorsTransport_Data(), Table_Fuel_EFs_Transport[[#Headers],[Transport type]], 0)</f>
        <v>34.6</v>
      </c>
      <c r="G15" s="224" t="str" cm="1">
        <f t="array" ref="G15">Common_InputFunctions.Utility_DisplayArrayInTable(Fuel_SourceData.Fuel_Scope1Scope3EmissionFactorsTransport_Data(), Table_Fuel_EFs_Transport[[#Headers],[Transport type]], 0)</f>
        <v>kl</v>
      </c>
      <c r="H15" s="224" cm="1">
        <f t="array" ref="H15">Common_InputFunctions.Utility_DisplayArrayInTable(Fuel_SourceData.Fuel_Scope1Scope3EmissionFactorsTransport_Data(), Table_Fuel_EFs_Transport[[#Headers],[Transport type]], 0)</f>
        <v>0</v>
      </c>
      <c r="I15" s="224" cm="1">
        <f t="array" ref="I15">Common_InputFunctions.Utility_DisplayArrayInTable(Fuel_SourceData.Fuel_Scope1Scope3EmissionFactorsTransport_Data(), Table_Fuel_EFs_Transport[[#Headers],[Transport type]], 0)</f>
        <v>0.8</v>
      </c>
      <c r="J15" s="224" cm="1">
        <f t="array" ref="J15">Common_InputFunctions.Utility_DisplayArrayInTable(Fuel_SourceData.Fuel_Scope1Scope3EmissionFactorsTransport_Data(), Table_Fuel_EFs_Transport[[#Headers],[Transport type]], 0)</f>
        <v>1.7</v>
      </c>
      <c r="K15" s="224" cm="1">
        <f t="array" ref="K15">Common_InputFunctions.Utility_DisplayArrayInTable(Fuel_SourceData.Fuel_Scope1Scope3EmissionFactorsTransport_Data(), Table_Fuel_EFs_Transport[[#Headers],[Transport type]], 0)</f>
        <v>2.5</v>
      </c>
      <c r="L15" s="224"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4" t="str" cm="1">
        <f t="array" ref="D16">Common_InputFunctions.Utility_DisplayArrayInTable(Fuel_SourceData.Fuel_Scope1Scope3EmissionFactorsTransport_Data(), Table_Fuel_EFs_Transport[[#Headers],[Transport type]], 0)</f>
        <v>Cars and light commercial vehicles</v>
      </c>
      <c r="E16" s="224" t="str" cm="1">
        <f t="array" ref="E16">Common_InputFunctions.Utility_DisplayArrayInTable(Fuel_SourceData.Fuel_Scope1Scope3EmissionFactorsTransport_Data(), Table_Fuel_EFs_Transport[[#Headers],[Transport type]], 0)</f>
        <v>Renewable diesel</v>
      </c>
      <c r="F16" s="224" cm="1">
        <f t="array" ref="F16">Common_InputFunctions.Utility_DisplayArrayInTable(Fuel_SourceData.Fuel_Scope1Scope3EmissionFactorsTransport_Data(), Table_Fuel_EFs_Transport[[#Headers],[Transport type]], 0)</f>
        <v>38.6</v>
      </c>
      <c r="G16" s="224" t="str" cm="1">
        <f t="array" ref="G16">Common_InputFunctions.Utility_DisplayArrayInTable(Fuel_SourceData.Fuel_Scope1Scope3EmissionFactorsTransport_Data(), Table_Fuel_EFs_Transport[[#Headers],[Transport type]], 0)</f>
        <v>kl</v>
      </c>
      <c r="H16" s="224" cm="1">
        <f t="array" ref="H16">Common_InputFunctions.Utility_DisplayArrayInTable(Fuel_SourceData.Fuel_Scope1Scope3EmissionFactorsTransport_Data(), Table_Fuel_EFs_Transport[[#Headers],[Transport type]], 0)</f>
        <v>0</v>
      </c>
      <c r="I16" s="224" cm="1">
        <f t="array" ref="I16">Common_InputFunctions.Utility_DisplayArrayInTable(Fuel_SourceData.Fuel_Scope1Scope3EmissionFactorsTransport_Data(), Table_Fuel_EFs_Transport[[#Headers],[Transport type]], 0)</f>
        <v>0.01</v>
      </c>
      <c r="J16" s="224" cm="1">
        <f t="array" ref="J16">Common_InputFunctions.Utility_DisplayArrayInTable(Fuel_SourceData.Fuel_Scope1Scope3EmissionFactorsTransport_Data(), Table_Fuel_EFs_Transport[[#Headers],[Transport type]], 0)</f>
        <v>0.5</v>
      </c>
      <c r="K16" s="224" cm="1">
        <f t="array" ref="K16">Common_InputFunctions.Utility_DisplayArrayInTable(Fuel_SourceData.Fuel_Scope1Scope3EmissionFactorsTransport_Data(), Table_Fuel_EFs_Transport[[#Headers],[Transport type]], 0)</f>
        <v>0.51</v>
      </c>
      <c r="L16" s="22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4" t="str" cm="1">
        <f t="array" ref="D17">Common_InputFunctions.Utility_DisplayArrayInTable(Fuel_SourceData.Fuel_Scope1Scope3EmissionFactorsTransport_Data(), Table_Fuel_EFs_Transport[[#Headers],[Transport type]], 0)</f>
        <v>Cars and light commercial vehicles</v>
      </c>
      <c r="E17" s="224" t="str" cm="1">
        <f t="array" ref="E17">Common_InputFunctions.Utility_DisplayArrayInTable(Fuel_SourceData.Fuel_Scope1Scope3EmissionFactorsTransport_Data(), Table_Fuel_EFs_Transport[[#Headers],[Transport type]], 0)</f>
        <v>Other biofuels</v>
      </c>
      <c r="F17" s="224" cm="1">
        <f t="array" ref="F17">Common_InputFunctions.Utility_DisplayArrayInTable(Fuel_SourceData.Fuel_Scope1Scope3EmissionFactorsTransport_Data(), Table_Fuel_EFs_Transport[[#Headers],[Transport type]], 0)</f>
        <v>23.4</v>
      </c>
      <c r="G17" s="224" t="str" cm="1">
        <f t="array" ref="G17">Common_InputFunctions.Utility_DisplayArrayInTable(Fuel_SourceData.Fuel_Scope1Scope3EmissionFactorsTransport_Data(), Table_Fuel_EFs_Transport[[#Headers],[Transport type]], 0)</f>
        <v>kl</v>
      </c>
      <c r="H17" s="224" cm="1">
        <f t="array" ref="H17">Common_InputFunctions.Utility_DisplayArrayInTable(Fuel_SourceData.Fuel_Scope1Scope3EmissionFactorsTransport_Data(), Table_Fuel_EFs_Transport[[#Headers],[Transport type]], 0)</f>
        <v>0</v>
      </c>
      <c r="I17" s="224" cm="1">
        <f t="array" ref="I17">Common_InputFunctions.Utility_DisplayArrayInTable(Fuel_SourceData.Fuel_Scope1Scope3EmissionFactorsTransport_Data(), Table_Fuel_EFs_Transport[[#Headers],[Transport type]], 0)</f>
        <v>0.8</v>
      </c>
      <c r="J17" s="224" cm="1">
        <f t="array" ref="J17">Common_InputFunctions.Utility_DisplayArrayInTable(Fuel_SourceData.Fuel_Scope1Scope3EmissionFactorsTransport_Data(), Table_Fuel_EFs_Transport[[#Headers],[Transport type]], 0)</f>
        <v>1.7</v>
      </c>
      <c r="K17" s="224" cm="1">
        <f t="array" ref="K17">Common_InputFunctions.Utility_DisplayArrayInTable(Fuel_SourceData.Fuel_Scope1Scope3EmissionFactorsTransport_Data(), Table_Fuel_EFs_Transport[[#Headers],[Transport type]], 0)</f>
        <v>2.5</v>
      </c>
      <c r="L17" s="224"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4" t="str" cm="1">
        <f t="array" ref="D18">Common_InputFunctions.Utility_DisplayArrayInTable(Fuel_SourceData.Fuel_Scope1Scope3EmissionFactorsTransport_Data(), Table_Fuel_EFs_Transport[[#Headers],[Transport type]], 0)</f>
        <v>Light duty vehicles</v>
      </c>
      <c r="E18" s="224" t="str" cm="1">
        <f t="array" ref="E18">Common_InputFunctions.Utility_DisplayArrayInTable(Fuel_SourceData.Fuel_Scope1Scope3EmissionFactorsTransport_Data(), Table_Fuel_EFs_Transport[[#Headers],[Transport type]], 0)</f>
        <v>Compressed natural gas</v>
      </c>
      <c r="F18" s="224" cm="1">
        <f t="array" ref="F18">Common_InputFunctions.Utility_DisplayArrayInTable(Fuel_SourceData.Fuel_Scope1Scope3EmissionFactorsTransport_Data(), Table_Fuel_EFs_Transport[[#Headers],[Transport type]], 0)</f>
        <v>3.9300000000000002E-2</v>
      </c>
      <c r="G18" s="224" t="str" cm="1">
        <f t="array" ref="G18">Common_InputFunctions.Utility_DisplayArrayInTable(Fuel_SourceData.Fuel_Scope1Scope3EmissionFactorsTransport_Data(), Table_Fuel_EFs_Transport[[#Headers],[Transport type]], 0)</f>
        <v>m3</v>
      </c>
      <c r="H18" s="224" cm="1">
        <f t="array" ref="H18">Common_InputFunctions.Utility_DisplayArrayInTable(Fuel_SourceData.Fuel_Scope1Scope3EmissionFactorsTransport_Data(), Table_Fuel_EFs_Transport[[#Headers],[Transport type]], 0)</f>
        <v>51.4</v>
      </c>
      <c r="I18" s="224" cm="1">
        <f t="array" ref="I18">Common_InputFunctions.Utility_DisplayArrayInTable(Fuel_SourceData.Fuel_Scope1Scope3EmissionFactorsTransport_Data(), Table_Fuel_EFs_Transport[[#Headers],[Transport type]], 0)</f>
        <v>7.3</v>
      </c>
      <c r="J18" s="224" cm="1">
        <f t="array" ref="J18">Common_InputFunctions.Utility_DisplayArrayInTable(Fuel_SourceData.Fuel_Scope1Scope3EmissionFactorsTransport_Data(), Table_Fuel_EFs_Transport[[#Headers],[Transport type]], 0)</f>
        <v>0.3</v>
      </c>
      <c r="K18" s="224" cm="1">
        <f t="array" ref="K18">Common_InputFunctions.Utility_DisplayArrayInTable(Fuel_SourceData.Fuel_Scope1Scope3EmissionFactorsTransport_Data(), Table_Fuel_EFs_Transport[[#Headers],[Transport type]], 0)</f>
        <v>59</v>
      </c>
      <c r="L18" s="224"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4" t="str" cm="1">
        <f t="array" ref="D19">Common_InputFunctions.Utility_DisplayArrayInTable(Fuel_SourceData.Fuel_Scope1Scope3EmissionFactorsTransport_Data(), Table_Fuel_EFs_Transport[[#Headers],[Transport type]], 0)</f>
        <v>Light duty vehicles</v>
      </c>
      <c r="E19" s="224" t="str" cm="1">
        <f t="array" ref="E19">Common_InputFunctions.Utility_DisplayArrayInTable(Fuel_SourceData.Fuel_Scope1Scope3EmissionFactorsTransport_Data(), Table_Fuel_EFs_Transport[[#Headers],[Transport type]], 0)</f>
        <v>Liquefied natural gas</v>
      </c>
      <c r="F19" s="224" cm="1">
        <f t="array" ref="F19">Common_InputFunctions.Utility_DisplayArrayInTable(Fuel_SourceData.Fuel_Scope1Scope3EmissionFactorsTransport_Data(), Table_Fuel_EFs_Transport[[#Headers],[Transport type]], 0)</f>
        <v>25.3</v>
      </c>
      <c r="G19" s="224" t="str" cm="1">
        <f t="array" ref="G19">Common_InputFunctions.Utility_DisplayArrayInTable(Fuel_SourceData.Fuel_Scope1Scope3EmissionFactorsTransport_Data(), Table_Fuel_EFs_Transport[[#Headers],[Transport type]], 0)</f>
        <v>kl</v>
      </c>
      <c r="H19" s="224" cm="1">
        <f t="array" ref="H19">Common_InputFunctions.Utility_DisplayArrayInTable(Fuel_SourceData.Fuel_Scope1Scope3EmissionFactorsTransport_Data(), Table_Fuel_EFs_Transport[[#Headers],[Transport type]], 0)</f>
        <v>51.4</v>
      </c>
      <c r="I19" s="224" cm="1">
        <f t="array" ref="I19">Common_InputFunctions.Utility_DisplayArrayInTable(Fuel_SourceData.Fuel_Scope1Scope3EmissionFactorsTransport_Data(), Table_Fuel_EFs_Transport[[#Headers],[Transport type]], 0)</f>
        <v>7.3</v>
      </c>
      <c r="J19" s="224" cm="1">
        <f t="array" ref="J19">Common_InputFunctions.Utility_DisplayArrayInTable(Fuel_SourceData.Fuel_Scope1Scope3EmissionFactorsTransport_Data(), Table_Fuel_EFs_Transport[[#Headers],[Transport type]], 0)</f>
        <v>0.3</v>
      </c>
      <c r="K19" s="224" cm="1">
        <f t="array" ref="K19">Common_InputFunctions.Utility_DisplayArrayInTable(Fuel_SourceData.Fuel_Scope1Scope3EmissionFactorsTransport_Data(), Table_Fuel_EFs_Transport[[#Headers],[Transport type]], 0)</f>
        <v>59</v>
      </c>
      <c r="L19" s="224"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24" t="str" cm="1">
        <f t="array" ref="D20">Common_InputFunctions.Utility_DisplayArrayInTable(Fuel_SourceData.Fuel_Scope1Scope3EmissionFactorsTransport_Data(), Table_Fuel_EFs_Transport[[#Headers],[Transport type]], 0)</f>
        <v>Heavy duty vehicles</v>
      </c>
      <c r="E20" s="224" t="str" cm="1">
        <f t="array" ref="E20">Common_InputFunctions.Utility_DisplayArrayInTable(Fuel_SourceData.Fuel_Scope1Scope3EmissionFactorsTransport_Data(), Table_Fuel_EFs_Transport[[#Headers],[Transport type]], 0)</f>
        <v>Compressed natural gas</v>
      </c>
      <c r="F20" s="224" cm="1">
        <f t="array" ref="F20">Common_InputFunctions.Utility_DisplayArrayInTable(Fuel_SourceData.Fuel_Scope1Scope3EmissionFactorsTransport_Data(), Table_Fuel_EFs_Transport[[#Headers],[Transport type]], 0)</f>
        <v>3.9300000000000002E-2</v>
      </c>
      <c r="G20" s="224" t="str" cm="1">
        <f t="array" ref="G20">Common_InputFunctions.Utility_DisplayArrayInTable(Fuel_SourceData.Fuel_Scope1Scope3EmissionFactorsTransport_Data(), Table_Fuel_EFs_Transport[[#Headers],[Transport type]], 0)</f>
        <v>m3</v>
      </c>
      <c r="H20" s="224" cm="1">
        <f t="array" ref="H20">Common_InputFunctions.Utility_DisplayArrayInTable(Fuel_SourceData.Fuel_Scope1Scope3EmissionFactorsTransport_Data(), Table_Fuel_EFs_Transport[[#Headers],[Transport type]], 0)</f>
        <v>51.4</v>
      </c>
      <c r="I20" s="224" cm="1">
        <f t="array" ref="I20">Common_InputFunctions.Utility_DisplayArrayInTable(Fuel_SourceData.Fuel_Scope1Scope3EmissionFactorsTransport_Data(), Table_Fuel_EFs_Transport[[#Headers],[Transport type]], 0)</f>
        <v>2.8</v>
      </c>
      <c r="J20" s="224" cm="1">
        <f t="array" ref="J20">Common_InputFunctions.Utility_DisplayArrayInTable(Fuel_SourceData.Fuel_Scope1Scope3EmissionFactorsTransport_Data(), Table_Fuel_EFs_Transport[[#Headers],[Transport type]], 0)</f>
        <v>0.3</v>
      </c>
      <c r="K20" s="224" cm="1">
        <f t="array" ref="K20">Common_InputFunctions.Utility_DisplayArrayInTable(Fuel_SourceData.Fuel_Scope1Scope3EmissionFactorsTransport_Data(), Table_Fuel_EFs_Transport[[#Headers],[Transport type]], 0)</f>
        <v>54.5</v>
      </c>
      <c r="L20" s="224"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24" t="str" cm="1">
        <f t="array" ref="D21">Common_InputFunctions.Utility_DisplayArrayInTable(Fuel_SourceData.Fuel_Scope1Scope3EmissionFactorsTransport_Data(), Table_Fuel_EFs_Transport[[#Headers],[Transport type]], 0)</f>
        <v>Heavy duty vehicles</v>
      </c>
      <c r="E21" s="224" t="str" cm="1">
        <f t="array" ref="E21">Common_InputFunctions.Utility_DisplayArrayInTable(Fuel_SourceData.Fuel_Scope1Scope3EmissionFactorsTransport_Data(), Table_Fuel_EFs_Transport[[#Headers],[Transport type]], 0)</f>
        <v>Liquefied natural gas</v>
      </c>
      <c r="F21" s="224" cm="1">
        <f t="array" ref="F21">Common_InputFunctions.Utility_DisplayArrayInTable(Fuel_SourceData.Fuel_Scope1Scope3EmissionFactorsTransport_Data(), Table_Fuel_EFs_Transport[[#Headers],[Transport type]], 0)</f>
        <v>25.3</v>
      </c>
      <c r="G21" s="224" t="str" cm="1">
        <f t="array" ref="G21">Common_InputFunctions.Utility_DisplayArrayInTable(Fuel_SourceData.Fuel_Scope1Scope3EmissionFactorsTransport_Data(), Table_Fuel_EFs_Transport[[#Headers],[Transport type]], 0)</f>
        <v>kl</v>
      </c>
      <c r="H21" s="224" cm="1">
        <f t="array" ref="H21">Common_InputFunctions.Utility_DisplayArrayInTable(Fuel_SourceData.Fuel_Scope1Scope3EmissionFactorsTransport_Data(), Table_Fuel_EFs_Transport[[#Headers],[Transport type]], 0)</f>
        <v>51.4</v>
      </c>
      <c r="I21" s="224" cm="1">
        <f t="array" ref="I21">Common_InputFunctions.Utility_DisplayArrayInTable(Fuel_SourceData.Fuel_Scope1Scope3EmissionFactorsTransport_Data(), Table_Fuel_EFs_Transport[[#Headers],[Transport type]], 0)</f>
        <v>2.8</v>
      </c>
      <c r="J21" s="224" cm="1">
        <f t="array" ref="J21">Common_InputFunctions.Utility_DisplayArrayInTable(Fuel_SourceData.Fuel_Scope1Scope3EmissionFactorsTransport_Data(), Table_Fuel_EFs_Transport[[#Headers],[Transport type]], 0)</f>
        <v>0.3</v>
      </c>
      <c r="K21" s="224" cm="1">
        <f t="array" ref="K21">Common_InputFunctions.Utility_DisplayArrayInTable(Fuel_SourceData.Fuel_Scope1Scope3EmissionFactorsTransport_Data(), Table_Fuel_EFs_Transport[[#Headers],[Transport type]], 0)</f>
        <v>54.5</v>
      </c>
      <c r="L21" s="224"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24" t="str" cm="1">
        <f t="array" ref="D22">Common_InputFunctions.Utility_DisplayArrayInTable(Fuel_SourceData.Fuel_Scope1Scope3EmissionFactorsTransport_Data(), Table_Fuel_EFs_Transport[[#Headers],[Transport type]], 0)</f>
        <v>Heavy duty vehicles</v>
      </c>
      <c r="E22" s="224" t="str" cm="1">
        <f t="array" ref="E22">Common_InputFunctions.Utility_DisplayArrayInTable(Fuel_SourceData.Fuel_Scope1Scope3EmissionFactorsTransport_Data(), Table_Fuel_EFs_Transport[[#Headers],[Transport type]], 0)</f>
        <v>Diesel oil - Euro iv or higher</v>
      </c>
      <c r="F22" s="224" cm="1">
        <f t="array" ref="F22">Common_InputFunctions.Utility_DisplayArrayInTable(Fuel_SourceData.Fuel_Scope1Scope3EmissionFactorsTransport_Data(), Table_Fuel_EFs_Transport[[#Headers],[Transport type]], 0)</f>
        <v>38.6</v>
      </c>
      <c r="G22" s="224" t="str" cm="1">
        <f t="array" ref="G22">Common_InputFunctions.Utility_DisplayArrayInTable(Fuel_SourceData.Fuel_Scope1Scope3EmissionFactorsTransport_Data(), Table_Fuel_EFs_Transport[[#Headers],[Transport type]], 0)</f>
        <v>kl</v>
      </c>
      <c r="H22" s="224" cm="1">
        <f t="array" ref="H22">Common_InputFunctions.Utility_DisplayArrayInTable(Fuel_SourceData.Fuel_Scope1Scope3EmissionFactorsTransport_Data(), Table_Fuel_EFs_Transport[[#Headers],[Transport type]], 0)</f>
        <v>69.900000000000006</v>
      </c>
      <c r="I22" s="224" cm="1">
        <f t="array" ref="I22">Common_InputFunctions.Utility_DisplayArrayInTable(Fuel_SourceData.Fuel_Scope1Scope3EmissionFactorsTransport_Data(), Table_Fuel_EFs_Transport[[#Headers],[Transport type]], 0)</f>
        <v>7.0000000000000007E-2</v>
      </c>
      <c r="J22" s="224" cm="1">
        <f t="array" ref="J22">Common_InputFunctions.Utility_DisplayArrayInTable(Fuel_SourceData.Fuel_Scope1Scope3EmissionFactorsTransport_Data(), Table_Fuel_EFs_Transport[[#Headers],[Transport type]], 0)</f>
        <v>0.4</v>
      </c>
      <c r="K22" s="224" cm="1">
        <f t="array" ref="K22">Common_InputFunctions.Utility_DisplayArrayInTable(Fuel_SourceData.Fuel_Scope1Scope3EmissionFactorsTransport_Data(), Table_Fuel_EFs_Transport[[#Headers],[Transport type]], 0)</f>
        <v>70.37</v>
      </c>
      <c r="L22" s="224"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24" t="str" cm="1">
        <f t="array" ref="D23">Common_InputFunctions.Utility_DisplayArrayInTable(Fuel_SourceData.Fuel_Scope1Scope3EmissionFactorsTransport_Data(), Table_Fuel_EFs_Transport[[#Headers],[Transport type]], 0)</f>
        <v>Heavy duty vehicles</v>
      </c>
      <c r="E23" s="224" t="str" cm="1">
        <f t="array" ref="E23">Common_InputFunctions.Utility_DisplayArrayInTable(Fuel_SourceData.Fuel_Scope1Scope3EmissionFactorsTransport_Data(), Table_Fuel_EFs_Transport[[#Headers],[Transport type]], 0)</f>
        <v>Diesel oil - Euro iii</v>
      </c>
      <c r="F23" s="224" cm="1">
        <f t="array" ref="F23">Common_InputFunctions.Utility_DisplayArrayInTable(Fuel_SourceData.Fuel_Scope1Scope3EmissionFactorsTransport_Data(), Table_Fuel_EFs_Transport[[#Headers],[Transport type]], 0)</f>
        <v>38.6</v>
      </c>
      <c r="G23" s="224" t="str" cm="1">
        <f t="array" ref="G23">Common_InputFunctions.Utility_DisplayArrayInTable(Fuel_SourceData.Fuel_Scope1Scope3EmissionFactorsTransport_Data(), Table_Fuel_EFs_Transport[[#Headers],[Transport type]], 0)</f>
        <v>kl</v>
      </c>
      <c r="H23" s="224" cm="1">
        <f t="array" ref="H23">Common_InputFunctions.Utility_DisplayArrayInTable(Fuel_SourceData.Fuel_Scope1Scope3EmissionFactorsTransport_Data(), Table_Fuel_EFs_Transport[[#Headers],[Transport type]], 0)</f>
        <v>69.900000000000006</v>
      </c>
      <c r="I23" s="224" cm="1">
        <f t="array" ref="I23">Common_InputFunctions.Utility_DisplayArrayInTable(Fuel_SourceData.Fuel_Scope1Scope3EmissionFactorsTransport_Data(), Table_Fuel_EFs_Transport[[#Headers],[Transport type]], 0)</f>
        <v>0.1</v>
      </c>
      <c r="J23" s="224" cm="1">
        <f t="array" ref="J23">Common_InputFunctions.Utility_DisplayArrayInTable(Fuel_SourceData.Fuel_Scope1Scope3EmissionFactorsTransport_Data(), Table_Fuel_EFs_Transport[[#Headers],[Transport type]], 0)</f>
        <v>0.4</v>
      </c>
      <c r="K23" s="224" cm="1">
        <f t="array" ref="K23">Common_InputFunctions.Utility_DisplayArrayInTable(Fuel_SourceData.Fuel_Scope1Scope3EmissionFactorsTransport_Data(), Table_Fuel_EFs_Transport[[#Headers],[Transport type]], 0)</f>
        <v>70.400000000000006</v>
      </c>
      <c r="L23" s="224" cm="1">
        <f t="array" ref="L23">Common_InputFunctions.Utility_DisplayArrayInTable(Fuel_SourceData.Fuel_Scope1Scope3EmissionFactorsTransport_Data(), Table_Fuel_EFs_Transport[[#Headers],[Transport type]], 0)</f>
        <v>17.3</v>
      </c>
    </row>
    <row r="24" spans="1:12" ht="20.100000000000001" customHeight="1" x14ac:dyDescent="0.25">
      <c r="D24" s="224" t="str" cm="1">
        <f t="array" ref="D24">Common_InputFunctions.Utility_DisplayArrayInTable(Fuel_SourceData.Fuel_Scope1Scope3EmissionFactorsTransport_Data(), Table_Fuel_EFs_Transport[[#Headers],[Transport type]], 0)</f>
        <v>Heavy duty vehicles</v>
      </c>
      <c r="E24" s="224" t="str" cm="1">
        <f t="array" ref="E24">Common_InputFunctions.Utility_DisplayArrayInTable(Fuel_SourceData.Fuel_Scope1Scope3EmissionFactorsTransport_Data(), Table_Fuel_EFs_Transport[[#Headers],[Transport type]], 0)</f>
        <v>Diesel oil - Euro i</v>
      </c>
      <c r="F24" s="224" cm="1">
        <f t="array" ref="F24">Common_InputFunctions.Utility_DisplayArrayInTable(Fuel_SourceData.Fuel_Scope1Scope3EmissionFactorsTransport_Data(), Table_Fuel_EFs_Transport[[#Headers],[Transport type]], 0)</f>
        <v>38.6</v>
      </c>
      <c r="G24" s="224" t="str" cm="1">
        <f t="array" ref="G24">Common_InputFunctions.Utility_DisplayArrayInTable(Fuel_SourceData.Fuel_Scope1Scope3EmissionFactorsTransport_Data(), Table_Fuel_EFs_Transport[[#Headers],[Transport type]], 0)</f>
        <v>kl</v>
      </c>
      <c r="H24" s="224" cm="1">
        <f t="array" ref="H24">Common_InputFunctions.Utility_DisplayArrayInTable(Fuel_SourceData.Fuel_Scope1Scope3EmissionFactorsTransport_Data(), Table_Fuel_EFs_Transport[[#Headers],[Transport type]], 0)</f>
        <v>69.900000000000006</v>
      </c>
      <c r="I24" s="224" cm="1">
        <f t="array" ref="I24">Common_InputFunctions.Utility_DisplayArrayInTable(Fuel_SourceData.Fuel_Scope1Scope3EmissionFactorsTransport_Data(), Table_Fuel_EFs_Transport[[#Headers],[Transport type]], 0)</f>
        <v>0.2</v>
      </c>
      <c r="J24" s="224" cm="1">
        <f t="array" ref="J24">Common_InputFunctions.Utility_DisplayArrayInTable(Fuel_SourceData.Fuel_Scope1Scope3EmissionFactorsTransport_Data(), Table_Fuel_EFs_Transport[[#Headers],[Transport type]], 0)</f>
        <v>0.4</v>
      </c>
      <c r="K24" s="224" cm="1">
        <f t="array" ref="K24">Common_InputFunctions.Utility_DisplayArrayInTable(Fuel_SourceData.Fuel_Scope1Scope3EmissionFactorsTransport_Data(), Table_Fuel_EFs_Transport[[#Headers],[Transport type]], 0)</f>
        <v>70.5</v>
      </c>
      <c r="L24" s="224" cm="1">
        <f t="array" ref="L24">Common_InputFunctions.Utility_DisplayArrayInTable(Fuel_SourceData.Fuel_Scope1Scope3EmissionFactorsTransport_Data(), Table_Fuel_EFs_Transport[[#Headers],[Transport type]], 0)</f>
        <v>17.3</v>
      </c>
    </row>
    <row r="25" spans="1:12" ht="20.100000000000001" customHeight="1" x14ac:dyDescent="0.25">
      <c r="D25" s="224" t="str" cm="1">
        <f t="array" ref="D25">Common_InputFunctions.Utility_DisplayArrayInTable(Fuel_SourceData.Fuel_Scope1Scope3EmissionFactorsTransport_Data(), Table_Fuel_EFs_Transport[[#Headers],[Transport type]], 0)</f>
        <v>Heavy duty vehicles</v>
      </c>
      <c r="E25" s="224" t="str" cm="1">
        <f t="array" ref="E25">Common_InputFunctions.Utility_DisplayArrayInTable(Fuel_SourceData.Fuel_Scope1Scope3EmissionFactorsTransport_Data(), Table_Fuel_EFs_Transport[[#Headers],[Transport type]], 0)</f>
        <v>Renewable diesel – Euro iv or higher</v>
      </c>
      <c r="F25" s="224" cm="1">
        <f t="array" ref="F25">Common_InputFunctions.Utility_DisplayArrayInTable(Fuel_SourceData.Fuel_Scope1Scope3EmissionFactorsTransport_Data(), Table_Fuel_EFs_Transport[[#Headers],[Transport type]], 0)</f>
        <v>38.6</v>
      </c>
      <c r="G25" s="224" t="str" cm="1">
        <f t="array" ref="G25">Common_InputFunctions.Utility_DisplayArrayInTable(Fuel_SourceData.Fuel_Scope1Scope3EmissionFactorsTransport_Data(), Table_Fuel_EFs_Transport[[#Headers],[Transport type]], 0)</f>
        <v>kl</v>
      </c>
      <c r="H25" s="224" cm="1">
        <f t="array" ref="H25">Common_InputFunctions.Utility_DisplayArrayInTable(Fuel_SourceData.Fuel_Scope1Scope3EmissionFactorsTransport_Data(), Table_Fuel_EFs_Transport[[#Headers],[Transport type]], 0)</f>
        <v>0</v>
      </c>
      <c r="I25" s="224" cm="1">
        <f t="array" ref="I25">Common_InputFunctions.Utility_DisplayArrayInTable(Fuel_SourceData.Fuel_Scope1Scope3EmissionFactorsTransport_Data(), Table_Fuel_EFs_Transport[[#Headers],[Transport type]], 0)</f>
        <v>7.0000000000000007E-2</v>
      </c>
      <c r="J25" s="224" cm="1">
        <f t="array" ref="J25">Common_InputFunctions.Utility_DisplayArrayInTable(Fuel_SourceData.Fuel_Scope1Scope3EmissionFactorsTransport_Data(), Table_Fuel_EFs_Transport[[#Headers],[Transport type]], 0)</f>
        <v>0.4</v>
      </c>
      <c r="K25" s="224" cm="1">
        <f t="array" ref="K25">Common_InputFunctions.Utility_DisplayArrayInTable(Fuel_SourceData.Fuel_Scope1Scope3EmissionFactorsTransport_Data(), Table_Fuel_EFs_Transport[[#Headers],[Transport type]], 0)</f>
        <v>0.47</v>
      </c>
      <c r="L25" s="224"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24" t="str" cm="1">
        <f t="array" ref="D26">Common_InputFunctions.Utility_DisplayArrayInTable(Fuel_SourceData.Fuel_Scope1Scope3EmissionFactorsTransport_Data(), Table_Fuel_EFs_Transport[[#Headers],[Transport type]], 0)</f>
        <v>Heavy duty vehicles</v>
      </c>
      <c r="E26" s="224" t="str" cm="1">
        <f t="array" ref="E26">Common_InputFunctions.Utility_DisplayArrayInTable(Fuel_SourceData.Fuel_Scope1Scope3EmissionFactorsTransport_Data(), Table_Fuel_EFs_Transport[[#Headers],[Transport type]], 0)</f>
        <v>Renewable diesel – Euro iii</v>
      </c>
      <c r="F26" s="224" cm="1">
        <f t="array" ref="F26">Common_InputFunctions.Utility_DisplayArrayInTable(Fuel_SourceData.Fuel_Scope1Scope3EmissionFactorsTransport_Data(), Table_Fuel_EFs_Transport[[#Headers],[Transport type]], 0)</f>
        <v>38.6</v>
      </c>
      <c r="G26" s="224" t="str" cm="1">
        <f t="array" ref="G26">Common_InputFunctions.Utility_DisplayArrayInTable(Fuel_SourceData.Fuel_Scope1Scope3EmissionFactorsTransport_Data(), Table_Fuel_EFs_Transport[[#Headers],[Transport type]], 0)</f>
        <v>kl</v>
      </c>
      <c r="H26" s="224" cm="1">
        <f t="array" ref="H26">Common_InputFunctions.Utility_DisplayArrayInTable(Fuel_SourceData.Fuel_Scope1Scope3EmissionFactorsTransport_Data(), Table_Fuel_EFs_Transport[[#Headers],[Transport type]], 0)</f>
        <v>0</v>
      </c>
      <c r="I26" s="224" cm="1">
        <f t="array" ref="I26">Common_InputFunctions.Utility_DisplayArrayInTable(Fuel_SourceData.Fuel_Scope1Scope3EmissionFactorsTransport_Data(), Table_Fuel_EFs_Transport[[#Headers],[Transport type]], 0)</f>
        <v>0.1</v>
      </c>
      <c r="J26" s="224" cm="1">
        <f t="array" ref="J26">Common_InputFunctions.Utility_DisplayArrayInTable(Fuel_SourceData.Fuel_Scope1Scope3EmissionFactorsTransport_Data(), Table_Fuel_EFs_Transport[[#Headers],[Transport type]], 0)</f>
        <v>0.4</v>
      </c>
      <c r="K26" s="224" cm="1">
        <f t="array" ref="K26">Common_InputFunctions.Utility_DisplayArrayInTable(Fuel_SourceData.Fuel_Scope1Scope3EmissionFactorsTransport_Data(), Table_Fuel_EFs_Transport[[#Headers],[Transport type]], 0)</f>
        <v>0.5</v>
      </c>
      <c r="L26" s="224"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HYPERLINK("#'3.2.1.1-2 Enteric Methane'!A1", "3.2.1.1-2 Enteric methane")</f>
        <v>3.2.1.1-2 Enteric methane</v>
      </c>
      <c r="D27" s="224" t="str" cm="1">
        <f t="array" ref="D27">Common_InputFunctions.Utility_DisplayArrayInTable(Fuel_SourceData.Fuel_Scope1Scope3EmissionFactorsTransport_Data(), Table_Fuel_EFs_Transport[[#Headers],[Transport type]], 0)</f>
        <v>Heavy duty vehicles</v>
      </c>
      <c r="E27" s="224" t="str" cm="1">
        <f t="array" ref="E27">Common_InputFunctions.Utility_DisplayArrayInTable(Fuel_SourceData.Fuel_Scope1Scope3EmissionFactorsTransport_Data(), Table_Fuel_EFs_Transport[[#Headers],[Transport type]], 0)</f>
        <v>Renewable diesel – Euro i</v>
      </c>
      <c r="F27" s="224" cm="1">
        <f t="array" ref="F27">Common_InputFunctions.Utility_DisplayArrayInTable(Fuel_SourceData.Fuel_Scope1Scope3EmissionFactorsTransport_Data(), Table_Fuel_EFs_Transport[[#Headers],[Transport type]], 0)</f>
        <v>38.6</v>
      </c>
      <c r="G27" s="224" t="str" cm="1">
        <f t="array" ref="G27">Common_InputFunctions.Utility_DisplayArrayInTable(Fuel_SourceData.Fuel_Scope1Scope3EmissionFactorsTransport_Data(), Table_Fuel_EFs_Transport[[#Headers],[Transport type]], 0)</f>
        <v>kl</v>
      </c>
      <c r="H27" s="224" cm="1">
        <f t="array" ref="H27">Common_InputFunctions.Utility_DisplayArrayInTable(Fuel_SourceData.Fuel_Scope1Scope3EmissionFactorsTransport_Data(), Table_Fuel_EFs_Transport[[#Headers],[Transport type]], 0)</f>
        <v>0</v>
      </c>
      <c r="I27" s="224" cm="1">
        <f t="array" ref="I27">Common_InputFunctions.Utility_DisplayArrayInTable(Fuel_SourceData.Fuel_Scope1Scope3EmissionFactorsTransport_Data(), Table_Fuel_EFs_Transport[[#Headers],[Transport type]], 0)</f>
        <v>0.2</v>
      </c>
      <c r="J27" s="224" cm="1">
        <f t="array" ref="J27">Common_InputFunctions.Utility_DisplayArrayInTable(Fuel_SourceData.Fuel_Scope1Scope3EmissionFactorsTransport_Data(), Table_Fuel_EFs_Transport[[#Headers],[Transport type]], 0)</f>
        <v>0.4</v>
      </c>
      <c r="K27" s="224" cm="1">
        <f t="array" ref="K27">Common_InputFunctions.Utility_DisplayArrayInTable(Fuel_SourceData.Fuel_Scope1Scope3EmissionFactorsTransport_Data(), Table_Fuel_EFs_Transport[[#Headers],[Transport type]], 0)</f>
        <v>0.6</v>
      </c>
      <c r="L27" s="224"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HYPERLINK("#'4.2.1.1-2 Methane'!A1", "4.2.1.1-2 Manure methane")</f>
        <v>4.2.1.1-2 Manure methane</v>
      </c>
      <c r="D28" s="224" t="str" cm="1">
        <f t="array" ref="D28">Common_InputFunctions.Utility_DisplayArrayInTable(Fuel_SourceData.Fuel_Scope1Scope3EmissionFactorsTransport_Data(), Table_Fuel_EFs_Transport[[#Headers],[Transport type]], 0)</f>
        <v>Aviation</v>
      </c>
      <c r="E28" s="224" t="str" cm="1">
        <f t="array" ref="E28">Common_InputFunctions.Utility_DisplayArrayInTable(Fuel_SourceData.Fuel_Scope1Scope3EmissionFactorsTransport_Data(), Table_Fuel_EFs_Transport[[#Headers],[Transport type]], 0)</f>
        <v>Gasoline for use as fuel in an aircraft</v>
      </c>
      <c r="F28" s="224" cm="1">
        <f t="array" ref="F28">Common_InputFunctions.Utility_DisplayArrayInTable(Fuel_SourceData.Fuel_Scope1Scope3EmissionFactorsTransport_Data(), Table_Fuel_EFs_Transport[[#Headers],[Transport type]], 0)</f>
        <v>33.1</v>
      </c>
      <c r="G28" s="224" t="str" cm="1">
        <f t="array" ref="G28">Common_InputFunctions.Utility_DisplayArrayInTable(Fuel_SourceData.Fuel_Scope1Scope3EmissionFactorsTransport_Data(), Table_Fuel_EFs_Transport[[#Headers],[Transport type]], 0)</f>
        <v>kl</v>
      </c>
      <c r="H28" s="224" cm="1">
        <f t="array" ref="H28">Common_InputFunctions.Utility_DisplayArrayInTable(Fuel_SourceData.Fuel_Scope1Scope3EmissionFactorsTransport_Data(), Table_Fuel_EFs_Transport[[#Headers],[Transport type]], 0)</f>
        <v>67</v>
      </c>
      <c r="I28" s="224" cm="1">
        <f t="array" ref="I28">Common_InputFunctions.Utility_DisplayArrayInTable(Fuel_SourceData.Fuel_Scope1Scope3EmissionFactorsTransport_Data(), Table_Fuel_EFs_Transport[[#Headers],[Transport type]], 0)</f>
        <v>0.06</v>
      </c>
      <c r="J28" s="224" cm="1">
        <f t="array" ref="J28">Common_InputFunctions.Utility_DisplayArrayInTable(Fuel_SourceData.Fuel_Scope1Scope3EmissionFactorsTransport_Data(), Table_Fuel_EFs_Transport[[#Headers],[Transport type]], 0)</f>
        <v>0.6</v>
      </c>
      <c r="K28" s="224" cm="1">
        <f t="array" ref="K28">Common_InputFunctions.Utility_DisplayArrayInTable(Fuel_SourceData.Fuel_Scope1Scope3EmissionFactorsTransport_Data(), Table_Fuel_EFs_Transport[[#Headers],[Transport type]], 0)</f>
        <v>67.66</v>
      </c>
      <c r="L28" s="224"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HYPERLINK("#'4.2.1.3-4 Soil direct N20'!A1", "4.2.1.3-4 Soil direct N2O")</f>
        <v>4.2.1.3-4 Soil direct N2O</v>
      </c>
      <c r="D29" s="224" t="str" cm="1">
        <f t="array" ref="D29">Common_InputFunctions.Utility_DisplayArrayInTable(Fuel_SourceData.Fuel_Scope1Scope3EmissionFactorsTransport_Data(), Table_Fuel_EFs_Transport[[#Headers],[Transport type]], 0)</f>
        <v>Aviation</v>
      </c>
      <c r="E29" s="224" t="str" cm="1">
        <f t="array" ref="E29">Common_InputFunctions.Utility_DisplayArrayInTable(Fuel_SourceData.Fuel_Scope1Scope3EmissionFactorsTransport_Data(), Table_Fuel_EFs_Transport[[#Headers],[Transport type]], 0)</f>
        <v>Kerosene for use as fuel in an aircraft</v>
      </c>
      <c r="F29" s="224" cm="1">
        <f t="array" ref="F29">Common_InputFunctions.Utility_DisplayArrayInTable(Fuel_SourceData.Fuel_Scope1Scope3EmissionFactorsTransport_Data(), Table_Fuel_EFs_Transport[[#Headers],[Transport type]], 0)</f>
        <v>36.799999999999997</v>
      </c>
      <c r="G29" s="224" t="str" cm="1">
        <f t="array" ref="G29">Common_InputFunctions.Utility_DisplayArrayInTable(Fuel_SourceData.Fuel_Scope1Scope3EmissionFactorsTransport_Data(), Table_Fuel_EFs_Transport[[#Headers],[Transport type]], 0)</f>
        <v>kl</v>
      </c>
      <c r="H29" s="224" cm="1">
        <f t="array" ref="H29">Common_InputFunctions.Utility_DisplayArrayInTable(Fuel_SourceData.Fuel_Scope1Scope3EmissionFactorsTransport_Data(), Table_Fuel_EFs_Transport[[#Headers],[Transport type]], 0)</f>
        <v>69.599999999999994</v>
      </c>
      <c r="I29" s="224" cm="1">
        <f t="array" ref="I29">Common_InputFunctions.Utility_DisplayArrayInTable(Fuel_SourceData.Fuel_Scope1Scope3EmissionFactorsTransport_Data(), Table_Fuel_EFs_Transport[[#Headers],[Transport type]], 0)</f>
        <v>0.01</v>
      </c>
      <c r="J29" s="224" cm="1">
        <f t="array" ref="J29">Common_InputFunctions.Utility_DisplayArrayInTable(Fuel_SourceData.Fuel_Scope1Scope3EmissionFactorsTransport_Data(), Table_Fuel_EFs_Transport[[#Headers],[Transport type]], 0)</f>
        <v>0.6</v>
      </c>
      <c r="K29" s="224" cm="1">
        <f t="array" ref="K29">Common_InputFunctions.Utility_DisplayArrayInTable(Fuel_SourceData.Fuel_Scope1Scope3EmissionFactorsTransport_Data(), Table_Fuel_EFs_Transport[[#Headers],[Transport type]], 0)</f>
        <v>70.209999999999994</v>
      </c>
      <c r="L29" s="224"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HYPERLINK("#'4.2.1.5-6 Soil Atmos Dep'!A1", "4.2.1.5-6 Soil atm. deposition")</f>
        <v>4.2.1.5-6 Soil atm. deposition</v>
      </c>
      <c r="D30" s="224" t="str" cm="1">
        <f t="array" ref="D30">Common_InputFunctions.Utility_DisplayArrayInTable(Fuel_SourceData.Fuel_Scope1Scope3EmissionFactorsTransport_Data(), Table_Fuel_EFs_Transport[[#Headers],[Transport type]], 0)</f>
        <v>Aviation</v>
      </c>
      <c r="E30" s="224" t="str" cm="1">
        <f t="array" ref="E30">Common_InputFunctions.Utility_DisplayArrayInTable(Fuel_SourceData.Fuel_Scope1Scope3EmissionFactorsTransport_Data(), Table_Fuel_EFs_Transport[[#Headers],[Transport type]], 0)</f>
        <v>Renewable aviation kerosene</v>
      </c>
      <c r="F30" s="224" cm="1">
        <f t="array" ref="F30">Common_InputFunctions.Utility_DisplayArrayInTable(Fuel_SourceData.Fuel_Scope1Scope3EmissionFactorsTransport_Data(), Table_Fuel_EFs_Transport[[#Headers],[Transport type]], 0)</f>
        <v>36.799999999999997</v>
      </c>
      <c r="G30" s="224" t="str" cm="1">
        <f t="array" ref="G30">Common_InputFunctions.Utility_DisplayArrayInTable(Fuel_SourceData.Fuel_Scope1Scope3EmissionFactorsTransport_Data(), Table_Fuel_EFs_Transport[[#Headers],[Transport type]], 0)</f>
        <v>kl</v>
      </c>
      <c r="H30" s="224" cm="1">
        <f t="array" ref="H30">Common_InputFunctions.Utility_DisplayArrayInTable(Fuel_SourceData.Fuel_Scope1Scope3EmissionFactorsTransport_Data(), Table_Fuel_EFs_Transport[[#Headers],[Transport type]], 0)</f>
        <v>0</v>
      </c>
      <c r="I30" s="224" cm="1">
        <f t="array" ref="I30">Common_InputFunctions.Utility_DisplayArrayInTable(Fuel_SourceData.Fuel_Scope1Scope3EmissionFactorsTransport_Data(), Table_Fuel_EFs_Transport[[#Headers],[Transport type]], 0)</f>
        <v>0.01</v>
      </c>
      <c r="J30" s="224" cm="1">
        <f t="array" ref="J30">Common_InputFunctions.Utility_DisplayArrayInTable(Fuel_SourceData.Fuel_Scope1Scope3EmissionFactorsTransport_Data(), Table_Fuel_EFs_Transport[[#Headers],[Transport type]], 0)</f>
        <v>0.6</v>
      </c>
      <c r="K30" s="224" cm="1">
        <f t="array" ref="K30">Common_InputFunctions.Utility_DisplayArrayInTable(Fuel_SourceData.Fuel_Scope1Scope3EmissionFactorsTransport_Data(), Table_Fuel_EFs_Transport[[#Headers],[Transport type]], 0)</f>
        <v>0.61</v>
      </c>
      <c r="L30" s="224"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HYPERLINK("#'4.2.1.7-8 Soil leach runoff'!A1", "4.2.1.7-8 Soil leach &amp; runoff")</f>
        <v>4.2.1.7-8 Soil leach &amp; runoff</v>
      </c>
      <c r="D31" s="224" t="str" cm="1">
        <f t="array" ref="D31">Common_InputFunctions.Utility_DisplayArrayInTable(Fuel_SourceData.Fuel_Scope1Scope3EmissionFactorsTransport_Data(), Table_Fuel_EFs_Transport[[#Headers],[Transport type]], 0)</f>
        <v>Vessels</v>
      </c>
      <c r="E31" s="224" t="str" cm="1">
        <f t="array" ref="E31">Common_InputFunctions.Utility_DisplayArrayInTable(Fuel_SourceData.Fuel_Scope1Scope3EmissionFactorsTransport_Data(), Table_Fuel_EFs_Transport[[#Headers],[Transport type]], 0)</f>
        <v>Gasoline</v>
      </c>
      <c r="F31" s="224" cm="1">
        <f t="array" ref="F31">Common_InputFunctions.Utility_DisplayArrayInTable(Fuel_SourceData.Fuel_Scope1Scope3EmissionFactorsTransport_Data(), Table_Fuel_EFs_Transport[[#Headers],[Transport type]], 0)</f>
        <v>34.200000000000003</v>
      </c>
      <c r="G31" s="224" t="str" cm="1">
        <f t="array" ref="G31">Common_InputFunctions.Utility_DisplayArrayInTable(Fuel_SourceData.Fuel_Scope1Scope3EmissionFactorsTransport_Data(), Table_Fuel_EFs_Transport[[#Headers],[Transport type]], 0)</f>
        <v>kL</v>
      </c>
      <c r="H31" s="224" cm="1">
        <f t="array" ref="H31">Common_InputFunctions.Utility_DisplayArrayInTable(Fuel_SourceData.Fuel_Scope1Scope3EmissionFactorsTransport_Data(), Table_Fuel_EFs_Transport[[#Headers],[Transport type]], 0)</f>
        <v>67.400000000000006</v>
      </c>
      <c r="I31" s="224" cm="1">
        <f t="array" ref="I31">Common_InputFunctions.Utility_DisplayArrayInTable(Fuel_SourceData.Fuel_Scope1Scope3EmissionFactorsTransport_Data(), Table_Fuel_EFs_Transport[[#Headers],[Transport type]], 0)</f>
        <v>10.1</v>
      </c>
      <c r="J31" s="224" cm="1">
        <f t="array" ref="J31">Common_InputFunctions.Utility_DisplayArrayInTable(Fuel_SourceData.Fuel_Scope1Scope3EmissionFactorsTransport_Data(), Table_Fuel_EFs_Transport[[#Headers],[Transport type]], 0)</f>
        <v>0.3</v>
      </c>
      <c r="K31" s="224" t="str" cm="1">
        <f t="array" ref="K31">Common_InputFunctions.Utility_DisplayArrayInTable(Fuel_SourceData.Fuel_Scope1Scope3EmissionFactorsTransport_Data(), Table_Fuel_EFs_Transport[[#Headers],[Transport type]], 0)</f>
        <v/>
      </c>
      <c r="L31" s="224"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HYPERLINK("#'5.1.1.1-2 Inorganic fert N2O'!A1", "5.1.1.1-2 Inorganic fert N2O")</f>
        <v>5.1.1.1-2 Inorganic fert N2O</v>
      </c>
      <c r="D32" s="225" t="str" cm="1">
        <f t="array" ref="D32">Common_InputFunctions.Utility_DisplayArrayInTable(Fuel_SourceData.Fuel_Scope1Scope3EmissionFactorsTransport_Data(), Table_Fuel_EFs_Transport[[#Headers],[Transport type]], 0)</f>
        <v>Vessels</v>
      </c>
      <c r="E32" s="225" t="str" cm="1">
        <f t="array" ref="E32">Common_InputFunctions.Utility_DisplayArrayInTable(Fuel_SourceData.Fuel_Scope1Scope3EmissionFactorsTransport_Data(), Table_Fuel_EFs_Transport[[#Headers],[Transport type]], 0)</f>
        <v>Diesel oil</v>
      </c>
      <c r="F32" s="225" cm="1">
        <f t="array" ref="F32">Common_InputFunctions.Utility_DisplayArrayInTable(Fuel_SourceData.Fuel_Scope1Scope3EmissionFactorsTransport_Data(), Table_Fuel_EFs_Transport[[#Headers],[Transport type]], 0)</f>
        <v>38.6</v>
      </c>
      <c r="G32" s="225" t="str" cm="1">
        <f t="array" ref="G32">Common_InputFunctions.Utility_DisplayArrayInTable(Fuel_SourceData.Fuel_Scope1Scope3EmissionFactorsTransport_Data(), Table_Fuel_EFs_Transport[[#Headers],[Transport type]], 0)</f>
        <v>kL</v>
      </c>
      <c r="H32" s="225" cm="1">
        <f t="array" ref="H32">Common_InputFunctions.Utility_DisplayArrayInTable(Fuel_SourceData.Fuel_Scope1Scope3EmissionFactorsTransport_Data(), Table_Fuel_EFs_Transport[[#Headers],[Transport type]], 0)</f>
        <v>69.900000000000006</v>
      </c>
      <c r="I32" s="225" cm="1">
        <f t="array" ref="I32">Common_InputFunctions.Utility_DisplayArrayInTable(Fuel_SourceData.Fuel_Scope1Scope3EmissionFactorsTransport_Data(), Table_Fuel_EFs_Transport[[#Headers],[Transport type]], 0)</f>
        <v>0.2</v>
      </c>
      <c r="J32" s="225" cm="1">
        <f t="array" ref="J32">Common_InputFunctions.Utility_DisplayArrayInTable(Fuel_SourceData.Fuel_Scope1Scope3EmissionFactorsTransport_Data(), Table_Fuel_EFs_Transport[[#Headers],[Transport type]], 0)</f>
        <v>0.5</v>
      </c>
      <c r="K32" s="225" t="str" cm="1">
        <f t="array" ref="K32">Common_InputFunctions.Utility_DisplayArrayInTable(Fuel_SourceData.Fuel_Scope1Scope3EmissionFactorsTransport_Data(), Table_Fuel_EFs_Transport[[#Headers],[Transport type]], 0)</f>
        <v/>
      </c>
      <c r="L32" s="225"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HYPERLINK("#'5.1.1.3-4 Inorganic fert CO2'!A1", "5.1.1.3-4 Inorganic fert CO2")</f>
        <v>5.1.1.3-4 Inorganic fert CO2</v>
      </c>
      <c r="D33" s="225" t="str" cm="1">
        <f t="array" ref="D33">Common_InputFunctions.Utility_DisplayArrayInTable(Fuel_SourceData.Fuel_Scope1Scope3EmissionFactorsTransport_Data(), Table_Fuel_EFs_Transport[[#Headers],[Transport type]], 0)</f>
        <v>Vessels</v>
      </c>
      <c r="E33" s="225" t="str" cm="1">
        <f t="array" ref="E33">Common_InputFunctions.Utility_DisplayArrayInTable(Fuel_SourceData.Fuel_Scope1Scope3EmissionFactorsTransport_Data(), Table_Fuel_EFs_Transport[[#Headers],[Transport type]], 0)</f>
        <v>Fuel Oil</v>
      </c>
      <c r="F33" s="225" cm="1">
        <f t="array" ref="F33">Common_InputFunctions.Utility_DisplayArrayInTable(Fuel_SourceData.Fuel_Scope1Scope3EmissionFactorsTransport_Data(), Table_Fuel_EFs_Transport[[#Headers],[Transport type]], 0)</f>
        <v>39.700000000000003</v>
      </c>
      <c r="G33" s="225" t="str" cm="1">
        <f t="array" ref="G33">Common_InputFunctions.Utility_DisplayArrayInTable(Fuel_SourceData.Fuel_Scope1Scope3EmissionFactorsTransport_Data(), Table_Fuel_EFs_Transport[[#Headers],[Transport type]], 0)</f>
        <v>kL</v>
      </c>
      <c r="H33" s="225" cm="1">
        <f t="array" ref="H33">Common_InputFunctions.Utility_DisplayArrayInTable(Fuel_SourceData.Fuel_Scope1Scope3EmissionFactorsTransport_Data(), Table_Fuel_EFs_Transport[[#Headers],[Transport type]], 0)</f>
        <v>73.599999999999994</v>
      </c>
      <c r="I33" s="225" cm="1">
        <f t="array" ref="I33">Common_InputFunctions.Utility_DisplayArrayInTable(Fuel_SourceData.Fuel_Scope1Scope3EmissionFactorsTransport_Data(), Table_Fuel_EFs_Transport[[#Headers],[Transport type]], 0)</f>
        <v>0.2</v>
      </c>
      <c r="J33" s="225" cm="1">
        <f t="array" ref="J33">Common_InputFunctions.Utility_DisplayArrayInTable(Fuel_SourceData.Fuel_Scope1Scope3EmissionFactorsTransport_Data(), Table_Fuel_EFs_Transport[[#Headers],[Transport type]], 0)</f>
        <v>0.5</v>
      </c>
      <c r="K33" s="225" t="str" cm="1">
        <f t="array" ref="K33">Common_InputFunctions.Utility_DisplayArrayInTable(Fuel_SourceData.Fuel_Scope1Scope3EmissionFactorsTransport_Data(), Table_Fuel_EFs_Transport[[#Headers],[Transport type]], 0)</f>
        <v/>
      </c>
      <c r="L33" s="225"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HYPERLINK("#'5.2.1.1-2 Organic Fert N2O'!A1", "5.2.1.1-2 Organic fert N2O")</f>
        <v>5.2.1.1-2 Organic fert N2O</v>
      </c>
      <c r="D34" s="225" t="str" cm="1">
        <f t="array" ref="D34">Common_InputFunctions.Utility_DisplayArrayInTable(Fuel_SourceData.Fuel_Scope1Scope3EmissionFactorsTransport_Data(), Table_Fuel_EFs_Transport[[#Headers],[Transport type]], 0)</f>
        <v>Off-road Agriculture and forestry equipment</v>
      </c>
      <c r="E34" s="225" t="str" cm="1">
        <f t="array" ref="E34">Common_InputFunctions.Utility_DisplayArrayInTable(Fuel_SourceData.Fuel_Scope1Scope3EmissionFactorsTransport_Data(), Table_Fuel_EFs_Transport[[#Headers],[Transport type]], 0)</f>
        <v>Diesel oil</v>
      </c>
      <c r="F34" s="225" cm="1">
        <f t="array" ref="F34">Common_InputFunctions.Utility_DisplayArrayInTable(Fuel_SourceData.Fuel_Scope1Scope3EmissionFactorsTransport_Data(), Table_Fuel_EFs_Transport[[#Headers],[Transport type]], 0)</f>
        <v>38.6</v>
      </c>
      <c r="G34" s="225" t="str" cm="1">
        <f t="array" ref="G34">Common_InputFunctions.Utility_DisplayArrayInTable(Fuel_SourceData.Fuel_Scope1Scope3EmissionFactorsTransport_Data(), Table_Fuel_EFs_Transport[[#Headers],[Transport type]], 0)</f>
        <v>kL</v>
      </c>
      <c r="H34" s="225" cm="1">
        <f t="array" ref="H34">Common_InputFunctions.Utility_DisplayArrayInTable(Fuel_SourceData.Fuel_Scope1Scope3EmissionFactorsTransport_Data(), Table_Fuel_EFs_Transport[[#Headers],[Transport type]], 0)</f>
        <v>69.900000000000006</v>
      </c>
      <c r="I34" s="225" cm="1">
        <f t="array" ref="I34">Common_InputFunctions.Utility_DisplayArrayInTable(Fuel_SourceData.Fuel_Scope1Scope3EmissionFactorsTransport_Data(), Table_Fuel_EFs_Transport[[#Headers],[Transport type]], 0)</f>
        <v>0.3</v>
      </c>
      <c r="J34" s="225" cm="1">
        <f t="array" ref="J34">Common_InputFunctions.Utility_DisplayArrayInTable(Fuel_SourceData.Fuel_Scope1Scope3EmissionFactorsTransport_Data(), Table_Fuel_EFs_Transport[[#Headers],[Transport type]], 0)</f>
        <v>0.5</v>
      </c>
      <c r="K34" s="225" t="str" cm="1">
        <f t="array" ref="K34">Common_InputFunctions.Utility_DisplayArrayInTable(Fuel_SourceData.Fuel_Scope1Scope3EmissionFactorsTransport_Data(), Table_Fuel_EFs_Transport[[#Headers],[Transport type]], 0)</f>
        <v/>
      </c>
      <c r="L34" s="225"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row>
    <row r="37" spans="1:12" ht="20.100000000000001" customHeight="1" x14ac:dyDescent="0.25">
      <c r="A37" s="5" t="str">
        <f>HYPERLINK("#'5.5.1.1-2 Leaching and runoff'!A1", "5.5.1.1-2 Leaching &amp; runoff")</f>
        <v>5.5.1.1-2 Leaching &amp; runoff</v>
      </c>
      <c r="D37" s="2" t="str" cm="1">
        <f t="array" ref="D37">Fuel_SourceData.Fuel_Scope1Scope3EmissionFactorsTransportOffRoad_Title()</f>
        <v>Fuel scope 1 and 3 emission factors - Off-road equipment and vessels</v>
      </c>
    </row>
    <row r="38" spans="1:12" ht="20.100000000000001" customHeight="1" x14ac:dyDescent="0.25">
      <c r="A38" s="5" t="str">
        <f>HYPERLINK("#'6.2.1.1-2 Pasture residue N2O'!A1", "6.2.1.1-2 Pasture residue N2O")</f>
        <v>6.2.1.1-2 Pasture residue N2O</v>
      </c>
      <c r="D38" s="27" t="str" cm="1">
        <f t="array" ref="D38">Fuel_SourceData.Fuel_Scope1Scope3EmissionFactorsTransportOffRoad_Source()</f>
        <v>VEERG 2026: Table A.4.2.1</v>
      </c>
    </row>
    <row r="39" spans="1:12" ht="20.100000000000001" customHeight="1" x14ac:dyDescent="0.25">
      <c r="A39" s="5" t="str">
        <f>HYPERLINK("#'6.3.1.1-2 Leach runoff pasture'!A1", "6.3.1.1-2 Leach &amp; runoff (pasture)")</f>
        <v>6.3.1.1-2 Leach &amp; runoff (pasture)</v>
      </c>
      <c r="D39" s="30" t="s">
        <v>763</v>
      </c>
      <c r="E39" s="30" t="s">
        <v>764</v>
      </c>
      <c r="F39" s="30" t="s">
        <v>765</v>
      </c>
      <c r="G39" s="30" t="s">
        <v>766</v>
      </c>
      <c r="H39" s="30" t="s">
        <v>767</v>
      </c>
      <c r="I39" s="30" t="s">
        <v>768</v>
      </c>
      <c r="J39" s="30" t="s">
        <v>769</v>
      </c>
    </row>
    <row r="40" spans="1:12" ht="20.100000000000001" customHeight="1" x14ac:dyDescent="0.25">
      <c r="A40" s="5" t="str">
        <f>HYPERLINK("#'8.1.1.1-2 Transport fuel'!A1", "8.1.1.1-2 Transport fuel")</f>
        <v>8.1.1.1-2 Transport fuel</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HYPERLINK("#'8.2.1.1-2 Stationary fuel'!A1", "8.2.1.1-2 Stationary fuel")</f>
        <v>8.2.1.1-2 Stationary fuel</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HYPERLINK("#'14.1.1-2 Purchased electricity'!A1", "14.1.1-2 Purchased electricity")</f>
        <v>14.1.1-2 Purchased electricity</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HYPERLINK("#'15 Scope 3'!A1", "15 Scope 3")</f>
        <v>15 Scope 3</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6" t="s">
        <v>1</v>
      </c>
    </row>
    <row r="49" spans="1:12" ht="20.100000000000001" customHeight="1" x14ac:dyDescent="0.25">
      <c r="A49" s="5" t="str">
        <f>HYPERLINK("#'Constants - Pasture Beef'!A1", "Constants - Pasture Beef")</f>
        <v>Constants - Pasture Beef</v>
      </c>
      <c r="D49" s="2" t="str" cm="1">
        <f t="array" ref="D49">Fuel_SourceData.Fuel_Scope1Scope3EmissionFactorsStationaryLiquid_Title()</f>
        <v>Fuel scope 1 and 3 emission factors - Stationary liquid fuels</v>
      </c>
      <c r="E49" s="173"/>
      <c r="F49" s="173"/>
      <c r="G49" s="173"/>
      <c r="H49" s="173"/>
      <c r="I49" s="173"/>
      <c r="J49" s="173"/>
      <c r="K49" s="173"/>
      <c r="L49" s="173"/>
    </row>
    <row r="50" spans="1:12" ht="20.100000000000001" customHeight="1" x14ac:dyDescent="0.25">
      <c r="A50" s="5" t="str">
        <f>HYPERLINK("#'Constants - Ag Residue'!A1", "Constants - Ag residue")</f>
        <v>Constants - Ag residue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3"/>
      <c r="F50" s="173"/>
      <c r="G50" s="173"/>
      <c r="H50" s="173"/>
      <c r="I50" s="173"/>
      <c r="J50" s="173"/>
      <c r="K50" s="173"/>
      <c r="L50" s="173"/>
    </row>
    <row r="51" spans="1:12" ht="20.100000000000001" customHeight="1" x14ac:dyDescent="0.25">
      <c r="A51" s="5" t="str">
        <f>HYPERLINK("#'Constants - Common Livestock'!A1", "Constants - Common Livestock")</f>
        <v>Constants - Common Livestock</v>
      </c>
      <c r="D51" s="27" t="str" cm="1">
        <f t="array" ref="D51">Fuel_SourceData.Fuel_Scope1Scope3EmissionFactorsStationaryLiquid_Source()</f>
        <v>Australian National Greenhouse Accounts Factors 2025 - Table 8</v>
      </c>
      <c r="E51" s="173"/>
      <c r="F51" s="173"/>
      <c r="G51" s="173"/>
      <c r="H51" s="173"/>
      <c r="I51" s="173"/>
      <c r="J51" s="173"/>
      <c r="K51" s="173"/>
      <c r="L51" s="173"/>
    </row>
    <row r="52" spans="1:12" ht="20.100000000000001" customHeight="1" x14ac:dyDescent="0.25">
      <c r="A52" s="5" t="str">
        <f>HYPERLINK("#'Constants - Electricity'!A1", "Constants - Electricity")</f>
        <v>Constants - Electricity</v>
      </c>
      <c r="D52" s="36" t="str" cm="1">
        <f t="array" ref="D52">"⚠️" &amp; Fuel_SourceData.Fuel_Scope1Scope3EmissionFactorsStationaryLiquid_Variation()</f>
        <v>⚠️VARIATION OF SOURCE DATA: 'NE' values returned as zero for calculations.</v>
      </c>
      <c r="E52" s="173"/>
      <c r="F52" s="173"/>
      <c r="G52" s="173"/>
      <c r="H52" s="173"/>
      <c r="I52" s="173"/>
      <c r="J52" s="173"/>
      <c r="K52" s="173"/>
      <c r="L52" s="173"/>
    </row>
    <row r="53" spans="1:12" ht="20.100000000000001" customHeight="1" x14ac:dyDescent="0.25">
      <c r="A53" s="5" t="str">
        <f>HYPERLINK("#'Constants - Fertiliser'!A1", "Constants - Fertiliser")</f>
        <v>Constants - Fertiliser</v>
      </c>
      <c r="D53" s="191" t="s">
        <v>755</v>
      </c>
      <c r="E53" s="223" t="s">
        <v>756</v>
      </c>
      <c r="F53" s="191" t="s">
        <v>757</v>
      </c>
      <c r="G53" s="223" t="s">
        <v>758</v>
      </c>
      <c r="H53" s="223" t="s">
        <v>759</v>
      </c>
      <c r="I53" s="223" t="s">
        <v>760</v>
      </c>
      <c r="J53" s="223" t="s">
        <v>761</v>
      </c>
      <c r="K53" s="223" t="s">
        <v>762</v>
      </c>
      <c r="L53" s="173"/>
    </row>
    <row r="54" spans="1:12" ht="20.100000000000001" customHeight="1" x14ac:dyDescent="0.25">
      <c r="A54" s="121" t="str">
        <f>HYPERLINK("#'Constants - Fuel'!A1", "Constants - Fuel")</f>
        <v>Constants - Fuel</v>
      </c>
      <c r="D54" s="2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6" cm="1">
        <f t="array" ref="E54">Common_InputFunctions.Utility_DisplayArrayInTable(Fuel_SourceData.Fuel_Scope1Scope3EmissionFactorsStationaryLiquid_Data(), Table_Fuel_EFs_StationaryLiquid[[#Headers],[Fuel combusted]],0)</f>
        <v>38.799999999999997</v>
      </c>
      <c r="F54" s="226" t="str" cm="1">
        <f t="array" ref="F54">Common_InputFunctions.Utility_DisplayArrayInTable(Fuel_SourceData.Fuel_Scope1Scope3EmissionFactorsStationaryLiquid_Data(), Table_Fuel_EFs_StationaryLiquid[[#Headers],[Fuel combusted]],0)</f>
        <v>kl</v>
      </c>
      <c r="G54" s="226" cm="1">
        <f t="array" ref="G54">Common_InputFunctions.Utility_DisplayArrayInTable(Fuel_SourceData.Fuel_Scope1Scope3EmissionFactorsStationaryLiquid_Data(), Table_Fuel_EFs_StationaryLiquid[[#Headers],[Fuel combusted]],0)</f>
        <v>13.9</v>
      </c>
      <c r="H54" s="226" cm="1">
        <f t="array" ref="H54">Common_InputFunctions.Utility_DisplayArrayInTable(Fuel_SourceData.Fuel_Scope1Scope3EmissionFactorsStationaryLiquid_Data(), Table_Fuel_EFs_StationaryLiquid[[#Headers],[Fuel combusted]],0)</f>
        <v>0</v>
      </c>
      <c r="I54" s="226" cm="1">
        <f t="array" ref="I54">Common_InputFunctions.Utility_DisplayArrayInTable(Fuel_SourceData.Fuel_Scope1Scope3EmissionFactorsStationaryLiquid_Data(), Table_Fuel_EFs_StationaryLiquid[[#Headers],[Fuel combusted]],0)</f>
        <v>0</v>
      </c>
      <c r="J54" s="226" cm="1">
        <f t="array" ref="J54">Common_InputFunctions.Utility_DisplayArrayInTable(Fuel_SourceData.Fuel_Scope1Scope3EmissionFactorsStationaryLiquid_Data(), Table_Fuel_EFs_StationaryLiquid[[#Headers],[Fuel combusted]],0)</f>
        <v>13.9</v>
      </c>
      <c r="K54" s="226" cm="1">
        <f t="array" ref="K54">Common_InputFunctions.Utility_DisplayArrayInTable(Fuel_SourceData.Fuel_Scope1Scope3EmissionFactorsStationaryLiquid_Data(), Table_Fuel_EFs_StationaryLiquid[[#Headers],[Fuel combusted]],0)</f>
        <v>18</v>
      </c>
      <c r="L54" s="173"/>
    </row>
    <row r="55" spans="1:12" ht="20.100000000000001" customHeight="1" x14ac:dyDescent="0.25">
      <c r="A55" s="5" t="str">
        <f>HYPERLINK("#'Constants - Scope 3'!A1", "Constants - Scope 3")</f>
        <v>Constants - Scope 3</v>
      </c>
      <c r="D55" s="226" t="str" cm="1">
        <f t="array" ref="D55">Common_InputFunctions.Utility_DisplayArrayInTable(Fuel_SourceData.Fuel_Scope1Scope3EmissionFactorsStationaryLiquid_Data(), Table_Fuel_EFs_StationaryLiquid[[#Headers],[Fuel combusted]],0)</f>
        <v>Petroleum based greases</v>
      </c>
      <c r="E55" s="226" cm="1">
        <f t="array" ref="E55">Common_InputFunctions.Utility_DisplayArrayInTable(Fuel_SourceData.Fuel_Scope1Scope3EmissionFactorsStationaryLiquid_Data(), Table_Fuel_EFs_StationaryLiquid[[#Headers],[Fuel combusted]],0)</f>
        <v>38.799999999999997</v>
      </c>
      <c r="F55" s="226" t="str" cm="1">
        <f t="array" ref="F55">Common_InputFunctions.Utility_DisplayArrayInTable(Fuel_SourceData.Fuel_Scope1Scope3EmissionFactorsStationaryLiquid_Data(), Table_Fuel_EFs_StationaryLiquid[[#Headers],[Fuel combusted]],0)</f>
        <v>kl</v>
      </c>
      <c r="G55" s="226" cm="1">
        <f t="array" ref="G55">Common_InputFunctions.Utility_DisplayArrayInTable(Fuel_SourceData.Fuel_Scope1Scope3EmissionFactorsStationaryLiquid_Data(), Table_Fuel_EFs_StationaryLiquid[[#Headers],[Fuel combusted]],0)</f>
        <v>3.5</v>
      </c>
      <c r="H55" s="226" cm="1">
        <f t="array" ref="H55">Common_InputFunctions.Utility_DisplayArrayInTable(Fuel_SourceData.Fuel_Scope1Scope3EmissionFactorsStationaryLiquid_Data(), Table_Fuel_EFs_StationaryLiquid[[#Headers],[Fuel combusted]],0)</f>
        <v>0</v>
      </c>
      <c r="I55" s="226" cm="1">
        <f t="array" ref="I55">Common_InputFunctions.Utility_DisplayArrayInTable(Fuel_SourceData.Fuel_Scope1Scope3EmissionFactorsStationaryLiquid_Data(), Table_Fuel_EFs_StationaryLiquid[[#Headers],[Fuel combusted]],0)</f>
        <v>0</v>
      </c>
      <c r="J55" s="226" cm="1">
        <f t="array" ref="J55">Common_InputFunctions.Utility_DisplayArrayInTable(Fuel_SourceData.Fuel_Scope1Scope3EmissionFactorsStationaryLiquid_Data(), Table_Fuel_EFs_StationaryLiquid[[#Headers],[Fuel combusted]],0)</f>
        <v>3.5</v>
      </c>
      <c r="K55" s="226" cm="1">
        <f t="array" ref="K55">Common_InputFunctions.Utility_DisplayArrayInTable(Fuel_SourceData.Fuel_Scope1Scope3EmissionFactorsStationaryLiquid_Data(), Table_Fuel_EFs_StationaryLiquid[[#Headers],[Fuel combusted]],0)</f>
        <v>18</v>
      </c>
      <c r="L55" s="173"/>
    </row>
    <row r="56" spans="1:12" ht="20.100000000000001" customHeight="1" x14ac:dyDescent="0.25">
      <c r="A56" s="5" t="str">
        <f>HYPERLINK("#'Constants - Common'!A1", "Constants - Common")</f>
        <v>Constants - Common</v>
      </c>
      <c r="D56" s="226" t="str" cm="1">
        <f t="array" ref="D56">Common_InputFunctions.Utility_DisplayArrayInTable(Fuel_SourceData.Fuel_Scope1Scope3EmissionFactorsStationaryLiquid_Data(), Table_Fuel_EFs_StationaryLiquid[[#Headers],[Fuel combusted]],0)</f>
        <v>Crude oil including crude oil condensates</v>
      </c>
      <c r="E56" s="226" cm="1">
        <f t="array" ref="E56">Common_InputFunctions.Utility_DisplayArrayInTable(Fuel_SourceData.Fuel_Scope1Scope3EmissionFactorsStationaryLiquid_Data(), Table_Fuel_EFs_StationaryLiquid[[#Headers],[Fuel combusted]],0)</f>
        <v>45.3</v>
      </c>
      <c r="F56" s="226" t="str" cm="1">
        <f t="array" ref="F56">Common_InputFunctions.Utility_DisplayArrayInTable(Fuel_SourceData.Fuel_Scope1Scope3EmissionFactorsStationaryLiquid_Data(), Table_Fuel_EFs_StationaryLiquid[[#Headers],[Fuel combusted]],0)</f>
        <v>t</v>
      </c>
      <c r="G56" s="226" cm="1">
        <f t="array" ref="G56">Common_InputFunctions.Utility_DisplayArrayInTable(Fuel_SourceData.Fuel_Scope1Scope3EmissionFactorsStationaryLiquid_Data(), Table_Fuel_EFs_StationaryLiquid[[#Headers],[Fuel combusted]],0)</f>
        <v>69.599999999999994</v>
      </c>
      <c r="H56" s="226" cm="1">
        <f t="array" ref="H56">Common_InputFunctions.Utility_DisplayArrayInTable(Fuel_SourceData.Fuel_Scope1Scope3EmissionFactorsStationaryLiquid_Data(), Table_Fuel_EFs_StationaryLiquid[[#Headers],[Fuel combusted]],0)</f>
        <v>0.08</v>
      </c>
      <c r="I56" s="226" cm="1">
        <f t="array" ref="I56">Common_InputFunctions.Utility_DisplayArrayInTable(Fuel_SourceData.Fuel_Scope1Scope3EmissionFactorsStationaryLiquid_Data(), Table_Fuel_EFs_StationaryLiquid[[#Headers],[Fuel combusted]],0)</f>
        <v>0.2</v>
      </c>
      <c r="J56" s="226" cm="1">
        <f t="array" ref="J56">Common_InputFunctions.Utility_DisplayArrayInTable(Fuel_SourceData.Fuel_Scope1Scope3EmissionFactorsStationaryLiquid_Data(), Table_Fuel_EFs_StationaryLiquid[[#Headers],[Fuel combusted]],0)</f>
        <v>69.88</v>
      </c>
      <c r="K56" s="226" t="str" cm="1">
        <f t="array" ref="K56">Common_InputFunctions.Utility_DisplayArrayInTable(Fuel_SourceData.Fuel_Scope1Scope3EmissionFactorsStationaryLiquid_Data(), Table_Fuel_EFs_StationaryLiquid[[#Headers],[Fuel combusted]],0)</f>
        <v>NE</v>
      </c>
      <c r="L56" s="173"/>
    </row>
    <row r="57" spans="1:12" ht="20.100000000000001" customHeight="1" x14ac:dyDescent="0.25">
      <c r="A57" s="5" t="str">
        <f>HYPERLINK("#'Acknowledgements'!A1", "Acknowledgements")</f>
        <v>Acknowledgements</v>
      </c>
      <c r="D57" s="226" t="str" cm="1">
        <f t="array" ref="D57">Common_InputFunctions.Utility_DisplayArrayInTable(Fuel_SourceData.Fuel_Scope1Scope3EmissionFactorsStationaryLiquid_Data(), Table_Fuel_EFs_StationaryLiquid[[#Headers],[Fuel combusted]],0)</f>
        <v>Other natural gas liquids</v>
      </c>
      <c r="E57" s="226" cm="1">
        <f t="array" ref="E57">Common_InputFunctions.Utility_DisplayArrayInTable(Fuel_SourceData.Fuel_Scope1Scope3EmissionFactorsStationaryLiquid_Data(), Table_Fuel_EFs_StationaryLiquid[[#Headers],[Fuel combusted]],0)</f>
        <v>46.5</v>
      </c>
      <c r="F57" s="226" t="str" cm="1">
        <f t="array" ref="F57">Common_InputFunctions.Utility_DisplayArrayInTable(Fuel_SourceData.Fuel_Scope1Scope3EmissionFactorsStationaryLiquid_Data(), Table_Fuel_EFs_StationaryLiquid[[#Headers],[Fuel combusted]],0)</f>
        <v>t</v>
      </c>
      <c r="G57" s="226" cm="1">
        <f t="array" ref="G57">Common_InputFunctions.Utility_DisplayArrayInTable(Fuel_SourceData.Fuel_Scope1Scope3EmissionFactorsStationaryLiquid_Data(), Table_Fuel_EFs_StationaryLiquid[[#Headers],[Fuel combusted]],0)</f>
        <v>61</v>
      </c>
      <c r="H57" s="226" cm="1">
        <f t="array" ref="H57">Common_InputFunctions.Utility_DisplayArrayInTable(Fuel_SourceData.Fuel_Scope1Scope3EmissionFactorsStationaryLiquid_Data(), Table_Fuel_EFs_StationaryLiquid[[#Headers],[Fuel combusted]],0)</f>
        <v>0.08</v>
      </c>
      <c r="I57" s="226" cm="1">
        <f t="array" ref="I57">Common_InputFunctions.Utility_DisplayArrayInTable(Fuel_SourceData.Fuel_Scope1Scope3EmissionFactorsStationaryLiquid_Data(), Table_Fuel_EFs_StationaryLiquid[[#Headers],[Fuel combusted]],0)</f>
        <v>0.2</v>
      </c>
      <c r="J57" s="226" cm="1">
        <f t="array" ref="J57">Common_InputFunctions.Utility_DisplayArrayInTable(Fuel_SourceData.Fuel_Scope1Scope3EmissionFactorsStationaryLiquid_Data(), Table_Fuel_EFs_StationaryLiquid[[#Headers],[Fuel combusted]],0)</f>
        <v>61.28</v>
      </c>
      <c r="K57" s="226" t="str" cm="1">
        <f t="array" ref="K57">Common_InputFunctions.Utility_DisplayArrayInTable(Fuel_SourceData.Fuel_Scope1Scope3EmissionFactorsStationaryLiquid_Data(), Table_Fuel_EFs_StationaryLiquid[[#Headers],[Fuel combusted]],0)</f>
        <v>NE</v>
      </c>
      <c r="L57" s="173"/>
    </row>
    <row r="58" spans="1:12" ht="20.100000000000001" customHeight="1" x14ac:dyDescent="0.25">
      <c r="A58" s="5" t="str">
        <f>HYPERLINK("#'Constants - Solid Waste'!A1", "Constants - Solid Waste")</f>
        <v>Constants - Solid Waste</v>
      </c>
      <c r="D58" s="2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6" cm="1">
        <f t="array" ref="E58">Common_InputFunctions.Utility_DisplayArrayInTable(Fuel_SourceData.Fuel_Scope1Scope3EmissionFactorsStationaryLiquid_Data(), Table_Fuel_EFs_StationaryLiquid[[#Headers],[Fuel combusted]],0)</f>
        <v>34.200000000000003</v>
      </c>
      <c r="F58" s="226" t="str" cm="1">
        <f t="array" ref="F58">Common_InputFunctions.Utility_DisplayArrayInTable(Fuel_SourceData.Fuel_Scope1Scope3EmissionFactorsStationaryLiquid_Data(), Table_Fuel_EFs_StationaryLiquid[[#Headers],[Fuel combusted]],0)</f>
        <v>kL</v>
      </c>
      <c r="G58" s="226" cm="1">
        <f t="array" ref="G58">Common_InputFunctions.Utility_DisplayArrayInTable(Fuel_SourceData.Fuel_Scope1Scope3EmissionFactorsStationaryLiquid_Data(), Table_Fuel_EFs_StationaryLiquid[[#Headers],[Fuel combusted]],0)</f>
        <v>67.400000000000006</v>
      </c>
      <c r="H58" s="226" cm="1">
        <f t="array" ref="H58">Common_InputFunctions.Utility_DisplayArrayInTable(Fuel_SourceData.Fuel_Scope1Scope3EmissionFactorsStationaryLiquid_Data(), Table_Fuel_EFs_StationaryLiquid[[#Headers],[Fuel combusted]],0)</f>
        <v>0.2</v>
      </c>
      <c r="I58" s="226" cm="1">
        <f t="array" ref="I58">Common_InputFunctions.Utility_DisplayArrayInTable(Fuel_SourceData.Fuel_Scope1Scope3EmissionFactorsStationaryLiquid_Data(), Table_Fuel_EFs_StationaryLiquid[[#Headers],[Fuel combusted]],0)</f>
        <v>0.2</v>
      </c>
      <c r="J58" s="226" cm="1">
        <f t="array" ref="J58">Common_InputFunctions.Utility_DisplayArrayInTable(Fuel_SourceData.Fuel_Scope1Scope3EmissionFactorsStationaryLiquid_Data(), Table_Fuel_EFs_StationaryLiquid[[#Headers],[Fuel combusted]],0)</f>
        <v>67.8</v>
      </c>
      <c r="K58" s="226" cm="1">
        <f t="array" ref="K58">Common_InputFunctions.Utility_DisplayArrayInTable(Fuel_SourceData.Fuel_Scope1Scope3EmissionFactorsStationaryLiquid_Data(), Table_Fuel_EFs_StationaryLiquid[[#Headers],[Fuel combusted]],0)</f>
        <v>17.2</v>
      </c>
      <c r="L58" s="173"/>
    </row>
    <row r="59" spans="1:12" ht="20.100000000000001" customHeight="1" x14ac:dyDescent="0.25">
      <c r="D59" s="226" t="str" cm="1">
        <f t="array" ref="D59">Common_InputFunctions.Utility_DisplayArrayInTable(Fuel_SourceData.Fuel_Scope1Scope3EmissionFactorsStationaryLiquid_Data(), Table_Fuel_EFs_StationaryLiquid[[#Headers],[Fuel combusted]],0)</f>
        <v>Aviation gasoline</v>
      </c>
      <c r="E59" s="226" cm="1">
        <f t="array" ref="E59">Common_InputFunctions.Utility_DisplayArrayInTable(Fuel_SourceData.Fuel_Scope1Scope3EmissionFactorsStationaryLiquid_Data(), Table_Fuel_EFs_StationaryLiquid[[#Headers],[Fuel combusted]],0)</f>
        <v>33.1</v>
      </c>
      <c r="F59" s="226" t="str" cm="1">
        <f t="array" ref="F59">Common_InputFunctions.Utility_DisplayArrayInTable(Fuel_SourceData.Fuel_Scope1Scope3EmissionFactorsStationaryLiquid_Data(), Table_Fuel_EFs_StationaryLiquid[[#Headers],[Fuel combusted]],0)</f>
        <v>kL</v>
      </c>
      <c r="G59" s="226" cm="1">
        <f t="array" ref="G59">Common_InputFunctions.Utility_DisplayArrayInTable(Fuel_SourceData.Fuel_Scope1Scope3EmissionFactorsStationaryLiquid_Data(), Table_Fuel_EFs_StationaryLiquid[[#Headers],[Fuel combusted]],0)</f>
        <v>67</v>
      </c>
      <c r="H59" s="226" cm="1">
        <f t="array" ref="H59">Common_InputFunctions.Utility_DisplayArrayInTable(Fuel_SourceData.Fuel_Scope1Scope3EmissionFactorsStationaryLiquid_Data(), Table_Fuel_EFs_StationaryLiquid[[#Headers],[Fuel combusted]],0)</f>
        <v>0.2</v>
      </c>
      <c r="I59" s="226" cm="1">
        <f t="array" ref="I59">Common_InputFunctions.Utility_DisplayArrayInTable(Fuel_SourceData.Fuel_Scope1Scope3EmissionFactorsStationaryLiquid_Data(), Table_Fuel_EFs_StationaryLiquid[[#Headers],[Fuel combusted]],0)</f>
        <v>0.2</v>
      </c>
      <c r="J59" s="226" cm="1">
        <f t="array" ref="J59">Common_InputFunctions.Utility_DisplayArrayInTable(Fuel_SourceData.Fuel_Scope1Scope3EmissionFactorsStationaryLiquid_Data(), Table_Fuel_EFs_StationaryLiquid[[#Headers],[Fuel combusted]],0)</f>
        <v>67.400000000000006</v>
      </c>
      <c r="K59" s="226" cm="1">
        <f t="array" ref="K59">Common_InputFunctions.Utility_DisplayArrayInTable(Fuel_SourceData.Fuel_Scope1Scope3EmissionFactorsStationaryLiquid_Data(), Table_Fuel_EFs_StationaryLiquid[[#Headers],[Fuel combusted]],0)</f>
        <v>18</v>
      </c>
      <c r="L59" s="173"/>
    </row>
    <row r="60" spans="1:12" ht="20.100000000000001" customHeight="1" x14ac:dyDescent="0.25">
      <c r="D60" s="226" t="str" cm="1">
        <f t="array" ref="D60">Common_InputFunctions.Utility_DisplayArrayInTable(Fuel_SourceData.Fuel_Scope1Scope3EmissionFactorsStationaryLiquid_Data(), Table_Fuel_EFs_StationaryLiquid[[#Headers],[Fuel combusted]],0)</f>
        <v>Kerosene (other than for use as fuel in an aircraft)</v>
      </c>
      <c r="E60" s="226" cm="1">
        <f t="array" ref="E60">Common_InputFunctions.Utility_DisplayArrayInTable(Fuel_SourceData.Fuel_Scope1Scope3EmissionFactorsStationaryLiquid_Data(), Table_Fuel_EFs_StationaryLiquid[[#Headers],[Fuel combusted]],0)</f>
        <v>37.5</v>
      </c>
      <c r="F60" s="226" t="str" cm="1">
        <f t="array" ref="F60">Common_InputFunctions.Utility_DisplayArrayInTable(Fuel_SourceData.Fuel_Scope1Scope3EmissionFactorsStationaryLiquid_Data(), Table_Fuel_EFs_StationaryLiquid[[#Headers],[Fuel combusted]],0)</f>
        <v>kL</v>
      </c>
      <c r="G60" s="226" cm="1">
        <f t="array" ref="G60">Common_InputFunctions.Utility_DisplayArrayInTable(Fuel_SourceData.Fuel_Scope1Scope3EmissionFactorsStationaryLiquid_Data(), Table_Fuel_EFs_StationaryLiquid[[#Headers],[Fuel combusted]],0)</f>
        <v>68.900000000000006</v>
      </c>
      <c r="H60" s="226" cm="1">
        <f t="array" ref="H60">Common_InputFunctions.Utility_DisplayArrayInTable(Fuel_SourceData.Fuel_Scope1Scope3EmissionFactorsStationaryLiquid_Data(), Table_Fuel_EFs_StationaryLiquid[[#Headers],[Fuel combusted]],0)</f>
        <v>0.01</v>
      </c>
      <c r="I60" s="226" cm="1">
        <f t="array" ref="I60">Common_InputFunctions.Utility_DisplayArrayInTable(Fuel_SourceData.Fuel_Scope1Scope3EmissionFactorsStationaryLiquid_Data(), Table_Fuel_EFs_StationaryLiquid[[#Headers],[Fuel combusted]],0)</f>
        <v>0.2</v>
      </c>
      <c r="J60" s="226" cm="1">
        <f t="array" ref="J60">Common_InputFunctions.Utility_DisplayArrayInTable(Fuel_SourceData.Fuel_Scope1Scope3EmissionFactorsStationaryLiquid_Data(), Table_Fuel_EFs_StationaryLiquid[[#Headers],[Fuel combusted]],0)</f>
        <v>69.11</v>
      </c>
      <c r="K60" s="226" cm="1">
        <f t="array" ref="K60">Common_InputFunctions.Utility_DisplayArrayInTable(Fuel_SourceData.Fuel_Scope1Scope3EmissionFactorsStationaryLiquid_Data(), Table_Fuel_EFs_StationaryLiquid[[#Headers],[Fuel combusted]],0)</f>
        <v>18</v>
      </c>
      <c r="L60" s="173"/>
    </row>
    <row r="61" spans="1:12" ht="20.100000000000001" customHeight="1" x14ac:dyDescent="0.25">
      <c r="D61" s="226" t="str" cm="1">
        <f t="array" ref="D61">Common_InputFunctions.Utility_DisplayArrayInTable(Fuel_SourceData.Fuel_Scope1Scope3EmissionFactorsStationaryLiquid_Data(), Table_Fuel_EFs_StationaryLiquid[[#Headers],[Fuel combusted]],0)</f>
        <v>Aviation turbine fuel / kerosene</v>
      </c>
      <c r="E61" s="226" cm="1">
        <f t="array" ref="E61">Common_InputFunctions.Utility_DisplayArrayInTable(Fuel_SourceData.Fuel_Scope1Scope3EmissionFactorsStationaryLiquid_Data(), Table_Fuel_EFs_StationaryLiquid[[#Headers],[Fuel combusted]],0)</f>
        <v>36.799999999999997</v>
      </c>
      <c r="F61" s="226" t="str" cm="1">
        <f t="array" ref="F61">Common_InputFunctions.Utility_DisplayArrayInTable(Fuel_SourceData.Fuel_Scope1Scope3EmissionFactorsStationaryLiquid_Data(), Table_Fuel_EFs_StationaryLiquid[[#Headers],[Fuel combusted]],0)</f>
        <v>kL</v>
      </c>
      <c r="G61" s="226" cm="1">
        <f t="array" ref="G61">Common_InputFunctions.Utility_DisplayArrayInTable(Fuel_SourceData.Fuel_Scope1Scope3EmissionFactorsStationaryLiquid_Data(), Table_Fuel_EFs_StationaryLiquid[[#Headers],[Fuel combusted]],0)</f>
        <v>69.599999999999994</v>
      </c>
      <c r="H61" s="226" cm="1">
        <f t="array" ref="H61">Common_InputFunctions.Utility_DisplayArrayInTable(Fuel_SourceData.Fuel_Scope1Scope3EmissionFactorsStationaryLiquid_Data(), Table_Fuel_EFs_StationaryLiquid[[#Headers],[Fuel combusted]],0)</f>
        <v>0.02</v>
      </c>
      <c r="I61" s="226" cm="1">
        <f t="array" ref="I61">Common_InputFunctions.Utility_DisplayArrayInTable(Fuel_SourceData.Fuel_Scope1Scope3EmissionFactorsStationaryLiquid_Data(), Table_Fuel_EFs_StationaryLiquid[[#Headers],[Fuel combusted]],0)</f>
        <v>0.2</v>
      </c>
      <c r="J61" s="226" cm="1">
        <f t="array" ref="J61">Common_InputFunctions.Utility_DisplayArrayInTable(Fuel_SourceData.Fuel_Scope1Scope3EmissionFactorsStationaryLiquid_Data(), Table_Fuel_EFs_StationaryLiquid[[#Headers],[Fuel combusted]],0)</f>
        <v>69.819999999999993</v>
      </c>
      <c r="K61" s="226" cm="1">
        <f t="array" ref="K61">Common_InputFunctions.Utility_DisplayArrayInTable(Fuel_SourceData.Fuel_Scope1Scope3EmissionFactorsStationaryLiquid_Data(), Table_Fuel_EFs_StationaryLiquid[[#Headers],[Fuel combusted]],0)</f>
        <v>18</v>
      </c>
      <c r="L61" s="173"/>
    </row>
    <row r="62" spans="1:12" ht="20.100000000000001" customHeight="1" x14ac:dyDescent="0.25">
      <c r="D62" s="226" t="str" cm="1">
        <f t="array" ref="D62">Common_InputFunctions.Utility_DisplayArrayInTable(Fuel_SourceData.Fuel_Scope1Scope3EmissionFactorsStationaryLiquid_Data(), Table_Fuel_EFs_StationaryLiquid[[#Headers],[Fuel combusted]],0)</f>
        <v>Heating oil</v>
      </c>
      <c r="E62" s="226" cm="1">
        <f t="array" ref="E62">Common_InputFunctions.Utility_DisplayArrayInTable(Fuel_SourceData.Fuel_Scope1Scope3EmissionFactorsStationaryLiquid_Data(), Table_Fuel_EFs_StationaryLiquid[[#Headers],[Fuel combusted]],0)</f>
        <v>37.299999999999997</v>
      </c>
      <c r="F62" s="226" t="str" cm="1">
        <f t="array" ref="F62">Common_InputFunctions.Utility_DisplayArrayInTable(Fuel_SourceData.Fuel_Scope1Scope3EmissionFactorsStationaryLiquid_Data(), Table_Fuel_EFs_StationaryLiquid[[#Headers],[Fuel combusted]],0)</f>
        <v>kL</v>
      </c>
      <c r="G62" s="226" cm="1">
        <f t="array" ref="G62">Common_InputFunctions.Utility_DisplayArrayInTable(Fuel_SourceData.Fuel_Scope1Scope3EmissionFactorsStationaryLiquid_Data(), Table_Fuel_EFs_StationaryLiquid[[#Headers],[Fuel combusted]],0)</f>
        <v>69.5</v>
      </c>
      <c r="H62" s="226" cm="1">
        <f t="array" ref="H62">Common_InputFunctions.Utility_DisplayArrayInTable(Fuel_SourceData.Fuel_Scope1Scope3EmissionFactorsStationaryLiquid_Data(), Table_Fuel_EFs_StationaryLiquid[[#Headers],[Fuel combusted]],0)</f>
        <v>0.03</v>
      </c>
      <c r="I62" s="226" cm="1">
        <f t="array" ref="I62">Common_InputFunctions.Utility_DisplayArrayInTable(Fuel_SourceData.Fuel_Scope1Scope3EmissionFactorsStationaryLiquid_Data(), Table_Fuel_EFs_StationaryLiquid[[#Headers],[Fuel combusted]],0)</f>
        <v>0.2</v>
      </c>
      <c r="J62" s="226" cm="1">
        <f t="array" ref="J62">Common_InputFunctions.Utility_DisplayArrayInTable(Fuel_SourceData.Fuel_Scope1Scope3EmissionFactorsStationaryLiquid_Data(), Table_Fuel_EFs_StationaryLiquid[[#Headers],[Fuel combusted]],0)</f>
        <v>69.73</v>
      </c>
      <c r="K62" s="226" cm="1">
        <f t="array" ref="K62">Common_InputFunctions.Utility_DisplayArrayInTable(Fuel_SourceData.Fuel_Scope1Scope3EmissionFactorsStationaryLiquid_Data(), Table_Fuel_EFs_StationaryLiquid[[#Headers],[Fuel combusted]],0)</f>
        <v>18</v>
      </c>
      <c r="L62" s="173"/>
    </row>
    <row r="63" spans="1:12" ht="20.100000000000001" customHeight="1" x14ac:dyDescent="0.25">
      <c r="D63" s="226" t="str" cm="1">
        <f t="array" ref="D63">Common_InputFunctions.Utility_DisplayArrayInTable(Fuel_SourceData.Fuel_Scope1Scope3EmissionFactorsStationaryLiquid_Data(), Table_Fuel_EFs_StationaryLiquid[[#Headers],[Fuel combusted]],0)</f>
        <v>Diesel oil</v>
      </c>
      <c r="E63" s="226" cm="1">
        <f t="array" ref="E63">Common_InputFunctions.Utility_DisplayArrayInTable(Fuel_SourceData.Fuel_Scope1Scope3EmissionFactorsStationaryLiquid_Data(), Table_Fuel_EFs_StationaryLiquid[[#Headers],[Fuel combusted]],0)</f>
        <v>38.6</v>
      </c>
      <c r="F63" s="226" t="str" cm="1">
        <f t="array" ref="F63">Common_InputFunctions.Utility_DisplayArrayInTable(Fuel_SourceData.Fuel_Scope1Scope3EmissionFactorsStationaryLiquid_Data(), Table_Fuel_EFs_StationaryLiquid[[#Headers],[Fuel combusted]],0)</f>
        <v>kL</v>
      </c>
      <c r="G63" s="226" cm="1">
        <f t="array" ref="G63">Common_InputFunctions.Utility_DisplayArrayInTable(Fuel_SourceData.Fuel_Scope1Scope3EmissionFactorsStationaryLiquid_Data(), Table_Fuel_EFs_StationaryLiquid[[#Headers],[Fuel combusted]],0)</f>
        <v>69.900000000000006</v>
      </c>
      <c r="H63" s="226" cm="1">
        <f t="array" ref="H63">Common_InputFunctions.Utility_DisplayArrayInTable(Fuel_SourceData.Fuel_Scope1Scope3EmissionFactorsStationaryLiquid_Data(), Table_Fuel_EFs_StationaryLiquid[[#Headers],[Fuel combusted]],0)</f>
        <v>0.1</v>
      </c>
      <c r="I63" s="226" cm="1">
        <f t="array" ref="I63">Common_InputFunctions.Utility_DisplayArrayInTable(Fuel_SourceData.Fuel_Scope1Scope3EmissionFactorsStationaryLiquid_Data(), Table_Fuel_EFs_StationaryLiquid[[#Headers],[Fuel combusted]],0)</f>
        <v>0.2</v>
      </c>
      <c r="J63" s="226" cm="1">
        <f t="array" ref="J63">Common_InputFunctions.Utility_DisplayArrayInTable(Fuel_SourceData.Fuel_Scope1Scope3EmissionFactorsStationaryLiquid_Data(), Table_Fuel_EFs_StationaryLiquid[[#Headers],[Fuel combusted]],0)</f>
        <v>70.2</v>
      </c>
      <c r="K63" s="226" cm="1">
        <f t="array" ref="K63">Common_InputFunctions.Utility_DisplayArrayInTable(Fuel_SourceData.Fuel_Scope1Scope3EmissionFactorsStationaryLiquid_Data(), Table_Fuel_EFs_StationaryLiquid[[#Headers],[Fuel combusted]],0)</f>
        <v>17.3</v>
      </c>
      <c r="L63" s="173"/>
    </row>
    <row r="64" spans="1:12" ht="20.100000000000001" customHeight="1" x14ac:dyDescent="0.25">
      <c r="D64" s="226" t="str" cm="1">
        <f t="array" ref="D64">Common_InputFunctions.Utility_DisplayArrayInTable(Fuel_SourceData.Fuel_Scope1Scope3EmissionFactorsStationaryLiquid_Data(), Table_Fuel_EFs_StationaryLiquid[[#Headers],[Fuel combusted]],0)</f>
        <v>Fuel oil</v>
      </c>
      <c r="E64" s="226" cm="1">
        <f t="array" ref="E64">Common_InputFunctions.Utility_DisplayArrayInTable(Fuel_SourceData.Fuel_Scope1Scope3EmissionFactorsStationaryLiquid_Data(), Table_Fuel_EFs_StationaryLiquid[[#Headers],[Fuel combusted]],0)</f>
        <v>39.700000000000003</v>
      </c>
      <c r="F64" s="226" t="str" cm="1">
        <f t="array" ref="F64">Common_InputFunctions.Utility_DisplayArrayInTable(Fuel_SourceData.Fuel_Scope1Scope3EmissionFactorsStationaryLiquid_Data(), Table_Fuel_EFs_StationaryLiquid[[#Headers],[Fuel combusted]],0)</f>
        <v>kL</v>
      </c>
      <c r="G64" s="226" cm="1">
        <f t="array" ref="G64">Common_InputFunctions.Utility_DisplayArrayInTable(Fuel_SourceData.Fuel_Scope1Scope3EmissionFactorsStationaryLiquid_Data(), Table_Fuel_EFs_StationaryLiquid[[#Headers],[Fuel combusted]],0)</f>
        <v>73.599999999999994</v>
      </c>
      <c r="H64" s="226" cm="1">
        <f t="array" ref="H64">Common_InputFunctions.Utility_DisplayArrayInTable(Fuel_SourceData.Fuel_Scope1Scope3EmissionFactorsStationaryLiquid_Data(), Table_Fuel_EFs_StationaryLiquid[[#Headers],[Fuel combusted]],0)</f>
        <v>0.04</v>
      </c>
      <c r="I64" s="226" cm="1">
        <f t="array" ref="I64">Common_InputFunctions.Utility_DisplayArrayInTable(Fuel_SourceData.Fuel_Scope1Scope3EmissionFactorsStationaryLiquid_Data(), Table_Fuel_EFs_StationaryLiquid[[#Headers],[Fuel combusted]],0)</f>
        <v>0.2</v>
      </c>
      <c r="J64" s="226" cm="1">
        <f t="array" ref="J64">Common_InputFunctions.Utility_DisplayArrayInTable(Fuel_SourceData.Fuel_Scope1Scope3EmissionFactorsStationaryLiquid_Data(), Table_Fuel_EFs_StationaryLiquid[[#Headers],[Fuel combusted]],0)</f>
        <v>73.84</v>
      </c>
      <c r="K64" s="226" cm="1">
        <f t="array" ref="K64">Common_InputFunctions.Utility_DisplayArrayInTable(Fuel_SourceData.Fuel_Scope1Scope3EmissionFactorsStationaryLiquid_Data(), Table_Fuel_EFs_StationaryLiquid[[#Headers],[Fuel combusted]],0)</f>
        <v>18</v>
      </c>
      <c r="L64" s="173"/>
    </row>
    <row r="65" spans="4:13" ht="20.100000000000001" customHeight="1" x14ac:dyDescent="0.25">
      <c r="D65" s="226" t="str" cm="1">
        <f t="array" ref="D65">Common_InputFunctions.Utility_DisplayArrayInTable(Fuel_SourceData.Fuel_Scope1Scope3EmissionFactorsStationaryLiquid_Data(), Table_Fuel_EFs_StationaryLiquid[[#Headers],[Fuel combusted]],0)</f>
        <v>Liquefied aromatic hydrocarbons</v>
      </c>
      <c r="E65" s="226" cm="1">
        <f t="array" ref="E65">Common_InputFunctions.Utility_DisplayArrayInTable(Fuel_SourceData.Fuel_Scope1Scope3EmissionFactorsStationaryLiquid_Data(), Table_Fuel_EFs_StationaryLiquid[[#Headers],[Fuel combusted]],0)</f>
        <v>34.4</v>
      </c>
      <c r="F65" s="226" t="str" cm="1">
        <f t="array" ref="F65">Common_InputFunctions.Utility_DisplayArrayInTable(Fuel_SourceData.Fuel_Scope1Scope3EmissionFactorsStationaryLiquid_Data(), Table_Fuel_EFs_StationaryLiquid[[#Headers],[Fuel combusted]],0)</f>
        <v>kL</v>
      </c>
      <c r="G65" s="226" cm="1">
        <f t="array" ref="G65">Common_InputFunctions.Utility_DisplayArrayInTable(Fuel_SourceData.Fuel_Scope1Scope3EmissionFactorsStationaryLiquid_Data(), Table_Fuel_EFs_StationaryLiquid[[#Headers],[Fuel combusted]],0)</f>
        <v>69.7</v>
      </c>
      <c r="H65" s="226" cm="1">
        <f t="array" ref="H65">Common_InputFunctions.Utility_DisplayArrayInTable(Fuel_SourceData.Fuel_Scope1Scope3EmissionFactorsStationaryLiquid_Data(), Table_Fuel_EFs_StationaryLiquid[[#Headers],[Fuel combusted]],0)</f>
        <v>0.03</v>
      </c>
      <c r="I65" s="226" cm="1">
        <f t="array" ref="I65">Common_InputFunctions.Utility_DisplayArrayInTable(Fuel_SourceData.Fuel_Scope1Scope3EmissionFactorsStationaryLiquid_Data(), Table_Fuel_EFs_StationaryLiquid[[#Headers],[Fuel combusted]],0)</f>
        <v>0.2</v>
      </c>
      <c r="J65" s="226" cm="1">
        <f t="array" ref="J65">Common_InputFunctions.Utility_DisplayArrayInTable(Fuel_SourceData.Fuel_Scope1Scope3EmissionFactorsStationaryLiquid_Data(), Table_Fuel_EFs_StationaryLiquid[[#Headers],[Fuel combusted]],0)</f>
        <v>69.930000000000007</v>
      </c>
      <c r="K65" s="226" cm="1">
        <f t="array" ref="K65">Common_InputFunctions.Utility_DisplayArrayInTable(Fuel_SourceData.Fuel_Scope1Scope3EmissionFactorsStationaryLiquid_Data(), Table_Fuel_EFs_StationaryLiquid[[#Headers],[Fuel combusted]],0)</f>
        <v>18</v>
      </c>
      <c r="L65" s="173"/>
    </row>
    <row r="66" spans="4:13" ht="20.100000000000001" customHeight="1" x14ac:dyDescent="0.25">
      <c r="D66" s="226" t="str" cm="1">
        <f t="array" ref="D66">Common_InputFunctions.Utility_DisplayArrayInTable(Fuel_SourceData.Fuel_Scope1Scope3EmissionFactorsStationaryLiquid_Data(), Table_Fuel_EFs_StationaryLiquid[[#Headers],[Fuel combusted]],0)</f>
        <v>Solvents: mineral turpentine or white spirits</v>
      </c>
      <c r="E66" s="226" cm="1">
        <f t="array" ref="E66">Common_InputFunctions.Utility_DisplayArrayInTable(Fuel_SourceData.Fuel_Scope1Scope3EmissionFactorsStationaryLiquid_Data(), Table_Fuel_EFs_StationaryLiquid[[#Headers],[Fuel combusted]],0)</f>
        <v>34.4</v>
      </c>
      <c r="F66" s="226" t="str" cm="1">
        <f t="array" ref="F66">Common_InputFunctions.Utility_DisplayArrayInTable(Fuel_SourceData.Fuel_Scope1Scope3EmissionFactorsStationaryLiquid_Data(), Table_Fuel_EFs_StationaryLiquid[[#Headers],[Fuel combusted]],0)</f>
        <v>kL</v>
      </c>
      <c r="G66" s="226" cm="1">
        <f t="array" ref="G66">Common_InputFunctions.Utility_DisplayArrayInTable(Fuel_SourceData.Fuel_Scope1Scope3EmissionFactorsStationaryLiquid_Data(), Table_Fuel_EFs_StationaryLiquid[[#Headers],[Fuel combusted]],0)</f>
        <v>69.7</v>
      </c>
      <c r="H66" s="226" cm="1">
        <f t="array" ref="H66">Common_InputFunctions.Utility_DisplayArrayInTable(Fuel_SourceData.Fuel_Scope1Scope3EmissionFactorsStationaryLiquid_Data(), Table_Fuel_EFs_StationaryLiquid[[#Headers],[Fuel combusted]],0)</f>
        <v>0.03</v>
      </c>
      <c r="I66" s="226" cm="1">
        <f t="array" ref="I66">Common_InputFunctions.Utility_DisplayArrayInTable(Fuel_SourceData.Fuel_Scope1Scope3EmissionFactorsStationaryLiquid_Data(), Table_Fuel_EFs_StationaryLiquid[[#Headers],[Fuel combusted]],0)</f>
        <v>0.2</v>
      </c>
      <c r="J66" s="226" cm="1">
        <f t="array" ref="J66">Common_InputFunctions.Utility_DisplayArrayInTable(Fuel_SourceData.Fuel_Scope1Scope3EmissionFactorsStationaryLiquid_Data(), Table_Fuel_EFs_StationaryLiquid[[#Headers],[Fuel combusted]],0)</f>
        <v>69.930000000000007</v>
      </c>
      <c r="K66" s="226" cm="1">
        <f t="array" ref="K66">Common_InputFunctions.Utility_DisplayArrayInTable(Fuel_SourceData.Fuel_Scope1Scope3EmissionFactorsStationaryLiquid_Data(), Table_Fuel_EFs_StationaryLiquid[[#Headers],[Fuel combusted]],0)</f>
        <v>18</v>
      </c>
      <c r="L66" s="173"/>
    </row>
    <row r="67" spans="4:13" ht="20.100000000000001" customHeight="1" x14ac:dyDescent="0.25">
      <c r="D67" s="226" t="str" cm="1">
        <f t="array" ref="D67">Common_InputFunctions.Utility_DisplayArrayInTable(Fuel_SourceData.Fuel_Scope1Scope3EmissionFactorsStationaryLiquid_Data(), Table_Fuel_EFs_StationaryLiquid[[#Headers],[Fuel combusted]],0)</f>
        <v>Liquefied petroleum gas (LPG)</v>
      </c>
      <c r="E67" s="226" cm="1">
        <f t="array" ref="E67">Common_InputFunctions.Utility_DisplayArrayInTable(Fuel_SourceData.Fuel_Scope1Scope3EmissionFactorsStationaryLiquid_Data(), Table_Fuel_EFs_StationaryLiquid[[#Headers],[Fuel combusted]],0)</f>
        <v>25.7</v>
      </c>
      <c r="F67" s="226" t="str" cm="1">
        <f t="array" ref="F67">Common_InputFunctions.Utility_DisplayArrayInTable(Fuel_SourceData.Fuel_Scope1Scope3EmissionFactorsStationaryLiquid_Data(), Table_Fuel_EFs_StationaryLiquid[[#Headers],[Fuel combusted]],0)</f>
        <v>kL</v>
      </c>
      <c r="G67" s="226" cm="1">
        <f t="array" ref="G67">Common_InputFunctions.Utility_DisplayArrayInTable(Fuel_SourceData.Fuel_Scope1Scope3EmissionFactorsStationaryLiquid_Data(), Table_Fuel_EFs_StationaryLiquid[[#Headers],[Fuel combusted]],0)</f>
        <v>60.2</v>
      </c>
      <c r="H67" s="226" cm="1">
        <f t="array" ref="H67">Common_InputFunctions.Utility_DisplayArrayInTable(Fuel_SourceData.Fuel_Scope1Scope3EmissionFactorsStationaryLiquid_Data(), Table_Fuel_EFs_StationaryLiquid[[#Headers],[Fuel combusted]],0)</f>
        <v>0.2</v>
      </c>
      <c r="I67" s="226" cm="1">
        <f t="array" ref="I67">Common_InputFunctions.Utility_DisplayArrayInTable(Fuel_SourceData.Fuel_Scope1Scope3EmissionFactorsStationaryLiquid_Data(), Table_Fuel_EFs_StationaryLiquid[[#Headers],[Fuel combusted]],0)</f>
        <v>0.2</v>
      </c>
      <c r="J67" s="226" cm="1">
        <f t="array" ref="J67">Common_InputFunctions.Utility_DisplayArrayInTable(Fuel_SourceData.Fuel_Scope1Scope3EmissionFactorsStationaryLiquid_Data(), Table_Fuel_EFs_StationaryLiquid[[#Headers],[Fuel combusted]],0)</f>
        <v>60.6</v>
      </c>
      <c r="K67" s="226" cm="1">
        <f t="array" ref="K67">Common_InputFunctions.Utility_DisplayArrayInTable(Fuel_SourceData.Fuel_Scope1Scope3EmissionFactorsStationaryLiquid_Data(), Table_Fuel_EFs_StationaryLiquid[[#Headers],[Fuel combusted]],0)</f>
        <v>20.2</v>
      </c>
      <c r="L67" s="173"/>
    </row>
    <row r="68" spans="4:13" ht="20.100000000000001" customHeight="1" x14ac:dyDescent="0.25">
      <c r="D68" s="226" t="str" cm="1">
        <f t="array" ref="D68">Common_InputFunctions.Utility_DisplayArrayInTable(Fuel_SourceData.Fuel_Scope1Scope3EmissionFactorsStationaryLiquid_Data(), Table_Fuel_EFs_StationaryLiquid[[#Headers],[Fuel combusted]],0)</f>
        <v>Naphtha</v>
      </c>
      <c r="E68" s="226" cm="1">
        <f t="array" ref="E68">Common_InputFunctions.Utility_DisplayArrayInTable(Fuel_SourceData.Fuel_Scope1Scope3EmissionFactorsStationaryLiquid_Data(), Table_Fuel_EFs_StationaryLiquid[[#Headers],[Fuel combusted]],0)</f>
        <v>31.4</v>
      </c>
      <c r="F68" s="226" t="str" cm="1">
        <f t="array" ref="F68">Common_InputFunctions.Utility_DisplayArrayInTable(Fuel_SourceData.Fuel_Scope1Scope3EmissionFactorsStationaryLiquid_Data(), Table_Fuel_EFs_StationaryLiquid[[#Headers],[Fuel combusted]],0)</f>
        <v>kL</v>
      </c>
      <c r="G68" s="226" cm="1">
        <f t="array" ref="G68">Common_InputFunctions.Utility_DisplayArrayInTable(Fuel_SourceData.Fuel_Scope1Scope3EmissionFactorsStationaryLiquid_Data(), Table_Fuel_EFs_StationaryLiquid[[#Headers],[Fuel combusted]],0)</f>
        <v>69.8</v>
      </c>
      <c r="H68" s="226" cm="1">
        <f t="array" ref="H68">Common_InputFunctions.Utility_DisplayArrayInTable(Fuel_SourceData.Fuel_Scope1Scope3EmissionFactorsStationaryLiquid_Data(), Table_Fuel_EFs_StationaryLiquid[[#Headers],[Fuel combusted]],0)</f>
        <v>0.01</v>
      </c>
      <c r="I68" s="226" cm="1">
        <f t="array" ref="I68">Common_InputFunctions.Utility_DisplayArrayInTable(Fuel_SourceData.Fuel_Scope1Scope3EmissionFactorsStationaryLiquid_Data(), Table_Fuel_EFs_StationaryLiquid[[#Headers],[Fuel combusted]],0)</f>
        <v>0.01</v>
      </c>
      <c r="J68" s="226" cm="1">
        <f t="array" ref="J68">Common_InputFunctions.Utility_DisplayArrayInTable(Fuel_SourceData.Fuel_Scope1Scope3EmissionFactorsStationaryLiquid_Data(), Table_Fuel_EFs_StationaryLiquid[[#Headers],[Fuel combusted]],0)</f>
        <v>69.819999999999993</v>
      </c>
      <c r="K68" s="226" cm="1">
        <f t="array" ref="K68">Common_InputFunctions.Utility_DisplayArrayInTable(Fuel_SourceData.Fuel_Scope1Scope3EmissionFactorsStationaryLiquid_Data(), Table_Fuel_EFs_StationaryLiquid[[#Headers],[Fuel combusted]],0)</f>
        <v>18</v>
      </c>
      <c r="L68" s="173"/>
    </row>
    <row r="69" spans="4:13" ht="20.100000000000001" customHeight="1" x14ac:dyDescent="0.25">
      <c r="D69" s="226" t="str" cm="1">
        <f t="array" ref="D69">Common_InputFunctions.Utility_DisplayArrayInTable(Fuel_SourceData.Fuel_Scope1Scope3EmissionFactorsStationaryLiquid_Data(), Table_Fuel_EFs_StationaryLiquid[[#Headers],[Fuel combusted]],0)</f>
        <v>Petroleum coke</v>
      </c>
      <c r="E69" s="226" cm="1">
        <f t="array" ref="E69">Common_InputFunctions.Utility_DisplayArrayInTable(Fuel_SourceData.Fuel_Scope1Scope3EmissionFactorsStationaryLiquid_Data(), Table_Fuel_EFs_StationaryLiquid[[#Headers],[Fuel combusted]],0)</f>
        <v>34.200000000000003</v>
      </c>
      <c r="F69" s="226" t="str" cm="1">
        <f t="array" ref="F69">Common_InputFunctions.Utility_DisplayArrayInTable(Fuel_SourceData.Fuel_Scope1Scope3EmissionFactorsStationaryLiquid_Data(), Table_Fuel_EFs_StationaryLiquid[[#Headers],[Fuel combusted]],0)</f>
        <v>t</v>
      </c>
      <c r="G69" s="226" cm="1">
        <f t="array" ref="G69">Common_InputFunctions.Utility_DisplayArrayInTable(Fuel_SourceData.Fuel_Scope1Scope3EmissionFactorsStationaryLiquid_Data(), Table_Fuel_EFs_StationaryLiquid[[#Headers],[Fuel combusted]],0)</f>
        <v>92.6</v>
      </c>
      <c r="H69" s="226" cm="1">
        <f t="array" ref="H69">Common_InputFunctions.Utility_DisplayArrayInTable(Fuel_SourceData.Fuel_Scope1Scope3EmissionFactorsStationaryLiquid_Data(), Table_Fuel_EFs_StationaryLiquid[[#Headers],[Fuel combusted]],0)</f>
        <v>0.08</v>
      </c>
      <c r="I69" s="226" cm="1">
        <f t="array" ref="I69">Common_InputFunctions.Utility_DisplayArrayInTable(Fuel_SourceData.Fuel_Scope1Scope3EmissionFactorsStationaryLiquid_Data(), Table_Fuel_EFs_StationaryLiquid[[#Headers],[Fuel combusted]],0)</f>
        <v>0.2</v>
      </c>
      <c r="J69" s="226" cm="1">
        <f t="array" ref="J69">Common_InputFunctions.Utility_DisplayArrayInTable(Fuel_SourceData.Fuel_Scope1Scope3EmissionFactorsStationaryLiquid_Data(), Table_Fuel_EFs_StationaryLiquid[[#Headers],[Fuel combusted]],0)</f>
        <v>92.88</v>
      </c>
      <c r="K69" s="226" cm="1">
        <f t="array" ref="K69">Common_InputFunctions.Utility_DisplayArrayInTable(Fuel_SourceData.Fuel_Scope1Scope3EmissionFactorsStationaryLiquid_Data(), Table_Fuel_EFs_StationaryLiquid[[#Headers],[Fuel combusted]],0)</f>
        <v>18</v>
      </c>
      <c r="L69" s="173"/>
    </row>
    <row r="70" spans="4:13" ht="20.100000000000001" customHeight="1" x14ac:dyDescent="0.25">
      <c r="D70" s="226" t="str" cm="1">
        <f t="array" ref="D70">Common_InputFunctions.Utility_DisplayArrayInTable(Fuel_SourceData.Fuel_Scope1Scope3EmissionFactorsStationaryLiquid_Data(), Table_Fuel_EFs_StationaryLiquid[[#Headers],[Fuel combusted]],0)</f>
        <v>Refinery gas and liquids</v>
      </c>
      <c r="E70" s="226" cm="1">
        <f t="array" ref="E70">Common_InputFunctions.Utility_DisplayArrayInTable(Fuel_SourceData.Fuel_Scope1Scope3EmissionFactorsStationaryLiquid_Data(), Table_Fuel_EFs_StationaryLiquid[[#Headers],[Fuel combusted]],0)</f>
        <v>42.9</v>
      </c>
      <c r="F70" s="226" t="str" cm="1">
        <f t="array" ref="F70">Common_InputFunctions.Utility_DisplayArrayInTable(Fuel_SourceData.Fuel_Scope1Scope3EmissionFactorsStationaryLiquid_Data(), Table_Fuel_EFs_StationaryLiquid[[#Headers],[Fuel combusted]],0)</f>
        <v>t</v>
      </c>
      <c r="G70" s="226" cm="1">
        <f t="array" ref="G70">Common_InputFunctions.Utility_DisplayArrayInTable(Fuel_SourceData.Fuel_Scope1Scope3EmissionFactorsStationaryLiquid_Data(), Table_Fuel_EFs_StationaryLiquid[[#Headers],[Fuel combusted]],0)</f>
        <v>54.7</v>
      </c>
      <c r="H70" s="226" cm="1">
        <f t="array" ref="H70">Common_InputFunctions.Utility_DisplayArrayInTable(Fuel_SourceData.Fuel_Scope1Scope3EmissionFactorsStationaryLiquid_Data(), Table_Fuel_EFs_StationaryLiquid[[#Headers],[Fuel combusted]],0)</f>
        <v>0.03</v>
      </c>
      <c r="I70" s="226" cm="1">
        <f t="array" ref="I70">Common_InputFunctions.Utility_DisplayArrayInTable(Fuel_SourceData.Fuel_Scope1Scope3EmissionFactorsStationaryLiquid_Data(), Table_Fuel_EFs_StationaryLiquid[[#Headers],[Fuel combusted]],0)</f>
        <v>0.03</v>
      </c>
      <c r="J70" s="226" cm="1">
        <f t="array" ref="J70">Common_InputFunctions.Utility_DisplayArrayInTable(Fuel_SourceData.Fuel_Scope1Scope3EmissionFactorsStationaryLiquid_Data(), Table_Fuel_EFs_StationaryLiquid[[#Headers],[Fuel combusted]],0)</f>
        <v>54.76</v>
      </c>
      <c r="K70" s="226" cm="1">
        <f t="array" ref="K70">Common_InputFunctions.Utility_DisplayArrayInTable(Fuel_SourceData.Fuel_Scope1Scope3EmissionFactorsStationaryLiquid_Data(), Table_Fuel_EFs_StationaryLiquid[[#Headers],[Fuel combusted]],0)</f>
        <v>18</v>
      </c>
      <c r="L70" s="173"/>
    </row>
    <row r="71" spans="4:13" ht="20.100000000000001" customHeight="1" x14ac:dyDescent="0.25">
      <c r="D71" s="226" t="str" cm="1">
        <f t="array" ref="D71">Common_InputFunctions.Utility_DisplayArrayInTable(Fuel_SourceData.Fuel_Scope1Scope3EmissionFactorsStationaryLiquid_Data(), Table_Fuel_EFs_StationaryLiquid[[#Headers],[Fuel combusted]],0)</f>
        <v>Refinery coke</v>
      </c>
      <c r="E71" s="226" cm="1">
        <f t="array" ref="E71">Common_InputFunctions.Utility_DisplayArrayInTable(Fuel_SourceData.Fuel_Scope1Scope3EmissionFactorsStationaryLiquid_Data(), Table_Fuel_EFs_StationaryLiquid[[#Headers],[Fuel combusted]],0)</f>
        <v>34.200000000000003</v>
      </c>
      <c r="F71" s="226" t="str" cm="1">
        <f t="array" ref="F71">Common_InputFunctions.Utility_DisplayArrayInTable(Fuel_SourceData.Fuel_Scope1Scope3EmissionFactorsStationaryLiquid_Data(), Table_Fuel_EFs_StationaryLiquid[[#Headers],[Fuel combusted]],0)</f>
        <v>t</v>
      </c>
      <c r="G71" s="226" cm="1">
        <f t="array" ref="G71">Common_InputFunctions.Utility_DisplayArrayInTable(Fuel_SourceData.Fuel_Scope1Scope3EmissionFactorsStationaryLiquid_Data(), Table_Fuel_EFs_StationaryLiquid[[#Headers],[Fuel combusted]],0)</f>
        <v>92.6</v>
      </c>
      <c r="H71" s="226" cm="1">
        <f t="array" ref="H71">Common_InputFunctions.Utility_DisplayArrayInTable(Fuel_SourceData.Fuel_Scope1Scope3EmissionFactorsStationaryLiquid_Data(), Table_Fuel_EFs_StationaryLiquid[[#Headers],[Fuel combusted]],0)</f>
        <v>0.08</v>
      </c>
      <c r="I71" s="226" cm="1">
        <f t="array" ref="I71">Common_InputFunctions.Utility_DisplayArrayInTable(Fuel_SourceData.Fuel_Scope1Scope3EmissionFactorsStationaryLiquid_Data(), Table_Fuel_EFs_StationaryLiquid[[#Headers],[Fuel combusted]],0)</f>
        <v>0.2</v>
      </c>
      <c r="J71" s="226" cm="1">
        <f t="array" ref="J71">Common_InputFunctions.Utility_DisplayArrayInTable(Fuel_SourceData.Fuel_Scope1Scope3EmissionFactorsStationaryLiquid_Data(), Table_Fuel_EFs_StationaryLiquid[[#Headers],[Fuel combusted]],0)</f>
        <v>92.88</v>
      </c>
      <c r="K71" s="226" cm="1">
        <f t="array" ref="K71">Common_InputFunctions.Utility_DisplayArrayInTable(Fuel_SourceData.Fuel_Scope1Scope3EmissionFactorsStationaryLiquid_Data(), Table_Fuel_EFs_StationaryLiquid[[#Headers],[Fuel combusted]],0)</f>
        <v>18</v>
      </c>
      <c r="L71" s="173"/>
    </row>
    <row r="72" spans="4:13" ht="20.100000000000001" customHeight="1" x14ac:dyDescent="0.25">
      <c r="D72" s="226" t="str" cm="1">
        <f t="array" ref="D72">Common_InputFunctions.Utility_DisplayArrayInTable(Fuel_SourceData.Fuel_Scope1Scope3EmissionFactorsStationaryLiquid_Data(), Table_Fuel_EFs_StationaryLiquid[[#Headers],[Fuel combusted]],0)</f>
        <v>Petroleum based products other than mentioned in the items above</v>
      </c>
      <c r="E72" s="226" cm="1">
        <f t="array" ref="E72">Common_InputFunctions.Utility_DisplayArrayInTable(Fuel_SourceData.Fuel_Scope1Scope3EmissionFactorsStationaryLiquid_Data(), Table_Fuel_EFs_StationaryLiquid[[#Headers],[Fuel combusted]],0)</f>
        <v>34.4</v>
      </c>
      <c r="F72" s="226" t="str" cm="1">
        <f t="array" ref="F72">Common_InputFunctions.Utility_DisplayArrayInTable(Fuel_SourceData.Fuel_Scope1Scope3EmissionFactorsStationaryLiquid_Data(), Table_Fuel_EFs_StationaryLiquid[[#Headers],[Fuel combusted]],0)</f>
        <v>kL</v>
      </c>
      <c r="G72" s="226" cm="1">
        <f t="array" ref="G72">Common_InputFunctions.Utility_DisplayArrayInTable(Fuel_SourceData.Fuel_Scope1Scope3EmissionFactorsStationaryLiquid_Data(), Table_Fuel_EFs_StationaryLiquid[[#Headers],[Fuel combusted]],0)</f>
        <v>69.8</v>
      </c>
      <c r="H72" s="226" cm="1">
        <f t="array" ref="H72">Common_InputFunctions.Utility_DisplayArrayInTable(Fuel_SourceData.Fuel_Scope1Scope3EmissionFactorsStationaryLiquid_Data(), Table_Fuel_EFs_StationaryLiquid[[#Headers],[Fuel combusted]],0)</f>
        <v>0.02</v>
      </c>
      <c r="I72" s="226" cm="1">
        <f t="array" ref="I72">Common_InputFunctions.Utility_DisplayArrayInTable(Fuel_SourceData.Fuel_Scope1Scope3EmissionFactorsStationaryLiquid_Data(), Table_Fuel_EFs_StationaryLiquid[[#Headers],[Fuel combusted]],0)</f>
        <v>0.1</v>
      </c>
      <c r="J72" s="226" cm="1">
        <f t="array" ref="J72">Common_InputFunctions.Utility_DisplayArrayInTable(Fuel_SourceData.Fuel_Scope1Scope3EmissionFactorsStationaryLiquid_Data(), Table_Fuel_EFs_StationaryLiquid[[#Headers],[Fuel combusted]],0)</f>
        <v>69.92</v>
      </c>
      <c r="K72" s="226" cm="1">
        <f t="array" ref="K72">Common_InputFunctions.Utility_DisplayArrayInTable(Fuel_SourceData.Fuel_Scope1Scope3EmissionFactorsStationaryLiquid_Data(), Table_Fuel_EFs_StationaryLiquid[[#Headers],[Fuel combusted]],0)</f>
        <v>18</v>
      </c>
      <c r="L72" s="173"/>
    </row>
    <row r="73" spans="4:13" ht="20.100000000000001" customHeight="1" x14ac:dyDescent="0.25">
      <c r="D73" s="226" t="str" cm="1">
        <f t="array" ref="D73">Common_InputFunctions.Utility_DisplayArrayInTable(Fuel_SourceData.Fuel_Scope1Scope3EmissionFactorsStationaryLiquid_Data(), Table_Fuel_EFs_StationaryLiquid[[#Headers],[Fuel combusted]],0)</f>
        <v>Biodiesel</v>
      </c>
      <c r="E73" s="226" cm="1">
        <f t="array" ref="E73">Common_InputFunctions.Utility_DisplayArrayInTable(Fuel_SourceData.Fuel_Scope1Scope3EmissionFactorsStationaryLiquid_Data(), Table_Fuel_EFs_StationaryLiquid[[#Headers],[Fuel combusted]],0)</f>
        <v>34.6</v>
      </c>
      <c r="F73" s="226" t="str" cm="1">
        <f t="array" ref="F73">Common_InputFunctions.Utility_DisplayArrayInTable(Fuel_SourceData.Fuel_Scope1Scope3EmissionFactorsStationaryLiquid_Data(), Table_Fuel_EFs_StationaryLiquid[[#Headers],[Fuel combusted]],0)</f>
        <v>kL</v>
      </c>
      <c r="G73" s="226" cm="1">
        <f t="array" ref="G73">Common_InputFunctions.Utility_DisplayArrayInTable(Fuel_SourceData.Fuel_Scope1Scope3EmissionFactorsStationaryLiquid_Data(), Table_Fuel_EFs_StationaryLiquid[[#Headers],[Fuel combusted]],0)</f>
        <v>0</v>
      </c>
      <c r="H73" s="226" cm="1">
        <f t="array" ref="H73">Common_InputFunctions.Utility_DisplayArrayInTable(Fuel_SourceData.Fuel_Scope1Scope3EmissionFactorsStationaryLiquid_Data(), Table_Fuel_EFs_StationaryLiquid[[#Headers],[Fuel combusted]],0)</f>
        <v>0.08</v>
      </c>
      <c r="I73" s="226" cm="1">
        <f t="array" ref="I73">Common_InputFunctions.Utility_DisplayArrayInTable(Fuel_SourceData.Fuel_Scope1Scope3EmissionFactorsStationaryLiquid_Data(), Table_Fuel_EFs_StationaryLiquid[[#Headers],[Fuel combusted]],0)</f>
        <v>0.2</v>
      </c>
      <c r="J73" s="226" cm="1">
        <f t="array" ref="J73">Common_InputFunctions.Utility_DisplayArrayInTable(Fuel_SourceData.Fuel_Scope1Scope3EmissionFactorsStationaryLiquid_Data(), Table_Fuel_EFs_StationaryLiquid[[#Headers],[Fuel combusted]],0)</f>
        <v>0.28000000000000003</v>
      </c>
      <c r="K73" s="226" t="str" cm="1">
        <f t="array" ref="K73">Common_InputFunctions.Utility_DisplayArrayInTable(Fuel_SourceData.Fuel_Scope1Scope3EmissionFactorsStationaryLiquid_Data(), Table_Fuel_EFs_StationaryLiquid[[#Headers],[Fuel combusted]],0)</f>
        <v>NE</v>
      </c>
      <c r="L73" s="173"/>
    </row>
    <row r="74" spans="4:13" ht="20.100000000000001" customHeight="1" x14ac:dyDescent="0.25">
      <c r="D74" s="226" t="str" cm="1">
        <f t="array" ref="D74">Common_InputFunctions.Utility_DisplayArrayInTable(Fuel_SourceData.Fuel_Scope1Scope3EmissionFactorsStationaryLiquid_Data(), Table_Fuel_EFs_StationaryLiquid[[#Headers],[Fuel combusted]],0)</f>
        <v>Ethanol for use as a fuel in an internal combustion engine</v>
      </c>
      <c r="E74" s="226" cm="1">
        <f t="array" ref="E74">Common_InputFunctions.Utility_DisplayArrayInTable(Fuel_SourceData.Fuel_Scope1Scope3EmissionFactorsStationaryLiquid_Data(), Table_Fuel_EFs_StationaryLiquid[[#Headers],[Fuel combusted]],0)</f>
        <v>23.4</v>
      </c>
      <c r="F74" s="226" t="str" cm="1">
        <f t="array" ref="F74">Common_InputFunctions.Utility_DisplayArrayInTable(Fuel_SourceData.Fuel_Scope1Scope3EmissionFactorsStationaryLiquid_Data(), Table_Fuel_EFs_StationaryLiquid[[#Headers],[Fuel combusted]],0)</f>
        <v>kL</v>
      </c>
      <c r="G74" s="226" cm="1">
        <f t="array" ref="G74">Common_InputFunctions.Utility_DisplayArrayInTable(Fuel_SourceData.Fuel_Scope1Scope3EmissionFactorsStationaryLiquid_Data(), Table_Fuel_EFs_StationaryLiquid[[#Headers],[Fuel combusted]],0)</f>
        <v>0</v>
      </c>
      <c r="H74" s="226" cm="1">
        <f t="array" ref="H74">Common_InputFunctions.Utility_DisplayArrayInTable(Fuel_SourceData.Fuel_Scope1Scope3EmissionFactorsStationaryLiquid_Data(), Table_Fuel_EFs_StationaryLiquid[[#Headers],[Fuel combusted]],0)</f>
        <v>0.08</v>
      </c>
      <c r="I74" s="226" cm="1">
        <f t="array" ref="I74">Common_InputFunctions.Utility_DisplayArrayInTable(Fuel_SourceData.Fuel_Scope1Scope3EmissionFactorsStationaryLiquid_Data(), Table_Fuel_EFs_StationaryLiquid[[#Headers],[Fuel combusted]],0)</f>
        <v>0.2</v>
      </c>
      <c r="J74" s="226" cm="1">
        <f t="array" ref="J74">Common_InputFunctions.Utility_DisplayArrayInTable(Fuel_SourceData.Fuel_Scope1Scope3EmissionFactorsStationaryLiquid_Data(), Table_Fuel_EFs_StationaryLiquid[[#Headers],[Fuel combusted]],0)</f>
        <v>0.28000000000000003</v>
      </c>
      <c r="K74" s="226" t="str" cm="1">
        <f t="array" ref="K74">Common_InputFunctions.Utility_DisplayArrayInTable(Fuel_SourceData.Fuel_Scope1Scope3EmissionFactorsStationaryLiquid_Data(), Table_Fuel_EFs_StationaryLiquid[[#Headers],[Fuel combusted]],0)</f>
        <v>NE</v>
      </c>
      <c r="L74" s="173"/>
    </row>
    <row r="75" spans="4:13" ht="20.100000000000001" customHeight="1" x14ac:dyDescent="0.25">
      <c r="D75" s="226" t="str" cm="1">
        <f t="array" ref="D75">Common_InputFunctions.Utility_DisplayArrayInTable(Fuel_SourceData.Fuel_Scope1Scope3EmissionFactorsStationaryLiquid_Data(), Table_Fuel_EFs_StationaryLiquid[[#Headers],[Fuel combusted]],0)</f>
        <v>Biofuels other than those mentioned in the items above and below</v>
      </c>
      <c r="E75" s="226" cm="1">
        <f t="array" ref="E75">Common_InputFunctions.Utility_DisplayArrayInTable(Fuel_SourceData.Fuel_Scope1Scope3EmissionFactorsStationaryLiquid_Data(), Table_Fuel_EFs_StationaryLiquid[[#Headers],[Fuel combusted]],0)</f>
        <v>23.4</v>
      </c>
      <c r="F75" s="226" t="str" cm="1">
        <f t="array" ref="F75">Common_InputFunctions.Utility_DisplayArrayInTable(Fuel_SourceData.Fuel_Scope1Scope3EmissionFactorsStationaryLiquid_Data(), Table_Fuel_EFs_StationaryLiquid[[#Headers],[Fuel combusted]],0)</f>
        <v>kL</v>
      </c>
      <c r="G75" s="226" cm="1">
        <f t="array" ref="G75">Common_InputFunctions.Utility_DisplayArrayInTable(Fuel_SourceData.Fuel_Scope1Scope3EmissionFactorsStationaryLiquid_Data(), Table_Fuel_EFs_StationaryLiquid[[#Headers],[Fuel combusted]],0)</f>
        <v>0</v>
      </c>
      <c r="H75" s="226" cm="1">
        <f t="array" ref="H75">Common_InputFunctions.Utility_DisplayArrayInTable(Fuel_SourceData.Fuel_Scope1Scope3EmissionFactorsStationaryLiquid_Data(), Table_Fuel_EFs_StationaryLiquid[[#Headers],[Fuel combusted]],0)</f>
        <v>0.08</v>
      </c>
      <c r="I75" s="226" cm="1">
        <f t="array" ref="I75">Common_InputFunctions.Utility_DisplayArrayInTable(Fuel_SourceData.Fuel_Scope1Scope3EmissionFactorsStationaryLiquid_Data(), Table_Fuel_EFs_StationaryLiquid[[#Headers],[Fuel combusted]],0)</f>
        <v>0.2</v>
      </c>
      <c r="J75" s="226" cm="1">
        <f t="array" ref="J75">Common_InputFunctions.Utility_DisplayArrayInTable(Fuel_SourceData.Fuel_Scope1Scope3EmissionFactorsStationaryLiquid_Data(), Table_Fuel_EFs_StationaryLiquid[[#Headers],[Fuel combusted]],0)</f>
        <v>0.28000000000000003</v>
      </c>
      <c r="K75" s="226" t="str" cm="1">
        <f t="array" ref="K75">Common_InputFunctions.Utility_DisplayArrayInTable(Fuel_SourceData.Fuel_Scope1Scope3EmissionFactorsStationaryLiquid_Data(), Table_Fuel_EFs_StationaryLiquid[[#Headers],[Fuel combusted]],0)</f>
        <v>NE</v>
      </c>
      <c r="L75" s="173"/>
    </row>
    <row r="76" spans="4:13" ht="20.100000000000001" customHeight="1" x14ac:dyDescent="0.25">
      <c r="D76" s="226" t="str" cm="1">
        <f t="array" ref="D76">Common_InputFunctions.Utility_DisplayArrayInTable(Fuel_SourceData.Fuel_Scope1Scope3EmissionFactorsStationaryLiquid_Data(), Table_Fuel_EFs_StationaryLiquid[[#Headers],[Fuel combusted]],0)</f>
        <v>Renewable aviation kerosene</v>
      </c>
      <c r="E76" s="226" cm="1">
        <f t="array" ref="E76">Common_InputFunctions.Utility_DisplayArrayInTable(Fuel_SourceData.Fuel_Scope1Scope3EmissionFactorsStationaryLiquid_Data(), Table_Fuel_EFs_StationaryLiquid[[#Headers],[Fuel combusted]],0)</f>
        <v>36.799999999999997</v>
      </c>
      <c r="F76" s="226" t="str" cm="1">
        <f t="array" ref="F76">Common_InputFunctions.Utility_DisplayArrayInTable(Fuel_SourceData.Fuel_Scope1Scope3EmissionFactorsStationaryLiquid_Data(), Table_Fuel_EFs_StationaryLiquid[[#Headers],[Fuel combusted]],0)</f>
        <v>kL</v>
      </c>
      <c r="G76" s="226" cm="1">
        <f t="array" ref="G76">Common_InputFunctions.Utility_DisplayArrayInTable(Fuel_SourceData.Fuel_Scope1Scope3EmissionFactorsStationaryLiquid_Data(), Table_Fuel_EFs_StationaryLiquid[[#Headers],[Fuel combusted]],0)</f>
        <v>0</v>
      </c>
      <c r="H76" s="226" cm="1">
        <f t="array" ref="H76">Common_InputFunctions.Utility_DisplayArrayInTable(Fuel_SourceData.Fuel_Scope1Scope3EmissionFactorsStationaryLiquid_Data(), Table_Fuel_EFs_StationaryLiquid[[#Headers],[Fuel combusted]],0)</f>
        <v>0.02</v>
      </c>
      <c r="I76" s="226" cm="1">
        <f t="array" ref="I76">Common_InputFunctions.Utility_DisplayArrayInTable(Fuel_SourceData.Fuel_Scope1Scope3EmissionFactorsStationaryLiquid_Data(), Table_Fuel_EFs_StationaryLiquid[[#Headers],[Fuel combusted]],0)</f>
        <v>0.2</v>
      </c>
      <c r="J76" s="226" cm="1">
        <f t="array" ref="J76">Common_InputFunctions.Utility_DisplayArrayInTable(Fuel_SourceData.Fuel_Scope1Scope3EmissionFactorsStationaryLiquid_Data(), Table_Fuel_EFs_StationaryLiquid[[#Headers],[Fuel combusted]],0)</f>
        <v>0.22</v>
      </c>
      <c r="K76" s="226" t="str" cm="1">
        <f t="array" ref="K76">Common_InputFunctions.Utility_DisplayArrayInTable(Fuel_SourceData.Fuel_Scope1Scope3EmissionFactorsStationaryLiquid_Data(), Table_Fuel_EFs_StationaryLiquid[[#Headers],[Fuel combusted]],0)</f>
        <v>NE</v>
      </c>
      <c r="L76" s="173"/>
    </row>
    <row r="77" spans="4:13" ht="20.100000000000001" customHeight="1" x14ac:dyDescent="0.25">
      <c r="D77" s="226" t="str" cm="1">
        <f t="array" ref="D77">Common_InputFunctions.Utility_DisplayArrayInTable(Fuel_SourceData.Fuel_Scope1Scope3EmissionFactorsStationaryLiquid_Data(), Table_Fuel_EFs_StationaryLiquid[[#Headers],[Fuel combusted]],0)</f>
        <v>Renewable diesel</v>
      </c>
      <c r="E77" s="226" cm="1">
        <f t="array" ref="E77">Common_InputFunctions.Utility_DisplayArrayInTable(Fuel_SourceData.Fuel_Scope1Scope3EmissionFactorsStationaryLiquid_Data(), Table_Fuel_EFs_StationaryLiquid[[#Headers],[Fuel combusted]],0)</f>
        <v>38.6</v>
      </c>
      <c r="F77" s="226" t="str" cm="1">
        <f t="array" ref="F77">Common_InputFunctions.Utility_DisplayArrayInTable(Fuel_SourceData.Fuel_Scope1Scope3EmissionFactorsStationaryLiquid_Data(), Table_Fuel_EFs_StationaryLiquid[[#Headers],[Fuel combusted]],0)</f>
        <v>kL</v>
      </c>
      <c r="G77" s="226" cm="1">
        <f t="array" ref="G77">Common_InputFunctions.Utility_DisplayArrayInTable(Fuel_SourceData.Fuel_Scope1Scope3EmissionFactorsStationaryLiquid_Data(), Table_Fuel_EFs_StationaryLiquid[[#Headers],[Fuel combusted]],0)</f>
        <v>0</v>
      </c>
      <c r="H77" s="226" cm="1">
        <f t="array" ref="H77">Common_InputFunctions.Utility_DisplayArrayInTable(Fuel_SourceData.Fuel_Scope1Scope3EmissionFactorsStationaryLiquid_Data(), Table_Fuel_EFs_StationaryLiquid[[#Headers],[Fuel combusted]],0)</f>
        <v>0.1</v>
      </c>
      <c r="I77" s="226" cm="1">
        <f t="array" ref="I77">Common_InputFunctions.Utility_DisplayArrayInTable(Fuel_SourceData.Fuel_Scope1Scope3EmissionFactorsStationaryLiquid_Data(), Table_Fuel_EFs_StationaryLiquid[[#Headers],[Fuel combusted]],0)</f>
        <v>0.2</v>
      </c>
      <c r="J77" s="226" cm="1">
        <f t="array" ref="J77">Common_InputFunctions.Utility_DisplayArrayInTable(Fuel_SourceData.Fuel_Scope1Scope3EmissionFactorsStationaryLiquid_Data(), Table_Fuel_EFs_StationaryLiquid[[#Headers],[Fuel combusted]],0)</f>
        <v>0.3</v>
      </c>
      <c r="K77" s="226" t="str" cm="1">
        <f t="array" ref="K77">Common_InputFunctions.Utility_DisplayArrayInTable(Fuel_SourceData.Fuel_Scope1Scope3EmissionFactorsStationaryLiquid_Data(), Table_Fuel_EFs_StationaryLiquid[[#Headers],[Fuel combusted]],0)</f>
        <v>NE</v>
      </c>
      <c r="L77" s="173"/>
    </row>
    <row r="78" spans="4:13" ht="20.100000000000001" customHeight="1" x14ac:dyDescent="0.25">
      <c r="D78" s="173"/>
      <c r="E78" s="173"/>
      <c r="F78" s="173"/>
      <c r="G78" s="173"/>
      <c r="H78" s="173"/>
      <c r="I78" s="173"/>
      <c r="J78" s="173"/>
      <c r="K78" s="173"/>
      <c r="L78" s="173"/>
    </row>
    <row r="79" spans="4:13" ht="20.100000000000001" customHeight="1" x14ac:dyDescent="0.25">
      <c r="D79" s="173"/>
      <c r="E79" s="173"/>
      <c r="F79" s="173"/>
      <c r="G79" s="173"/>
      <c r="H79" s="173"/>
      <c r="I79" s="173"/>
      <c r="J79" s="173"/>
      <c r="K79" s="173"/>
      <c r="L79" s="173"/>
      <c r="M79" s="173"/>
    </row>
    <row r="80" spans="4:13" ht="20.100000000000001" customHeight="1" x14ac:dyDescent="0.25">
      <c r="D80" s="173"/>
      <c r="E80" s="173"/>
      <c r="F80" s="173"/>
      <c r="G80" s="173"/>
      <c r="H80" s="173"/>
      <c r="I80" s="173"/>
      <c r="J80" s="173"/>
      <c r="K80" s="173"/>
      <c r="L80" s="173"/>
      <c r="M80" s="173"/>
    </row>
    <row r="81" spans="4:12" ht="20.100000000000001" customHeight="1" x14ac:dyDescent="0.25">
      <c r="D81" s="2" t="str" cm="1">
        <f t="array" ref="D81">Fuel_SourceData.Fuel_Scope1EmissionFactorsStationaryGaseous_Title()</f>
        <v>Fuel scope 1 emission factors - Stationary gaseous fuels</v>
      </c>
      <c r="E81" s="173"/>
      <c r="F81" s="173"/>
      <c r="G81" s="173"/>
      <c r="H81" s="173"/>
      <c r="I81" s="173"/>
      <c r="J81" s="173"/>
      <c r="K81" s="173"/>
      <c r="L81" s="173"/>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3"/>
      <c r="F82" s="173"/>
      <c r="G82" s="173"/>
      <c r="H82" s="173"/>
      <c r="I82" s="173"/>
      <c r="J82" s="173"/>
      <c r="K82" s="173"/>
      <c r="L82" s="173"/>
    </row>
    <row r="83" spans="4:12" ht="20.100000000000001" customHeight="1" x14ac:dyDescent="0.25">
      <c r="D83" s="27" t="str" cm="1">
        <f t="array" ref="D83">Fuel_SourceData.Fuel_Scope1EmissionFactorsStationaryGaseous_Source()</f>
        <v>Australian National Greenhouse Accounts Factors 2025 - Table 5</v>
      </c>
      <c r="E83" s="173"/>
      <c r="F83" s="173"/>
      <c r="G83" s="173"/>
      <c r="H83" s="173"/>
      <c r="I83" s="173"/>
      <c r="J83" s="173"/>
      <c r="K83" s="173"/>
      <c r="L83" s="173"/>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3"/>
      <c r="F84" s="173"/>
      <c r="G84" s="173"/>
      <c r="H84" s="173"/>
      <c r="I84" s="173"/>
      <c r="J84" s="173"/>
      <c r="K84" s="173"/>
      <c r="L84" s="173"/>
    </row>
    <row r="85" spans="4:12" ht="20.100000000000001" customHeight="1" x14ac:dyDescent="0.25">
      <c r="D85" s="173"/>
      <c r="E85" s="173"/>
      <c r="F85" s="173"/>
      <c r="G85" s="173"/>
      <c r="H85" s="173"/>
      <c r="I85" s="173"/>
      <c r="J85" s="173"/>
      <c r="K85" s="173"/>
      <c r="L85" s="173"/>
    </row>
    <row r="86" spans="4:12" ht="20.100000000000001" customHeight="1" x14ac:dyDescent="0.25">
      <c r="D86" s="191" t="s">
        <v>755</v>
      </c>
      <c r="E86" s="223" t="s">
        <v>756</v>
      </c>
      <c r="F86" s="191" t="s">
        <v>757</v>
      </c>
      <c r="G86" s="223" t="s">
        <v>758</v>
      </c>
      <c r="H86" s="223" t="s">
        <v>759</v>
      </c>
      <c r="I86" s="223" t="s">
        <v>760</v>
      </c>
      <c r="J86" s="223" t="s">
        <v>761</v>
      </c>
      <c r="K86" s="173"/>
      <c r="L86" s="173"/>
    </row>
    <row r="87" spans="4:12" ht="20.100000000000001" customHeight="1" x14ac:dyDescent="0.25">
      <c r="D87" s="226" t="str" cm="1">
        <f t="array" ref="D87">Common_InputFunctions.Utility_DisplayArrayInTable(Fuel_SourceData.Fuel_Scope1EmissionFactorsStationaryGaseous_Data(), Table_Fuel_EFs_StationaryGaseous[[#Headers],[Fuel combusted]],0)</f>
        <v>Natural gas distributed in a pipeline</v>
      </c>
      <c r="E87" s="226" cm="1">
        <f t="array" ref="E87">Common_InputFunctions.Utility_DisplayArrayInTable(Fuel_SourceData.Fuel_Scope1EmissionFactorsStationaryGaseous_Data(), Table_Fuel_EFs_StationaryGaseous[[#Headers],[Fuel combusted]],0)</f>
        <v>3.9300000000000002E-2</v>
      </c>
      <c r="F87" s="226" t="str" cm="1">
        <f t="array" ref="F87">Common_InputFunctions.Utility_DisplayArrayInTable(Fuel_SourceData.Fuel_Scope1EmissionFactorsStationaryGaseous_Data(), Table_Fuel_EFs_StationaryGaseous[[#Headers],[Fuel combusted]],0)</f>
        <v>m3</v>
      </c>
      <c r="G87" s="226" cm="1">
        <f t="array" ref="G87">Common_InputFunctions.Utility_DisplayArrayInTable(Fuel_SourceData.Fuel_Scope1EmissionFactorsStationaryGaseous_Data(), Table_Fuel_EFs_StationaryGaseous[[#Headers],[Fuel combusted]],0)</f>
        <v>51.4</v>
      </c>
      <c r="H87" s="226" cm="1">
        <f t="array" ref="H87">Common_InputFunctions.Utility_DisplayArrayInTable(Fuel_SourceData.Fuel_Scope1EmissionFactorsStationaryGaseous_Data(), Table_Fuel_EFs_StationaryGaseous[[#Headers],[Fuel combusted]],0)</f>
        <v>0.1</v>
      </c>
      <c r="I87" s="226" cm="1">
        <f t="array" ref="I87">Common_InputFunctions.Utility_DisplayArrayInTable(Fuel_SourceData.Fuel_Scope1EmissionFactorsStationaryGaseous_Data(), Table_Fuel_EFs_StationaryGaseous[[#Headers],[Fuel combusted]],0)</f>
        <v>0.03</v>
      </c>
      <c r="J87" s="226" cm="1">
        <f t="array" ref="J87">Common_InputFunctions.Utility_DisplayArrayInTable(Fuel_SourceData.Fuel_Scope1EmissionFactorsStationaryGaseous_Data(), Table_Fuel_EFs_StationaryGaseous[[#Headers],[Fuel combusted]],0)</f>
        <v>51.53</v>
      </c>
      <c r="K87" s="173"/>
      <c r="L87" s="173"/>
    </row>
    <row r="88" spans="4:12" ht="20.100000000000001" customHeight="1" x14ac:dyDescent="0.25">
      <c r="D88" s="226" t="str" cm="1">
        <f t="array" ref="D88">Common_InputFunctions.Utility_DisplayArrayInTable(Fuel_SourceData.Fuel_Scope1EmissionFactorsStationaryGaseous_Data(), Table_Fuel_EFs_StationaryGaseous[[#Headers],[Fuel combusted]],0)</f>
        <v>Coal seam methane that is captured for combustion</v>
      </c>
      <c r="E88" s="226" cm="1">
        <f t="array" ref="E88">Common_InputFunctions.Utility_DisplayArrayInTable(Fuel_SourceData.Fuel_Scope1EmissionFactorsStationaryGaseous_Data(), Table_Fuel_EFs_StationaryGaseous[[#Headers],[Fuel combusted]],0)</f>
        <v>3.7699999999999997E-2</v>
      </c>
      <c r="F88" s="226" t="str" cm="1">
        <f t="array" ref="F88">Common_InputFunctions.Utility_DisplayArrayInTable(Fuel_SourceData.Fuel_Scope1EmissionFactorsStationaryGaseous_Data(), Table_Fuel_EFs_StationaryGaseous[[#Headers],[Fuel combusted]],0)</f>
        <v>m3</v>
      </c>
      <c r="G88" s="226" cm="1">
        <f t="array" ref="G88">Common_InputFunctions.Utility_DisplayArrayInTable(Fuel_SourceData.Fuel_Scope1EmissionFactorsStationaryGaseous_Data(), Table_Fuel_EFs_StationaryGaseous[[#Headers],[Fuel combusted]],0)</f>
        <v>51.4</v>
      </c>
      <c r="H88" s="226" cm="1">
        <f t="array" ref="H88">Common_InputFunctions.Utility_DisplayArrayInTable(Fuel_SourceData.Fuel_Scope1EmissionFactorsStationaryGaseous_Data(), Table_Fuel_EFs_StationaryGaseous[[#Headers],[Fuel combusted]],0)</f>
        <v>0.2</v>
      </c>
      <c r="I88" s="226" cm="1">
        <f t="array" ref="I88">Common_InputFunctions.Utility_DisplayArrayInTable(Fuel_SourceData.Fuel_Scope1EmissionFactorsStationaryGaseous_Data(), Table_Fuel_EFs_StationaryGaseous[[#Headers],[Fuel combusted]],0)</f>
        <v>0.03</v>
      </c>
      <c r="J88" s="226" cm="1">
        <f t="array" ref="J88">Common_InputFunctions.Utility_DisplayArrayInTable(Fuel_SourceData.Fuel_Scope1EmissionFactorsStationaryGaseous_Data(), Table_Fuel_EFs_StationaryGaseous[[#Headers],[Fuel combusted]],0)</f>
        <v>51.63</v>
      </c>
      <c r="K88" s="173"/>
      <c r="L88" s="173"/>
    </row>
    <row r="89" spans="4:12" ht="20.100000000000001" customHeight="1" x14ac:dyDescent="0.25">
      <c r="D89" s="226" t="str" cm="1">
        <f t="array" ref="D89">Common_InputFunctions.Utility_DisplayArrayInTable(Fuel_SourceData.Fuel_Scope1EmissionFactorsStationaryGaseous_Data(), Table_Fuel_EFs_StationaryGaseous[[#Headers],[Fuel combusted]],0)</f>
        <v>Coal mine waste gas that is captured for combustion</v>
      </c>
      <c r="E89" s="226" cm="1">
        <f t="array" ref="E89">Common_InputFunctions.Utility_DisplayArrayInTable(Fuel_SourceData.Fuel_Scope1EmissionFactorsStationaryGaseous_Data(), Table_Fuel_EFs_StationaryGaseous[[#Headers],[Fuel combusted]],0)</f>
        <v>3.7699999999999997E-2</v>
      </c>
      <c r="F89" s="226" t="str" cm="1">
        <f t="array" ref="F89">Common_InputFunctions.Utility_DisplayArrayInTable(Fuel_SourceData.Fuel_Scope1EmissionFactorsStationaryGaseous_Data(), Table_Fuel_EFs_StationaryGaseous[[#Headers],[Fuel combusted]],0)</f>
        <v>m3</v>
      </c>
      <c r="G89" s="226" cm="1">
        <f t="array" ref="G89">Common_InputFunctions.Utility_DisplayArrayInTable(Fuel_SourceData.Fuel_Scope1EmissionFactorsStationaryGaseous_Data(), Table_Fuel_EFs_StationaryGaseous[[#Headers],[Fuel combusted]],0)</f>
        <v>51.9</v>
      </c>
      <c r="H89" s="226" cm="1">
        <f t="array" ref="H89">Common_InputFunctions.Utility_DisplayArrayInTable(Fuel_SourceData.Fuel_Scope1EmissionFactorsStationaryGaseous_Data(), Table_Fuel_EFs_StationaryGaseous[[#Headers],[Fuel combusted]],0)</f>
        <v>4.5999999999999996</v>
      </c>
      <c r="I89" s="226" cm="1">
        <f t="array" ref="I89">Common_InputFunctions.Utility_DisplayArrayInTable(Fuel_SourceData.Fuel_Scope1EmissionFactorsStationaryGaseous_Data(), Table_Fuel_EFs_StationaryGaseous[[#Headers],[Fuel combusted]],0)</f>
        <v>0.3</v>
      </c>
      <c r="J89" s="226" cm="1">
        <f t="array" ref="J89">Common_InputFunctions.Utility_DisplayArrayInTable(Fuel_SourceData.Fuel_Scope1EmissionFactorsStationaryGaseous_Data(), Table_Fuel_EFs_StationaryGaseous[[#Headers],[Fuel combusted]],0)</f>
        <v>56.8</v>
      </c>
      <c r="K89" s="173"/>
      <c r="L89" s="173"/>
    </row>
    <row r="90" spans="4:12" ht="20.100000000000001" customHeight="1" x14ac:dyDescent="0.25">
      <c r="D90" s="226" t="str" cm="1">
        <f t="array" ref="D90">Common_InputFunctions.Utility_DisplayArrayInTable(Fuel_SourceData.Fuel_Scope1EmissionFactorsStationaryGaseous_Data(), Table_Fuel_EFs_StationaryGaseous[[#Headers],[Fuel combusted]],0)</f>
        <v>Compressed natural gas(reverting to standard conditions)</v>
      </c>
      <c r="E90" s="226" cm="1">
        <f t="array" ref="E90">Common_InputFunctions.Utility_DisplayArrayInTable(Fuel_SourceData.Fuel_Scope1EmissionFactorsStationaryGaseous_Data(), Table_Fuel_EFs_StationaryGaseous[[#Headers],[Fuel combusted]],0)</f>
        <v>3.9300000000000002E-2</v>
      </c>
      <c r="F90" s="226" t="str" cm="1">
        <f t="array" ref="F90">Common_InputFunctions.Utility_DisplayArrayInTable(Fuel_SourceData.Fuel_Scope1EmissionFactorsStationaryGaseous_Data(), Table_Fuel_EFs_StationaryGaseous[[#Headers],[Fuel combusted]],0)</f>
        <v>m3</v>
      </c>
      <c r="G90" s="226" cm="1">
        <f t="array" ref="G90">Common_InputFunctions.Utility_DisplayArrayInTable(Fuel_SourceData.Fuel_Scope1EmissionFactorsStationaryGaseous_Data(), Table_Fuel_EFs_StationaryGaseous[[#Headers],[Fuel combusted]],0)</f>
        <v>51.4</v>
      </c>
      <c r="H90" s="226" cm="1">
        <f t="array" ref="H90">Common_InputFunctions.Utility_DisplayArrayInTable(Fuel_SourceData.Fuel_Scope1EmissionFactorsStationaryGaseous_Data(), Table_Fuel_EFs_StationaryGaseous[[#Headers],[Fuel combusted]],0)</f>
        <v>0.1</v>
      </c>
      <c r="I90" s="226" cm="1">
        <f t="array" ref="I90">Common_InputFunctions.Utility_DisplayArrayInTable(Fuel_SourceData.Fuel_Scope1EmissionFactorsStationaryGaseous_Data(), Table_Fuel_EFs_StationaryGaseous[[#Headers],[Fuel combusted]],0)</f>
        <v>0.03</v>
      </c>
      <c r="J90" s="226" cm="1">
        <f t="array" ref="J90">Common_InputFunctions.Utility_DisplayArrayInTable(Fuel_SourceData.Fuel_Scope1EmissionFactorsStationaryGaseous_Data(), Table_Fuel_EFs_StationaryGaseous[[#Headers],[Fuel combusted]],0)</f>
        <v>51.53</v>
      </c>
      <c r="K90" s="173"/>
      <c r="L90" s="173"/>
    </row>
    <row r="91" spans="4:12" ht="20.100000000000001" customHeight="1" x14ac:dyDescent="0.25">
      <c r="D91" s="226" t="str" cm="1">
        <f t="array" ref="D91">Common_InputFunctions.Utility_DisplayArrayInTable(Fuel_SourceData.Fuel_Scope1EmissionFactorsStationaryGaseous_Data(), Table_Fuel_EFs_StationaryGaseous[[#Headers],[Fuel combusted]],0)</f>
        <v>Unprocessed natural gas</v>
      </c>
      <c r="E91" s="226" cm="1">
        <f t="array" ref="E91">Common_InputFunctions.Utility_DisplayArrayInTable(Fuel_SourceData.Fuel_Scope1EmissionFactorsStationaryGaseous_Data(), Table_Fuel_EFs_StationaryGaseous[[#Headers],[Fuel combusted]],0)</f>
        <v>3.9300000000000002E-2</v>
      </c>
      <c r="F91" s="226" t="str" cm="1">
        <f t="array" ref="F91">Common_InputFunctions.Utility_DisplayArrayInTable(Fuel_SourceData.Fuel_Scope1EmissionFactorsStationaryGaseous_Data(), Table_Fuel_EFs_StationaryGaseous[[#Headers],[Fuel combusted]],0)</f>
        <v>m3</v>
      </c>
      <c r="G91" s="226" cm="1">
        <f t="array" ref="G91">Common_InputFunctions.Utility_DisplayArrayInTable(Fuel_SourceData.Fuel_Scope1EmissionFactorsStationaryGaseous_Data(), Table_Fuel_EFs_StationaryGaseous[[#Headers],[Fuel combusted]],0)</f>
        <v>51.4</v>
      </c>
      <c r="H91" s="226" cm="1">
        <f t="array" ref="H91">Common_InputFunctions.Utility_DisplayArrayInTable(Fuel_SourceData.Fuel_Scope1EmissionFactorsStationaryGaseous_Data(), Table_Fuel_EFs_StationaryGaseous[[#Headers],[Fuel combusted]],0)</f>
        <v>0.1</v>
      </c>
      <c r="I91" s="226" cm="1">
        <f t="array" ref="I91">Common_InputFunctions.Utility_DisplayArrayInTable(Fuel_SourceData.Fuel_Scope1EmissionFactorsStationaryGaseous_Data(), Table_Fuel_EFs_StationaryGaseous[[#Headers],[Fuel combusted]],0)</f>
        <v>0.03</v>
      </c>
      <c r="J91" s="226" cm="1">
        <f t="array" ref="J91">Common_InputFunctions.Utility_DisplayArrayInTable(Fuel_SourceData.Fuel_Scope1EmissionFactorsStationaryGaseous_Data(), Table_Fuel_EFs_StationaryGaseous[[#Headers],[Fuel combusted]],0)</f>
        <v>51.53</v>
      </c>
      <c r="K91" s="173"/>
      <c r="L91" s="173"/>
    </row>
    <row r="92" spans="4:12" ht="20.100000000000001" customHeight="1" x14ac:dyDescent="0.25">
      <c r="D92" s="226" t="str" cm="1">
        <f t="array" ref="D92">Common_InputFunctions.Utility_DisplayArrayInTable(Fuel_SourceData.Fuel_Scope1EmissionFactorsStationaryGaseous_Data(), Table_Fuel_EFs_StationaryGaseous[[#Headers],[Fuel combusted]],0)</f>
        <v>Ethane</v>
      </c>
      <c r="E92" s="226" cm="1">
        <f t="array" ref="E92">Common_InputFunctions.Utility_DisplayArrayInTable(Fuel_SourceData.Fuel_Scope1EmissionFactorsStationaryGaseous_Data(), Table_Fuel_EFs_StationaryGaseous[[#Headers],[Fuel combusted]],0)</f>
        <v>6.2899999999999998E-2</v>
      </c>
      <c r="F92" s="226" t="str" cm="1">
        <f t="array" ref="F92">Common_InputFunctions.Utility_DisplayArrayInTable(Fuel_SourceData.Fuel_Scope1EmissionFactorsStationaryGaseous_Data(), Table_Fuel_EFs_StationaryGaseous[[#Headers],[Fuel combusted]],0)</f>
        <v>m3</v>
      </c>
      <c r="G92" s="226" cm="1">
        <f t="array" ref="G92">Common_InputFunctions.Utility_DisplayArrayInTable(Fuel_SourceData.Fuel_Scope1EmissionFactorsStationaryGaseous_Data(), Table_Fuel_EFs_StationaryGaseous[[#Headers],[Fuel combusted]],0)</f>
        <v>56.5</v>
      </c>
      <c r="H92" s="226" cm="1">
        <f t="array" ref="H92">Common_InputFunctions.Utility_DisplayArrayInTable(Fuel_SourceData.Fuel_Scope1EmissionFactorsStationaryGaseous_Data(), Table_Fuel_EFs_StationaryGaseous[[#Headers],[Fuel combusted]],0)</f>
        <v>0.03</v>
      </c>
      <c r="I92" s="226" cm="1">
        <f t="array" ref="I92">Common_InputFunctions.Utility_DisplayArrayInTable(Fuel_SourceData.Fuel_Scope1EmissionFactorsStationaryGaseous_Data(), Table_Fuel_EFs_StationaryGaseous[[#Headers],[Fuel combusted]],0)</f>
        <v>0.03</v>
      </c>
      <c r="J92" s="226" cm="1">
        <f t="array" ref="J92">Common_InputFunctions.Utility_DisplayArrayInTable(Fuel_SourceData.Fuel_Scope1EmissionFactorsStationaryGaseous_Data(), Table_Fuel_EFs_StationaryGaseous[[#Headers],[Fuel combusted]],0)</f>
        <v>56.56</v>
      </c>
      <c r="K92" s="173"/>
      <c r="L92" s="173"/>
    </row>
    <row r="93" spans="4:12" ht="20.100000000000001" customHeight="1" x14ac:dyDescent="0.25">
      <c r="D93" s="226" t="str" cm="1">
        <f t="array" ref="D93">Common_InputFunctions.Utility_DisplayArrayInTable(Fuel_SourceData.Fuel_Scope1EmissionFactorsStationaryGaseous_Data(), Table_Fuel_EFs_StationaryGaseous[[#Headers],[Fuel combusted]],0)</f>
        <v>Coke oven gas</v>
      </c>
      <c r="E93" s="226" cm="1">
        <f t="array" ref="E93">Common_InputFunctions.Utility_DisplayArrayInTable(Fuel_SourceData.Fuel_Scope1EmissionFactorsStationaryGaseous_Data(), Table_Fuel_EFs_StationaryGaseous[[#Headers],[Fuel combusted]],0)</f>
        <v>1.8100000000000002E-2</v>
      </c>
      <c r="F93" s="226" t="str" cm="1">
        <f t="array" ref="F93">Common_InputFunctions.Utility_DisplayArrayInTable(Fuel_SourceData.Fuel_Scope1EmissionFactorsStationaryGaseous_Data(), Table_Fuel_EFs_StationaryGaseous[[#Headers],[Fuel combusted]],0)</f>
        <v>m3</v>
      </c>
      <c r="G93" s="226" cm="1">
        <f t="array" ref="G93">Common_InputFunctions.Utility_DisplayArrayInTable(Fuel_SourceData.Fuel_Scope1EmissionFactorsStationaryGaseous_Data(), Table_Fuel_EFs_StationaryGaseous[[#Headers],[Fuel combusted]],0)</f>
        <v>37</v>
      </c>
      <c r="H93" s="226" cm="1">
        <f t="array" ref="H93">Common_InputFunctions.Utility_DisplayArrayInTable(Fuel_SourceData.Fuel_Scope1EmissionFactorsStationaryGaseous_Data(), Table_Fuel_EFs_StationaryGaseous[[#Headers],[Fuel combusted]],0)</f>
        <v>0.03</v>
      </c>
      <c r="I93" s="226" cm="1">
        <f t="array" ref="I93">Common_InputFunctions.Utility_DisplayArrayInTable(Fuel_SourceData.Fuel_Scope1EmissionFactorsStationaryGaseous_Data(), Table_Fuel_EFs_StationaryGaseous[[#Headers],[Fuel combusted]],0)</f>
        <v>0.05</v>
      </c>
      <c r="J93" s="226" cm="1">
        <f t="array" ref="J93">Common_InputFunctions.Utility_DisplayArrayInTable(Fuel_SourceData.Fuel_Scope1EmissionFactorsStationaryGaseous_Data(), Table_Fuel_EFs_StationaryGaseous[[#Headers],[Fuel combusted]],0)</f>
        <v>37.08</v>
      </c>
      <c r="K93" s="173"/>
      <c r="L93" s="173"/>
    </row>
    <row r="94" spans="4:12" ht="20.100000000000001" customHeight="1" x14ac:dyDescent="0.25">
      <c r="D94" s="226" t="str" cm="1">
        <f t="array" ref="D94">Common_InputFunctions.Utility_DisplayArrayInTable(Fuel_SourceData.Fuel_Scope1EmissionFactorsStationaryGaseous_Data(), Table_Fuel_EFs_StationaryGaseous[[#Headers],[Fuel combusted]],0)</f>
        <v>Blast furnace gas</v>
      </c>
      <c r="E94" s="226" cm="1">
        <f t="array" ref="E94">Common_InputFunctions.Utility_DisplayArrayInTable(Fuel_SourceData.Fuel_Scope1EmissionFactorsStationaryGaseous_Data(), Table_Fuel_EFs_StationaryGaseous[[#Headers],[Fuel combusted]],0)</f>
        <v>4.0000000000000001E-3</v>
      </c>
      <c r="F94" s="226" t="str" cm="1">
        <f t="array" ref="F94">Common_InputFunctions.Utility_DisplayArrayInTable(Fuel_SourceData.Fuel_Scope1EmissionFactorsStationaryGaseous_Data(), Table_Fuel_EFs_StationaryGaseous[[#Headers],[Fuel combusted]],0)</f>
        <v>m3</v>
      </c>
      <c r="G94" s="226" cm="1">
        <f t="array" ref="G94">Common_InputFunctions.Utility_DisplayArrayInTable(Fuel_SourceData.Fuel_Scope1EmissionFactorsStationaryGaseous_Data(), Table_Fuel_EFs_StationaryGaseous[[#Headers],[Fuel combusted]],0)</f>
        <v>234</v>
      </c>
      <c r="H94" s="226" cm="1">
        <f t="array" ref="H94">Common_InputFunctions.Utility_DisplayArrayInTable(Fuel_SourceData.Fuel_Scope1EmissionFactorsStationaryGaseous_Data(), Table_Fuel_EFs_StationaryGaseous[[#Headers],[Fuel combusted]],0)</f>
        <v>0.03</v>
      </c>
      <c r="I94" s="226" cm="1">
        <f t="array" ref="I94">Common_InputFunctions.Utility_DisplayArrayInTable(Fuel_SourceData.Fuel_Scope1EmissionFactorsStationaryGaseous_Data(), Table_Fuel_EFs_StationaryGaseous[[#Headers],[Fuel combusted]],0)</f>
        <v>0.02</v>
      </c>
      <c r="J94" s="226" cm="1">
        <f t="array" ref="J94">Common_InputFunctions.Utility_DisplayArrayInTable(Fuel_SourceData.Fuel_Scope1EmissionFactorsStationaryGaseous_Data(), Table_Fuel_EFs_StationaryGaseous[[#Headers],[Fuel combusted]],0)</f>
        <v>234.05</v>
      </c>
      <c r="K94" s="173"/>
      <c r="L94" s="173"/>
    </row>
    <row r="95" spans="4:12" ht="20.100000000000001" customHeight="1" x14ac:dyDescent="0.25">
      <c r="D95" s="226" t="str" cm="1">
        <f t="array" ref="D95">Common_InputFunctions.Utility_DisplayArrayInTable(Fuel_SourceData.Fuel_Scope1EmissionFactorsStationaryGaseous_Data(), Table_Fuel_EFs_StationaryGaseous[[#Headers],[Fuel combusted]],0)</f>
        <v>Town gas</v>
      </c>
      <c r="E95" s="226" cm="1">
        <f t="array" ref="E95">Common_InputFunctions.Utility_DisplayArrayInTable(Fuel_SourceData.Fuel_Scope1EmissionFactorsStationaryGaseous_Data(), Table_Fuel_EFs_StationaryGaseous[[#Headers],[Fuel combusted]],0)</f>
        <v>3.9E-2</v>
      </c>
      <c r="F95" s="226" t="str" cm="1">
        <f t="array" ref="F95">Common_InputFunctions.Utility_DisplayArrayInTable(Fuel_SourceData.Fuel_Scope1EmissionFactorsStationaryGaseous_Data(), Table_Fuel_EFs_StationaryGaseous[[#Headers],[Fuel combusted]],0)</f>
        <v>m3</v>
      </c>
      <c r="G95" s="226" cm="1">
        <f t="array" ref="G95">Common_InputFunctions.Utility_DisplayArrayInTable(Fuel_SourceData.Fuel_Scope1EmissionFactorsStationaryGaseous_Data(), Table_Fuel_EFs_StationaryGaseous[[#Headers],[Fuel combusted]],0)</f>
        <v>60.2</v>
      </c>
      <c r="H95" s="226" cm="1">
        <f t="array" ref="H95">Common_InputFunctions.Utility_DisplayArrayInTable(Fuel_SourceData.Fuel_Scope1EmissionFactorsStationaryGaseous_Data(), Table_Fuel_EFs_StationaryGaseous[[#Headers],[Fuel combusted]],0)</f>
        <v>0.04</v>
      </c>
      <c r="I95" s="226" cm="1">
        <f t="array" ref="I95">Common_InputFunctions.Utility_DisplayArrayInTable(Fuel_SourceData.Fuel_Scope1EmissionFactorsStationaryGaseous_Data(), Table_Fuel_EFs_StationaryGaseous[[#Headers],[Fuel combusted]],0)</f>
        <v>0.03</v>
      </c>
      <c r="J95" s="226" cm="1">
        <f t="array" ref="J95">Common_InputFunctions.Utility_DisplayArrayInTable(Fuel_SourceData.Fuel_Scope1EmissionFactorsStationaryGaseous_Data(), Table_Fuel_EFs_StationaryGaseous[[#Headers],[Fuel combusted]],0)</f>
        <v>60.27</v>
      </c>
      <c r="K95" s="173"/>
      <c r="L95" s="173"/>
    </row>
    <row r="96" spans="4:12" ht="20.100000000000001" customHeight="1" x14ac:dyDescent="0.25">
      <c r="D96" s="226" t="str" cm="1">
        <f t="array" ref="D96">Common_InputFunctions.Utility_DisplayArrayInTable(Fuel_SourceData.Fuel_Scope1EmissionFactorsStationaryGaseous_Data(), Table_Fuel_EFs_StationaryGaseous[[#Headers],[Fuel combusted]],0)</f>
        <v>Liquefied natural gas</v>
      </c>
      <c r="E96" s="226" cm="1">
        <f t="array" ref="E96">Common_InputFunctions.Utility_DisplayArrayInTable(Fuel_SourceData.Fuel_Scope1EmissionFactorsStationaryGaseous_Data(), Table_Fuel_EFs_StationaryGaseous[[#Headers],[Fuel combusted]],0)</f>
        <v>25.3</v>
      </c>
      <c r="F96" s="226" t="str" cm="1">
        <f t="array" ref="F96">Common_InputFunctions.Utility_DisplayArrayInTable(Fuel_SourceData.Fuel_Scope1EmissionFactorsStationaryGaseous_Data(), Table_Fuel_EFs_StationaryGaseous[[#Headers],[Fuel combusted]],0)</f>
        <v>kL</v>
      </c>
      <c r="G96" s="226" cm="1">
        <f t="array" ref="G96">Common_InputFunctions.Utility_DisplayArrayInTable(Fuel_SourceData.Fuel_Scope1EmissionFactorsStationaryGaseous_Data(), Table_Fuel_EFs_StationaryGaseous[[#Headers],[Fuel combusted]],0)</f>
        <v>51.4</v>
      </c>
      <c r="H96" s="226" cm="1">
        <f t="array" ref="H96">Common_InputFunctions.Utility_DisplayArrayInTable(Fuel_SourceData.Fuel_Scope1EmissionFactorsStationaryGaseous_Data(), Table_Fuel_EFs_StationaryGaseous[[#Headers],[Fuel combusted]],0)</f>
        <v>0.1</v>
      </c>
      <c r="I96" s="226" cm="1">
        <f t="array" ref="I96">Common_InputFunctions.Utility_DisplayArrayInTable(Fuel_SourceData.Fuel_Scope1EmissionFactorsStationaryGaseous_Data(), Table_Fuel_EFs_StationaryGaseous[[#Headers],[Fuel combusted]],0)</f>
        <v>0.03</v>
      </c>
      <c r="J96" s="226" cm="1">
        <f t="array" ref="J96">Common_InputFunctions.Utility_DisplayArrayInTable(Fuel_SourceData.Fuel_Scope1EmissionFactorsStationaryGaseous_Data(), Table_Fuel_EFs_StationaryGaseous[[#Headers],[Fuel combusted]],0)</f>
        <v>51.53</v>
      </c>
      <c r="K96" s="173"/>
      <c r="L96" s="173"/>
    </row>
    <row r="97" spans="4:13" ht="20.100000000000001" customHeight="1" x14ac:dyDescent="0.25">
      <c r="D97" s="226" t="str" cm="1">
        <f t="array" ref="D97">Common_InputFunctions.Utility_DisplayArrayInTable(Fuel_SourceData.Fuel_Scope1EmissionFactorsStationaryGaseous_Data(), Table_Fuel_EFs_StationaryGaseous[[#Headers],[Fuel combusted]],0)</f>
        <v>Gaseous fossil fuels other than those mentioned in the items above</v>
      </c>
      <c r="E97" s="226" cm="1">
        <f t="array" ref="E97">Common_InputFunctions.Utility_DisplayArrayInTable(Fuel_SourceData.Fuel_Scope1EmissionFactorsStationaryGaseous_Data(), Table_Fuel_EFs_StationaryGaseous[[#Headers],[Fuel combusted]],0)</f>
        <v>3.9E-2</v>
      </c>
      <c r="F97" s="226" t="str" cm="1">
        <f t="array" ref="F97">Common_InputFunctions.Utility_DisplayArrayInTable(Fuel_SourceData.Fuel_Scope1EmissionFactorsStationaryGaseous_Data(), Table_Fuel_EFs_StationaryGaseous[[#Headers],[Fuel combusted]],0)</f>
        <v>m3</v>
      </c>
      <c r="G97" s="226" cm="1">
        <f t="array" ref="G97">Common_InputFunctions.Utility_DisplayArrayInTable(Fuel_SourceData.Fuel_Scope1EmissionFactorsStationaryGaseous_Data(), Table_Fuel_EFs_StationaryGaseous[[#Headers],[Fuel combusted]],0)</f>
        <v>51.4</v>
      </c>
      <c r="H97" s="226" cm="1">
        <f t="array" ref="H97">Common_InputFunctions.Utility_DisplayArrayInTable(Fuel_SourceData.Fuel_Scope1EmissionFactorsStationaryGaseous_Data(), Table_Fuel_EFs_StationaryGaseous[[#Headers],[Fuel combusted]],0)</f>
        <v>0.1</v>
      </c>
      <c r="I97" s="226" cm="1">
        <f t="array" ref="I97">Common_InputFunctions.Utility_DisplayArrayInTable(Fuel_SourceData.Fuel_Scope1EmissionFactorsStationaryGaseous_Data(), Table_Fuel_EFs_StationaryGaseous[[#Headers],[Fuel combusted]],0)</f>
        <v>0.03</v>
      </c>
      <c r="J97" s="226" cm="1">
        <f t="array" ref="J97">Common_InputFunctions.Utility_DisplayArrayInTable(Fuel_SourceData.Fuel_Scope1EmissionFactorsStationaryGaseous_Data(), Table_Fuel_EFs_StationaryGaseous[[#Headers],[Fuel combusted]],0)</f>
        <v>51.53</v>
      </c>
      <c r="K97" s="173"/>
      <c r="L97" s="173"/>
    </row>
    <row r="98" spans="4:13" ht="20.100000000000001" customHeight="1" x14ac:dyDescent="0.25">
      <c r="D98" s="226" t="str" cm="1">
        <f t="array" ref="D98">Common_InputFunctions.Utility_DisplayArrayInTable(Fuel_SourceData.Fuel_Scope1EmissionFactorsStationaryGaseous_Data(), Table_Fuel_EFs_StationaryGaseous[[#Headers],[Fuel combusted]],0)</f>
        <v>Landfill biogas that is captured for combustion (methane only)</v>
      </c>
      <c r="E98" s="226" cm="1">
        <f t="array" ref="E98">Common_InputFunctions.Utility_DisplayArrayInTable(Fuel_SourceData.Fuel_Scope1EmissionFactorsStationaryGaseous_Data(), Table_Fuel_EFs_StationaryGaseous[[#Headers],[Fuel combusted]],0)</f>
        <v>3.7699999999999997E-2</v>
      </c>
      <c r="F98" s="226" t="str" cm="1">
        <f t="array" ref="F98">Common_InputFunctions.Utility_DisplayArrayInTable(Fuel_SourceData.Fuel_Scope1EmissionFactorsStationaryGaseous_Data(), Table_Fuel_EFs_StationaryGaseous[[#Headers],[Fuel combusted]],0)</f>
        <v>m3</v>
      </c>
      <c r="G98" s="226" cm="1">
        <f t="array" ref="G98">Common_InputFunctions.Utility_DisplayArrayInTable(Fuel_SourceData.Fuel_Scope1EmissionFactorsStationaryGaseous_Data(), Table_Fuel_EFs_StationaryGaseous[[#Headers],[Fuel combusted]],0)</f>
        <v>0</v>
      </c>
      <c r="H98" s="226" cm="1">
        <f t="array" ref="H98">Common_InputFunctions.Utility_DisplayArrayInTable(Fuel_SourceData.Fuel_Scope1EmissionFactorsStationaryGaseous_Data(), Table_Fuel_EFs_StationaryGaseous[[#Headers],[Fuel combusted]],0)</f>
        <v>6.4</v>
      </c>
      <c r="I98" s="226" cm="1">
        <f t="array" ref="I98">Common_InputFunctions.Utility_DisplayArrayInTable(Fuel_SourceData.Fuel_Scope1EmissionFactorsStationaryGaseous_Data(), Table_Fuel_EFs_StationaryGaseous[[#Headers],[Fuel combusted]],0)</f>
        <v>0.03</v>
      </c>
      <c r="J98" s="226" cm="1">
        <f t="array" ref="J98">Common_InputFunctions.Utility_DisplayArrayInTable(Fuel_SourceData.Fuel_Scope1EmissionFactorsStationaryGaseous_Data(), Table_Fuel_EFs_StationaryGaseous[[#Headers],[Fuel combusted]],0)</f>
        <v>6.43</v>
      </c>
      <c r="K98" s="173"/>
      <c r="L98" s="173"/>
    </row>
    <row r="99" spans="4:13" ht="20.100000000000001" customHeight="1" x14ac:dyDescent="0.25">
      <c r="D99" s="226" t="str" cm="1">
        <f t="array" ref="D99">Common_InputFunctions.Utility_DisplayArrayInTable(Fuel_SourceData.Fuel_Scope1EmissionFactorsStationaryGaseous_Data(), Table_Fuel_EFs_StationaryGaseous[[#Headers],[Fuel combusted]],0)</f>
        <v>Sludge biogas that is captured for combustion (methane only)</v>
      </c>
      <c r="E99" s="226" cm="1">
        <f t="array" ref="E99">Common_InputFunctions.Utility_DisplayArrayInTable(Fuel_SourceData.Fuel_Scope1EmissionFactorsStationaryGaseous_Data(), Table_Fuel_EFs_StationaryGaseous[[#Headers],[Fuel combusted]],0)</f>
        <v>3.7699999999999997E-2</v>
      </c>
      <c r="F99" s="226" t="str" cm="1">
        <f t="array" ref="F99">Common_InputFunctions.Utility_DisplayArrayInTable(Fuel_SourceData.Fuel_Scope1EmissionFactorsStationaryGaseous_Data(), Table_Fuel_EFs_StationaryGaseous[[#Headers],[Fuel combusted]],0)</f>
        <v>m3</v>
      </c>
      <c r="G99" s="226" cm="1">
        <f t="array" ref="G99">Common_InputFunctions.Utility_DisplayArrayInTable(Fuel_SourceData.Fuel_Scope1EmissionFactorsStationaryGaseous_Data(), Table_Fuel_EFs_StationaryGaseous[[#Headers],[Fuel combusted]],0)</f>
        <v>0</v>
      </c>
      <c r="H99" s="226" cm="1">
        <f t="array" ref="H99">Common_InputFunctions.Utility_DisplayArrayInTable(Fuel_SourceData.Fuel_Scope1EmissionFactorsStationaryGaseous_Data(), Table_Fuel_EFs_StationaryGaseous[[#Headers],[Fuel combusted]],0)</f>
        <v>6.4</v>
      </c>
      <c r="I99" s="226" cm="1">
        <f t="array" ref="I99">Common_InputFunctions.Utility_DisplayArrayInTable(Fuel_SourceData.Fuel_Scope1EmissionFactorsStationaryGaseous_Data(), Table_Fuel_EFs_StationaryGaseous[[#Headers],[Fuel combusted]],0)</f>
        <v>0.03</v>
      </c>
      <c r="J99" s="226" cm="1">
        <f t="array" ref="J99">Common_InputFunctions.Utility_DisplayArrayInTable(Fuel_SourceData.Fuel_Scope1EmissionFactorsStationaryGaseous_Data(), Table_Fuel_EFs_StationaryGaseous[[#Headers],[Fuel combusted]],0)</f>
        <v>6.43</v>
      </c>
      <c r="K99" s="173"/>
      <c r="L99" s="173"/>
    </row>
    <row r="100" spans="4:13" ht="20.100000000000001" customHeight="1" x14ac:dyDescent="0.25">
      <c r="D100" s="2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6" cm="1">
        <f t="array" ref="E100">Common_InputFunctions.Utility_DisplayArrayInTable(Fuel_SourceData.Fuel_Scope1EmissionFactorsStationaryGaseous_Data(), Table_Fuel_EFs_StationaryGaseous[[#Headers],[Fuel combusted]],0)</f>
        <v>3.6999999999999998E-2</v>
      </c>
      <c r="F100" s="226" t="str" cm="1">
        <f t="array" ref="F100">Common_InputFunctions.Utility_DisplayArrayInTable(Fuel_SourceData.Fuel_Scope1EmissionFactorsStationaryGaseous_Data(), Table_Fuel_EFs_StationaryGaseous[[#Headers],[Fuel combusted]],0)</f>
        <v>m3</v>
      </c>
      <c r="G100" s="226" cm="1">
        <f t="array" ref="G100">Common_InputFunctions.Utility_DisplayArrayInTable(Fuel_SourceData.Fuel_Scope1EmissionFactorsStationaryGaseous_Data(), Table_Fuel_EFs_StationaryGaseous[[#Headers],[Fuel combusted]],0)</f>
        <v>0</v>
      </c>
      <c r="H100" s="226" cm="1">
        <f t="array" ref="H100">Common_InputFunctions.Utility_DisplayArrayInTable(Fuel_SourceData.Fuel_Scope1EmissionFactorsStationaryGaseous_Data(), Table_Fuel_EFs_StationaryGaseous[[#Headers],[Fuel combusted]],0)</f>
        <v>6.4</v>
      </c>
      <c r="I100" s="226" cm="1">
        <f t="array" ref="I100">Common_InputFunctions.Utility_DisplayArrayInTable(Fuel_SourceData.Fuel_Scope1EmissionFactorsStationaryGaseous_Data(), Table_Fuel_EFs_StationaryGaseous[[#Headers],[Fuel combusted]],0)</f>
        <v>0.03</v>
      </c>
      <c r="J100" s="226" cm="1">
        <f t="array" ref="J100">Common_InputFunctions.Utility_DisplayArrayInTable(Fuel_SourceData.Fuel_Scope1EmissionFactorsStationaryGaseous_Data(), Table_Fuel_EFs_StationaryGaseous[[#Headers],[Fuel combusted]],0)</f>
        <v>6.43</v>
      </c>
      <c r="K100" s="173"/>
      <c r="L100" s="173"/>
    </row>
    <row r="101" spans="4:13" ht="20.100000000000001" customHeight="1" x14ac:dyDescent="0.25">
      <c r="D101" s="226" t="str" cm="1">
        <f t="array" ref="D101">Common_InputFunctions.Utility_DisplayArrayInTable(Fuel_SourceData.Fuel_Scope1EmissionFactorsStationaryGaseous_Data(), Table_Fuel_EFs_StationaryGaseous[[#Headers],[Fuel combusted]],0)</f>
        <v>Biomethane</v>
      </c>
      <c r="E101" s="226" cm="1">
        <f t="array" ref="E101">Common_InputFunctions.Utility_DisplayArrayInTable(Fuel_SourceData.Fuel_Scope1EmissionFactorsStationaryGaseous_Data(), Table_Fuel_EFs_StationaryGaseous[[#Headers],[Fuel combusted]],0)</f>
        <v>3.9300000000000002E-2</v>
      </c>
      <c r="F101" s="226" t="str" cm="1">
        <f t="array" ref="F101">Common_InputFunctions.Utility_DisplayArrayInTable(Fuel_SourceData.Fuel_Scope1EmissionFactorsStationaryGaseous_Data(), Table_Fuel_EFs_StationaryGaseous[[#Headers],[Fuel combusted]],0)</f>
        <v>m3</v>
      </c>
      <c r="G101" s="226" cm="1">
        <f t="array" ref="G101">Common_InputFunctions.Utility_DisplayArrayInTable(Fuel_SourceData.Fuel_Scope1EmissionFactorsStationaryGaseous_Data(), Table_Fuel_EFs_StationaryGaseous[[#Headers],[Fuel combusted]],0)</f>
        <v>0</v>
      </c>
      <c r="H101" s="226" cm="1">
        <f t="array" ref="H101">Common_InputFunctions.Utility_DisplayArrayInTable(Fuel_SourceData.Fuel_Scope1EmissionFactorsStationaryGaseous_Data(), Table_Fuel_EFs_StationaryGaseous[[#Headers],[Fuel combusted]],0)</f>
        <v>0.1</v>
      </c>
      <c r="I101" s="226" cm="1">
        <f t="array" ref="I101">Common_InputFunctions.Utility_DisplayArrayInTable(Fuel_SourceData.Fuel_Scope1EmissionFactorsStationaryGaseous_Data(), Table_Fuel_EFs_StationaryGaseous[[#Headers],[Fuel combusted]],0)</f>
        <v>0.03</v>
      </c>
      <c r="J101" s="226" cm="1">
        <f t="array" ref="J101">Common_InputFunctions.Utility_DisplayArrayInTable(Fuel_SourceData.Fuel_Scope1EmissionFactorsStationaryGaseous_Data(), Table_Fuel_EFs_StationaryGaseous[[#Headers],[Fuel combusted]],0)</f>
        <v>0.13</v>
      </c>
      <c r="K101" s="173"/>
      <c r="L101" s="173"/>
    </row>
    <row r="102" spans="4:13" ht="20.100000000000001" customHeight="1" x14ac:dyDescent="0.25">
      <c r="D102" s="226" t="str" cm="1">
        <f t="array" ref="D102">Common_InputFunctions.Utility_DisplayArrayInTable(Fuel_SourceData.Fuel_Scope1EmissionFactorsStationaryGaseous_Data(), Table_Fuel_EFs_StationaryGaseous[[#Headers],[Fuel combusted]],0)</f>
        <v>Hydrogen</v>
      </c>
      <c r="E102" s="226" cm="1">
        <f t="array" ref="E102">Common_InputFunctions.Utility_DisplayArrayInTable(Fuel_SourceData.Fuel_Scope1EmissionFactorsStationaryGaseous_Data(), Table_Fuel_EFs_StationaryGaseous[[#Headers],[Fuel combusted]],0)</f>
        <v>1.2200000000000001E-2</v>
      </c>
      <c r="F102" s="226" t="str" cm="1">
        <f t="array" ref="F102">Common_InputFunctions.Utility_DisplayArrayInTable(Fuel_SourceData.Fuel_Scope1EmissionFactorsStationaryGaseous_Data(), Table_Fuel_EFs_StationaryGaseous[[#Headers],[Fuel combusted]],0)</f>
        <v>m3</v>
      </c>
      <c r="G102" s="226" cm="1">
        <f t="array" ref="G102">Common_InputFunctions.Utility_DisplayArrayInTable(Fuel_SourceData.Fuel_Scope1EmissionFactorsStationaryGaseous_Data(), Table_Fuel_EFs_StationaryGaseous[[#Headers],[Fuel combusted]],0)</f>
        <v>0</v>
      </c>
      <c r="H102" s="226" cm="1">
        <f t="array" ref="H102">Common_InputFunctions.Utility_DisplayArrayInTable(Fuel_SourceData.Fuel_Scope1EmissionFactorsStationaryGaseous_Data(), Table_Fuel_EFs_StationaryGaseous[[#Headers],[Fuel combusted]],0)</f>
        <v>0</v>
      </c>
      <c r="I102" s="226" cm="1">
        <f t="array" ref="I102">Common_InputFunctions.Utility_DisplayArrayInTable(Fuel_SourceData.Fuel_Scope1EmissionFactorsStationaryGaseous_Data(), Table_Fuel_EFs_StationaryGaseous[[#Headers],[Fuel combusted]],0)</f>
        <v>0.5</v>
      </c>
      <c r="J102" s="226" cm="1">
        <f t="array" ref="J102">Common_InputFunctions.Utility_DisplayArrayInTable(Fuel_SourceData.Fuel_Scope1EmissionFactorsStationaryGaseous_Data(), Table_Fuel_EFs_StationaryGaseous[[#Headers],[Fuel combusted]],0)</f>
        <v>0.5</v>
      </c>
      <c r="K102" s="173"/>
      <c r="L102" s="173"/>
    </row>
    <row r="103" spans="4:13" ht="20.100000000000001" customHeight="1" x14ac:dyDescent="0.25">
      <c r="D103" s="226" t="str" cm="1">
        <f t="array" ref="D103">Common_InputFunctions.Utility_DisplayArrayInTable(Fuel_SourceData.Fuel_Scope1EmissionFactorsStationaryGaseous_Data(), Table_Fuel_EFs_StationaryGaseous[[#Headers],[Fuel combusted]],0)</f>
        <v>Natural gas distributed in a pipeline - Gigajoules</v>
      </c>
      <c r="E103" s="226" cm="1">
        <f t="array" ref="E103">Common_InputFunctions.Utility_DisplayArrayInTable(Fuel_SourceData.Fuel_Scope1EmissionFactorsStationaryGaseous_Data(), Table_Fuel_EFs_StationaryGaseous[[#Headers],[Fuel combusted]],0)</f>
        <v>1</v>
      </c>
      <c r="F103" s="226" t="str" cm="1">
        <f t="array" ref="F103">Common_InputFunctions.Utility_DisplayArrayInTable(Fuel_SourceData.Fuel_Scope1EmissionFactorsStationaryGaseous_Data(), Table_Fuel_EFs_StationaryGaseous[[#Headers],[Fuel combusted]],0)</f>
        <v>GJ</v>
      </c>
      <c r="G103" s="226" cm="1">
        <f t="array" ref="G103">Common_InputFunctions.Utility_DisplayArrayInTable(Fuel_SourceData.Fuel_Scope1EmissionFactorsStationaryGaseous_Data(), Table_Fuel_EFs_StationaryGaseous[[#Headers],[Fuel combusted]],0)</f>
        <v>51.4</v>
      </c>
      <c r="H103" s="226" cm="1">
        <f t="array" ref="H103">Common_InputFunctions.Utility_DisplayArrayInTable(Fuel_SourceData.Fuel_Scope1EmissionFactorsStationaryGaseous_Data(), Table_Fuel_EFs_StationaryGaseous[[#Headers],[Fuel combusted]],0)</f>
        <v>0.1</v>
      </c>
      <c r="I103" s="226" cm="1">
        <f t="array" ref="I103">Common_InputFunctions.Utility_DisplayArrayInTable(Fuel_SourceData.Fuel_Scope1EmissionFactorsStationaryGaseous_Data(), Table_Fuel_EFs_StationaryGaseous[[#Headers],[Fuel combusted]],0)</f>
        <v>0.03</v>
      </c>
      <c r="J103" s="226" cm="1">
        <f t="array" ref="J103">Common_InputFunctions.Utility_DisplayArrayInTable(Fuel_SourceData.Fuel_Scope1EmissionFactorsStationaryGaseous_Data(), Table_Fuel_EFs_StationaryGaseous[[#Headers],[Fuel combusted]],0)</f>
        <v>51.53</v>
      </c>
      <c r="K103" s="173"/>
      <c r="L103" s="173"/>
    </row>
    <row r="104" spans="4:13" ht="20.100000000000001" customHeight="1" x14ac:dyDescent="0.25">
      <c r="D104" s="226" t="str" cm="1">
        <f t="array" ref="D104">Common_InputFunctions.Utility_DisplayArrayInTable(Fuel_SourceData.Fuel_Scope1EmissionFactorsStationaryGaseous_Data(), Table_Fuel_EFs_StationaryGaseous[[#Headers],[Fuel combusted]],0)</f>
        <v>Town gas - Gigajoules</v>
      </c>
      <c r="E104" s="226" cm="1">
        <f t="array" ref="E104">Common_InputFunctions.Utility_DisplayArrayInTable(Fuel_SourceData.Fuel_Scope1EmissionFactorsStationaryGaseous_Data(), Table_Fuel_EFs_StationaryGaseous[[#Headers],[Fuel combusted]],0)</f>
        <v>1</v>
      </c>
      <c r="F104" s="226" t="str" cm="1">
        <f t="array" ref="F104">Common_InputFunctions.Utility_DisplayArrayInTable(Fuel_SourceData.Fuel_Scope1EmissionFactorsStationaryGaseous_Data(), Table_Fuel_EFs_StationaryGaseous[[#Headers],[Fuel combusted]],0)</f>
        <v>GJ</v>
      </c>
      <c r="G104" s="226" cm="1">
        <f t="array" ref="G104">Common_InputFunctions.Utility_DisplayArrayInTable(Fuel_SourceData.Fuel_Scope1EmissionFactorsStationaryGaseous_Data(), Table_Fuel_EFs_StationaryGaseous[[#Headers],[Fuel combusted]],0)</f>
        <v>60.2</v>
      </c>
      <c r="H104" s="226" cm="1">
        <f t="array" ref="H104">Common_InputFunctions.Utility_DisplayArrayInTable(Fuel_SourceData.Fuel_Scope1EmissionFactorsStationaryGaseous_Data(), Table_Fuel_EFs_StationaryGaseous[[#Headers],[Fuel combusted]],0)</f>
        <v>0.04</v>
      </c>
      <c r="I104" s="226" cm="1">
        <f t="array" ref="I104">Common_InputFunctions.Utility_DisplayArrayInTable(Fuel_SourceData.Fuel_Scope1EmissionFactorsStationaryGaseous_Data(), Table_Fuel_EFs_StationaryGaseous[[#Headers],[Fuel combusted]],0)</f>
        <v>0.03</v>
      </c>
      <c r="J104" s="226" cm="1">
        <f t="array" ref="J104">Common_InputFunctions.Utility_DisplayArrayInTable(Fuel_SourceData.Fuel_Scope1EmissionFactorsStationaryGaseous_Data(), Table_Fuel_EFs_StationaryGaseous[[#Headers],[Fuel combusted]],0)</f>
        <v>60.27</v>
      </c>
      <c r="K104" s="173"/>
      <c r="L104" s="173"/>
    </row>
    <row r="105" spans="4:13" ht="20.100000000000001" customHeight="1" x14ac:dyDescent="0.25">
      <c r="D105" s="173"/>
      <c r="E105" s="173"/>
      <c r="F105" s="173"/>
      <c r="G105" s="173"/>
      <c r="H105" s="173"/>
      <c r="I105" s="173"/>
      <c r="J105" s="173"/>
      <c r="K105" s="173"/>
      <c r="L105" s="173"/>
      <c r="M105" s="173"/>
    </row>
    <row r="106" spans="4:13" ht="20.100000000000001" customHeight="1" x14ac:dyDescent="0.25">
      <c r="D106" s="173"/>
      <c r="E106" s="173"/>
      <c r="F106" s="173"/>
      <c r="G106" s="173"/>
      <c r="H106" s="173"/>
      <c r="I106" s="173"/>
      <c r="J106" s="173"/>
      <c r="K106" s="173"/>
      <c r="L106" s="173"/>
      <c r="M106" s="173"/>
    </row>
    <row r="107" spans="4:13" ht="20.100000000000001" customHeight="1" x14ac:dyDescent="0.25">
      <c r="D107" s="2" t="str" cm="1">
        <f t="array" ref="D107">Fuel_SourceData.Fuel_Scope3EmissionFactorsStationaryGaseous_Title()</f>
        <v>Fuel scope 3 emission factors - Stationary gaseous fuels</v>
      </c>
      <c r="E107" s="173"/>
      <c r="F107" s="173"/>
      <c r="G107" s="173"/>
      <c r="H107" s="173"/>
      <c r="I107" s="173"/>
      <c r="J107" s="173"/>
      <c r="K107" s="173"/>
      <c r="L107" s="173"/>
    </row>
    <row r="108" spans="4:13" ht="20.100000000000001" customHeight="1" x14ac:dyDescent="0.25">
      <c r="D108" s="1" t="str" cm="1">
        <f t="array" ref="D108">Fuel_SourceData.Fuel_Scope3EmissionFactorsStationaryGaseous_Description()</f>
        <v>Indirect (Scope 3) emission factors for the consumption of natural gas.</v>
      </c>
      <c r="E108" s="173"/>
      <c r="F108" s="173"/>
      <c r="G108" s="173"/>
      <c r="H108" s="173"/>
      <c r="I108" s="173"/>
      <c r="J108" s="173"/>
      <c r="K108" s="173"/>
      <c r="L108" s="173"/>
    </row>
    <row r="109" spans="4:13" ht="20.100000000000001" customHeight="1" x14ac:dyDescent="0.25">
      <c r="D109" s="27" t="str" cm="1">
        <f t="array" ref="D109">Fuel_SourceData.Fuel_Scope3EmissionFactorsStationaryGaseous_Source()</f>
        <v>Australian National Greenhouse Accounts Factors 2025 - Table 6</v>
      </c>
      <c r="E109" s="173"/>
      <c r="F109" s="173"/>
      <c r="G109" s="173"/>
      <c r="H109" s="173"/>
      <c r="I109" s="173"/>
      <c r="J109" s="173"/>
      <c r="K109" s="173"/>
      <c r="L109" s="173"/>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3"/>
      <c r="F110" s="173"/>
      <c r="G110" s="173"/>
      <c r="H110" s="173"/>
      <c r="I110" s="173"/>
      <c r="J110" s="173"/>
      <c r="K110" s="173"/>
      <c r="L110" s="173"/>
    </row>
    <row r="111" spans="4:13" ht="20.100000000000001" customHeight="1" x14ac:dyDescent="0.25">
      <c r="D111" s="173"/>
      <c r="E111" s="173"/>
      <c r="F111" s="173"/>
      <c r="G111" s="173"/>
      <c r="H111" s="173"/>
      <c r="I111" s="173"/>
      <c r="J111" s="173"/>
      <c r="K111" s="173"/>
      <c r="L111" s="173"/>
    </row>
    <row r="112" spans="4:13" ht="20.100000000000001" customHeight="1" x14ac:dyDescent="0.25">
      <c r="D112" s="191" t="s">
        <v>770</v>
      </c>
      <c r="E112" s="223" t="s">
        <v>704</v>
      </c>
      <c r="F112" s="223" t="s">
        <v>771</v>
      </c>
      <c r="G112" s="173"/>
      <c r="H112" s="88" t="s">
        <v>772</v>
      </c>
      <c r="I112" s="173"/>
      <c r="J112" s="173"/>
      <c r="K112" s="173"/>
      <c r="L112" s="173"/>
    </row>
    <row r="113" spans="4:13" ht="20.100000000000001" customHeight="1" x14ac:dyDescent="0.25">
      <c r="D113" s="227" t="str" cm="1">
        <f t="array" ref="D113">Common_InputFunctions.Utility_DisplayArrayInTable(Fuel_SourceData.Fuel_Scope3EmissionFactorsStationaryGaseous_Data(), Table_Fuel_EFs_StationaryGaseous34[[#Headers],[State or territory]],0)</f>
        <v>New South Wales</v>
      </c>
      <c r="E113" s="227" cm="1">
        <f t="array" ref="E113">Common_InputFunctions.Utility_DisplayArrayInTable(Fuel_SourceData.Fuel_Scope3EmissionFactorsStationaryGaseous_Data(), Table_Fuel_EFs_StationaryGaseous34[[#Headers],[State or territory]],0)</f>
        <v>13.1</v>
      </c>
      <c r="F113" s="227" cm="1">
        <f t="array" ref="F113">Common_InputFunctions.Utility_DisplayArrayInTable(Fuel_SourceData.Fuel_Scope3EmissionFactorsStationaryGaseous_Data(), Table_Fuel_EFs_StationaryGaseous34[[#Headers],[State or territory]],0)</f>
        <v>14</v>
      </c>
      <c r="G113" s="228"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3"/>
      <c r="J113" s="173"/>
      <c r="K113" s="173"/>
      <c r="L113" s="173"/>
    </row>
    <row r="114" spans="4:13" ht="20.100000000000001" customHeight="1" x14ac:dyDescent="0.25">
      <c r="D114" s="227" t="str" cm="1">
        <f t="array" ref="D114">Common_InputFunctions.Utility_DisplayArrayInTable(Fuel_SourceData.Fuel_Scope3EmissionFactorsStationaryGaseous_Data(), Table_Fuel_EFs_StationaryGaseous34[[#Headers],[State or territory]],0)</f>
        <v>ACT</v>
      </c>
      <c r="E114" s="227" cm="1">
        <f t="array" ref="E114">Common_InputFunctions.Utility_DisplayArrayInTable(Fuel_SourceData.Fuel_Scope3EmissionFactorsStationaryGaseous_Data(), Table_Fuel_EFs_StationaryGaseous34[[#Headers],[State or territory]],0)</f>
        <v>13.1</v>
      </c>
      <c r="F114" s="227" cm="1">
        <f t="array" ref="F114">Common_InputFunctions.Utility_DisplayArrayInTable(Fuel_SourceData.Fuel_Scope3EmissionFactorsStationaryGaseous_Data(), Table_Fuel_EFs_StationaryGaseous34[[#Headers],[State or territory]],0)</f>
        <v>14</v>
      </c>
      <c r="G114" s="228" t="str">
        <v/>
      </c>
      <c r="H114" s="1" t="str">
        <v>Gas reaches end users either from the metro distribution networks or direct from the high - pressure distribution pipelines.</v>
      </c>
      <c r="I114" s="173"/>
      <c r="J114" s="173"/>
      <c r="K114" s="173"/>
      <c r="L114" s="173"/>
    </row>
    <row r="115" spans="4:13" ht="20.100000000000001" customHeight="1" x14ac:dyDescent="0.25">
      <c r="D115" s="227" t="str" cm="1">
        <f t="array" ref="D115">Common_InputFunctions.Utility_DisplayArrayInTable(Fuel_SourceData.Fuel_Scope3EmissionFactorsStationaryGaseous_Data(), Table_Fuel_EFs_StationaryGaseous34[[#Headers],[State or territory]],0)</f>
        <v>Victoria</v>
      </c>
      <c r="E115" s="227" cm="1">
        <f t="array" ref="E115">Common_InputFunctions.Utility_DisplayArrayInTable(Fuel_SourceData.Fuel_Scope3EmissionFactorsStationaryGaseous_Data(), Table_Fuel_EFs_StationaryGaseous34[[#Headers],[State or territory]],0)</f>
        <v>4</v>
      </c>
      <c r="F115" s="227" cm="1">
        <f t="array" ref="F115">Common_InputFunctions.Utility_DisplayArrayInTable(Fuel_SourceData.Fuel_Scope3EmissionFactorsStationaryGaseous_Data(), Table_Fuel_EFs_StationaryGaseous34[[#Headers],[State or territory]],0)</f>
        <v>4</v>
      </c>
      <c r="G115" s="228" t="str">
        <v/>
      </c>
      <c r="H115" s="1" t="str">
        <v>Households and commercial users tend to be served by the former, and electricity generators and large industrial plants from the latter.</v>
      </c>
      <c r="I115" s="173"/>
      <c r="J115" s="173"/>
      <c r="K115" s="173"/>
      <c r="L115" s="173"/>
    </row>
    <row r="116" spans="4:13" ht="20.100000000000001" customHeight="1" x14ac:dyDescent="0.25">
      <c r="D116" s="227" t="str" cm="1">
        <f t="array" ref="D116">Common_InputFunctions.Utility_DisplayArrayInTable(Fuel_SourceData.Fuel_Scope3EmissionFactorsStationaryGaseous_Data(), Table_Fuel_EFs_StationaryGaseous34[[#Headers],[State or territory]],0)</f>
        <v>Queensland</v>
      </c>
      <c r="E116" s="227" cm="1">
        <f t="array" ref="E116">Common_InputFunctions.Utility_DisplayArrayInTable(Fuel_SourceData.Fuel_Scope3EmissionFactorsStationaryGaseous_Data(), Table_Fuel_EFs_StationaryGaseous34[[#Headers],[State or territory]],0)</f>
        <v>8.8000000000000007</v>
      </c>
      <c r="F116" s="227" cm="1">
        <f t="array" ref="F116">Common_InputFunctions.Utility_DisplayArrayInTable(Fuel_SourceData.Fuel_Scope3EmissionFactorsStationaryGaseous_Data(), Table_Fuel_EFs_StationaryGaseous34[[#Headers],[State or territory]],0)</f>
        <v>7.9</v>
      </c>
      <c r="G116" s="228" t="str">
        <v>-</v>
      </c>
      <c r="H116" s="1" t="str">
        <v>Metro is defined as located on or east of the dividing range in NSW, including Canberra and Queanbeyan, Melbourne, Brisbane, Adelaide or Perth.</v>
      </c>
      <c r="I116" s="173"/>
      <c r="J116" s="173"/>
      <c r="K116" s="173"/>
      <c r="L116" s="173"/>
    </row>
    <row r="117" spans="4:13" ht="20.100000000000001" customHeight="1" x14ac:dyDescent="0.25">
      <c r="D117" s="227" t="str" cm="1">
        <f t="array" ref="D117">Common_InputFunctions.Utility_DisplayArrayInTable(Fuel_SourceData.Fuel_Scope3EmissionFactorsStationaryGaseous_Data(), Table_Fuel_EFs_StationaryGaseous34[[#Headers],[State or territory]],0)</f>
        <v>South Australia</v>
      </c>
      <c r="E117" s="227" cm="1">
        <f t="array" ref="E117">Common_InputFunctions.Utility_DisplayArrayInTable(Fuel_SourceData.Fuel_Scope3EmissionFactorsStationaryGaseous_Data(), Table_Fuel_EFs_StationaryGaseous34[[#Headers],[State or territory]],0)</f>
        <v>10.7</v>
      </c>
      <c r="F117" s="227" cm="1">
        <f t="array" ref="F117">Common_InputFunctions.Utility_DisplayArrayInTable(Fuel_SourceData.Fuel_Scope3EmissionFactorsStationaryGaseous_Data(), Table_Fuel_EFs_StationaryGaseous34[[#Headers],[State or territory]],0)</f>
        <v>10.6</v>
      </c>
      <c r="G117" s="228" t="str">
        <v/>
      </c>
      <c r="H117" s="1" t="str">
        <v>Otherwise, the non - metro factor should be used.</v>
      </c>
      <c r="I117" s="173"/>
      <c r="J117" s="173"/>
      <c r="K117" s="173"/>
      <c r="L117" s="173"/>
    </row>
    <row r="118" spans="4:13" ht="20.100000000000001" customHeight="1" x14ac:dyDescent="0.25">
      <c r="D118" s="227" t="str" cm="1">
        <f t="array" ref="D118">Common_InputFunctions.Utility_DisplayArrayInTable(Fuel_SourceData.Fuel_Scope3EmissionFactorsStationaryGaseous_Data(), Table_Fuel_EFs_StationaryGaseous34[[#Headers],[State or territory]],0)</f>
        <v>Western Australia</v>
      </c>
      <c r="E118" s="227" cm="1">
        <f t="array" ref="E118">Common_InputFunctions.Utility_DisplayArrayInTable(Fuel_SourceData.Fuel_Scope3EmissionFactorsStationaryGaseous_Data(), Table_Fuel_EFs_StationaryGaseous34[[#Headers],[State or territory]],0)</f>
        <v>4.0999999999999996</v>
      </c>
      <c r="F118" s="227" cm="1">
        <f t="array" ref="F118">Common_InputFunctions.Utility_DisplayArrayInTable(Fuel_SourceData.Fuel_Scope3EmissionFactorsStationaryGaseous_Data(), Table_Fuel_EFs_StationaryGaseous34[[#Headers],[State or territory]],0)</f>
        <v>4</v>
      </c>
      <c r="G118" s="228" t="str">
        <v>-</v>
      </c>
      <c r="H118" s="1" t="str">
        <v>Factors are calculated for all natural gas distributed in a pipeline which may include coal seam methane.</v>
      </c>
      <c r="I118" s="173"/>
      <c r="J118" s="173"/>
      <c r="K118" s="173"/>
      <c r="L118" s="173"/>
    </row>
    <row r="119" spans="4:13" ht="20.100000000000001" customHeight="1" x14ac:dyDescent="0.25">
      <c r="D119" s="227" t="str" cm="1">
        <f t="array" ref="D119">Common_InputFunctions.Utility_DisplayArrayInTable(Fuel_SourceData.Fuel_Scope3EmissionFactorsStationaryGaseous_Data(), Table_Fuel_EFs_StationaryGaseous34[[#Headers],[State or territory]],0)</f>
        <v>Tasmania</v>
      </c>
      <c r="E119" s="227" cm="1">
        <f t="array" ref="E119">Common_InputFunctions.Utility_DisplayArrayInTable(Fuel_SourceData.Fuel_Scope3EmissionFactorsStationaryGaseous_Data(), Table_Fuel_EFs_StationaryGaseous34[[#Headers],[State or territory]],0)</f>
        <v>4</v>
      </c>
      <c r="F119" s="227" cm="1">
        <f t="array" ref="F119">Common_InputFunctions.Utility_DisplayArrayInTable(Fuel_SourceData.Fuel_Scope3EmissionFactorsStationaryGaseous_Data(), Table_Fuel_EFs_StationaryGaseous34[[#Headers],[State or territory]],0)</f>
        <v>4</v>
      </c>
      <c r="G119" s="228" t="str">
        <v>-</v>
      </c>
      <c r="H119" s="1" t="str">
        <v>Table 6 is not applicable to ethane. See Table 7 Indirect (Scope 3) emissions from the consumption of ethane.</v>
      </c>
      <c r="I119" s="173"/>
      <c r="J119" s="173"/>
      <c r="K119" s="173"/>
      <c r="L119" s="173"/>
    </row>
    <row r="120" spans="4:13" ht="20.100000000000001" customHeight="1" x14ac:dyDescent="0.25">
      <c r="D120" s="227" t="str" cm="1">
        <f t="array" ref="D120">Common_InputFunctions.Utility_DisplayArrayInTable(Fuel_SourceData.Fuel_Scope3EmissionFactorsStationaryGaseous_Data(), Table_Fuel_EFs_StationaryGaseous34[[#Headers],[State or territory]],0)</f>
        <v>Northern Territory</v>
      </c>
      <c r="E120" s="227" cm="1">
        <f t="array" ref="E120">Common_InputFunctions.Utility_DisplayArrayInTable(Fuel_SourceData.Fuel_Scope3EmissionFactorsStationaryGaseous_Data(), Table_Fuel_EFs_StationaryGaseous34[[#Headers],[State or territory]],0)</f>
        <v>4.0999999999999996</v>
      </c>
      <c r="F120" s="227" cm="1">
        <f t="array" ref="F120">Common_InputFunctions.Utility_DisplayArrayInTable(Fuel_SourceData.Fuel_Scope3EmissionFactorsStationaryGaseous_Data(), Table_Fuel_EFs_StationaryGaseous34[[#Headers],[State or territory]],0)</f>
        <v>4</v>
      </c>
      <c r="G120" s="228" t="str">
        <v>-</v>
      </c>
      <c r="H120" s="1" t="str">
        <v>C = Confidential. Scope 3 emission factors for Tasmania and the Northern Territory are not available due to confidentiality constraints that arise</v>
      </c>
      <c r="I120" s="173"/>
      <c r="J120" s="173"/>
      <c r="K120" s="173"/>
      <c r="L120" s="173"/>
    </row>
    <row r="121" spans="4:13" ht="20.100000000000001" customHeight="1" x14ac:dyDescent="0.25">
      <c r="D121" s="8"/>
      <c r="E121" s="8"/>
      <c r="F121" s="8"/>
      <c r="G121" s="228" t="str">
        <v/>
      </c>
      <c r="H121" s="1" t="str">
        <v>from the use of a limited number of NGER data inputs. It is suggested that for Tasmania the use of the Victorian emission factors is appropriate,</v>
      </c>
      <c r="I121" s="173"/>
      <c r="J121" s="173"/>
      <c r="K121" s="173"/>
      <c r="L121" s="173"/>
    </row>
    <row r="122" spans="4:13" ht="20.100000000000001" customHeight="1" x14ac:dyDescent="0.25">
      <c r="D122" s="173"/>
      <c r="F122" s="229"/>
      <c r="G122" s="228" t="str">
        <v/>
      </c>
      <c r="H122" s="1" t="str">
        <v>while for Northern Territory the use of the Western Australian emission factors is appropriate.</v>
      </c>
      <c r="I122" s="173"/>
      <c r="J122" s="173"/>
      <c r="K122" s="173"/>
      <c r="L122" s="173"/>
    </row>
    <row r="123" spans="4:13" ht="20.100000000000001" customHeight="1" x14ac:dyDescent="0.25">
      <c r="D123" s="230"/>
      <c r="F123" s="229"/>
      <c r="G123" s="228" t="str">
        <v>-</v>
      </c>
      <c r="H123" s="1" t="str">
        <v>Scope 3 emission factors do not include fugitive emission leakage from low pressure natural gas distribution pipeline networks while those from high pressure</v>
      </c>
      <c r="I123" s="173"/>
      <c r="J123" s="173"/>
      <c r="K123" s="173"/>
      <c r="L123" s="173"/>
    </row>
    <row r="124" spans="4:13" ht="20.100000000000001" customHeight="1" x14ac:dyDescent="0.25">
      <c r="D124" s="230"/>
      <c r="F124" s="229"/>
      <c r="G124" s="173" t="str">
        <v/>
      </c>
      <c r="H124" s="1" t="str">
        <v>gas networks are considered negligible.</v>
      </c>
      <c r="I124" s="173"/>
      <c r="J124" s="173"/>
      <c r="K124" s="173"/>
      <c r="L124" s="173"/>
    </row>
    <row r="125" spans="4:13" ht="20.100000000000001" customHeight="1" x14ac:dyDescent="0.25">
      <c r="D125" s="230"/>
      <c r="F125" s="229"/>
      <c r="G125" s="173"/>
      <c r="H125" s="173"/>
      <c r="I125" s="173"/>
      <c r="J125" s="173"/>
      <c r="K125" s="173"/>
      <c r="L125" s="173"/>
    </row>
    <row r="126" spans="4:13" ht="20.100000000000001" customHeight="1" x14ac:dyDescent="0.25">
      <c r="D126" s="173"/>
      <c r="E126" s="173"/>
      <c r="F126" s="173"/>
      <c r="G126" s="173"/>
      <c r="H126" s="173"/>
      <c r="I126" s="173"/>
      <c r="J126" s="173"/>
      <c r="K126" s="173"/>
      <c r="L126" s="173"/>
      <c r="M126" s="173"/>
    </row>
    <row r="127" spans="4:13" ht="20.100000000000001" customHeight="1" x14ac:dyDescent="0.25">
      <c r="D127" s="173"/>
      <c r="E127" s="173"/>
      <c r="F127" s="173"/>
      <c r="G127" s="173"/>
      <c r="H127" s="173"/>
      <c r="I127" s="173"/>
      <c r="J127" s="173"/>
      <c r="K127" s="173"/>
      <c r="L127" s="173"/>
      <c r="M127" s="173"/>
    </row>
    <row r="128" spans="4:13" ht="20.100000000000001" customHeight="1" x14ac:dyDescent="0.25">
      <c r="D128" s="173"/>
      <c r="E128" s="173"/>
      <c r="F128" s="173"/>
      <c r="G128" s="173"/>
      <c r="H128" s="173"/>
      <c r="I128" s="173"/>
      <c r="J128" s="173"/>
      <c r="K128" s="173"/>
      <c r="L128" s="173"/>
      <c r="M128" s="173"/>
    </row>
    <row r="129" spans="4:33" ht="20.100000000000001" customHeight="1" x14ac:dyDescent="0.25">
      <c r="D129" s="231"/>
      <c r="E129" s="173"/>
      <c r="F129" s="173"/>
      <c r="G129" s="173"/>
      <c r="H129" s="173"/>
      <c r="I129" s="173"/>
      <c r="J129" s="173"/>
      <c r="K129" s="173"/>
      <c r="L129" s="173"/>
    </row>
    <row r="130" spans="4:33" ht="20.100000000000001" customHeight="1" x14ac:dyDescent="0.25">
      <c r="D130" s="232" t="s">
        <v>773</v>
      </c>
      <c r="E130" s="232" t="s">
        <v>713</v>
      </c>
      <c r="F130" s="232" t="s">
        <v>774</v>
      </c>
      <c r="G130" s="232" t="s">
        <v>716</v>
      </c>
      <c r="H130" s="232" t="s">
        <v>718</v>
      </c>
      <c r="I130" s="232" t="s">
        <v>719</v>
      </c>
      <c r="J130" s="173"/>
      <c r="K130" s="173"/>
      <c r="L130" s="173"/>
    </row>
    <row r="131" spans="4:33" ht="20.100000000000001" customHeight="1" x14ac:dyDescent="0.25">
      <c r="D131" s="233" t="str">
        <f>$D$143</f>
        <v>Petrol</v>
      </c>
      <c r="E131" s="233" t="str">
        <f>$D$143</f>
        <v>Petrol</v>
      </c>
      <c r="F131" s="233" t="str">
        <f>$D$150</f>
        <v>Avgas</v>
      </c>
      <c r="G131" s="233" t="str">
        <f>$D$143</f>
        <v>Petrol</v>
      </c>
      <c r="H131" s="233" t="str">
        <f>$D$144</f>
        <v>Diesel</v>
      </c>
      <c r="I131" s="233" t="str">
        <f>$D$143</f>
        <v>Petrol</v>
      </c>
      <c r="J131" s="173"/>
      <c r="K131" s="173"/>
      <c r="L131" s="173"/>
    </row>
    <row r="132" spans="4:33" ht="20.100000000000001" customHeight="1" x14ac:dyDescent="0.25">
      <c r="D132" s="233" t="str">
        <f>$D$144</f>
        <v>Diesel</v>
      </c>
      <c r="E132" s="233" t="str">
        <f>$D$144</f>
        <v>Diesel</v>
      </c>
      <c r="F132" s="233" t="str">
        <f>$D$151</f>
        <v>Jet A1, Jet B</v>
      </c>
      <c r="G132" s="233" t="str">
        <f>$D$144</f>
        <v>Diesel</v>
      </c>
      <c r="H132" s="233"/>
      <c r="I132" s="233" t="str">
        <f>$D$144</f>
        <v>Diesel</v>
      </c>
      <c r="J132" s="173"/>
      <c r="K132" s="173"/>
      <c r="L132" s="173"/>
    </row>
    <row r="133" spans="4:33" ht="20.100000000000001" customHeight="1" x14ac:dyDescent="0.25">
      <c r="D133" s="233" t="str">
        <f>$D$145</f>
        <v>Liquefied petroleum gas (LPG)</v>
      </c>
      <c r="E133" s="233" t="str">
        <f>$D$145</f>
        <v>Liquefied petroleum gas (LPG)</v>
      </c>
      <c r="F133" s="233" t="str">
        <f>$D$152</f>
        <v>Renewable aviation kerosene</v>
      </c>
      <c r="G133" s="233" t="str">
        <f>$D$145</f>
        <v>Liquefied petroleum gas (LPG)</v>
      </c>
      <c r="H133" s="233"/>
      <c r="I133" s="233" t="s">
        <v>720</v>
      </c>
      <c r="J133" s="173"/>
      <c r="K133" s="173"/>
      <c r="L133" s="173"/>
    </row>
    <row r="134" spans="4:33" ht="20.100000000000001" customHeight="1" x14ac:dyDescent="0.25">
      <c r="D134" s="233" t="str">
        <f>$D$146</f>
        <v>Biodiesel</v>
      </c>
      <c r="E134" s="233" t="str">
        <f>$D$146</f>
        <v>Biodiesel</v>
      </c>
      <c r="F134" s="232"/>
      <c r="G134" s="233" t="str">
        <f>$D$160</f>
        <v>Fuel oil</v>
      </c>
      <c r="H134" s="233"/>
      <c r="I134" s="233"/>
      <c r="J134" s="173"/>
      <c r="K134" s="173"/>
      <c r="L134" s="173"/>
    </row>
    <row r="135" spans="4:33" ht="20.100000000000001" customHeight="1" x14ac:dyDescent="0.25">
      <c r="D135" s="233" t="str">
        <f>$D$147</f>
        <v>Ethanol</v>
      </c>
      <c r="E135" s="233" t="str">
        <f>$D$147</f>
        <v>Ethanol</v>
      </c>
      <c r="F135" s="232"/>
      <c r="G135" s="233" t="str">
        <f>$D$147</f>
        <v>Ethanol</v>
      </c>
      <c r="H135" s="233"/>
      <c r="I135" s="233"/>
      <c r="J135" s="173"/>
      <c r="K135" s="173"/>
      <c r="L135" s="173"/>
    </row>
    <row r="136" spans="4:33" ht="20.100000000000001" customHeight="1" x14ac:dyDescent="0.25">
      <c r="D136" s="233" t="str">
        <f>$D$148</f>
        <v>Other biofuels</v>
      </c>
      <c r="E136" s="233" t="str">
        <f>$D$148</f>
        <v>Other biofuels</v>
      </c>
      <c r="F136" s="232"/>
      <c r="G136" s="233" t="str">
        <f>$D$146</f>
        <v>Biodiesel</v>
      </c>
      <c r="H136" s="233"/>
      <c r="I136" s="233"/>
      <c r="J136" s="173"/>
      <c r="K136" s="173"/>
      <c r="L136" s="173"/>
    </row>
    <row r="137" spans="4:33" ht="20.100000000000001" customHeight="1" x14ac:dyDescent="0.25">
      <c r="D137" s="233" t="str">
        <f>$D$149</f>
        <v>Renewable diesel</v>
      </c>
      <c r="E137" s="233" t="str">
        <f>$D$149</f>
        <v>Renewable diesel</v>
      </c>
      <c r="F137" s="232"/>
      <c r="G137" s="233" t="str">
        <f>$D$149</f>
        <v>Renewable diesel</v>
      </c>
      <c r="H137" s="233"/>
      <c r="I137" s="233"/>
      <c r="J137" s="173"/>
      <c r="K137" s="173"/>
      <c r="L137" s="173"/>
    </row>
    <row r="138" spans="4:33" ht="20.100000000000001" customHeight="1" x14ac:dyDescent="0.25">
      <c r="D138" s="232"/>
      <c r="E138" s="234" t="str">
        <f>$D$161</f>
        <v>Natural gas (via pipeline) in GJ</v>
      </c>
      <c r="F138" s="234"/>
      <c r="G138" s="233" t="str">
        <f>$D$148</f>
        <v>Other biofuels</v>
      </c>
      <c r="H138" s="233"/>
      <c r="I138" s="233"/>
      <c r="J138" s="173"/>
      <c r="K138" s="173"/>
      <c r="L138" s="173"/>
    </row>
    <row r="139" spans="4:33" ht="20.100000000000001" customHeight="1" x14ac:dyDescent="0.25">
      <c r="D139" s="234"/>
      <c r="E139" s="234" t="str">
        <f>$D$162</f>
        <v>Town gas in GJ</v>
      </c>
      <c r="F139" s="234"/>
      <c r="G139" s="234"/>
      <c r="H139" s="234"/>
      <c r="I139" s="234"/>
      <c r="J139" s="173"/>
      <c r="K139" s="173"/>
      <c r="L139" s="173"/>
    </row>
    <row r="140" spans="4:33" ht="20.100000000000001" customHeight="1" x14ac:dyDescent="0.25">
      <c r="D140" s="173"/>
      <c r="E140" s="173"/>
      <c r="F140" s="173"/>
      <c r="G140" s="173"/>
      <c r="H140" s="173"/>
      <c r="I140" s="173"/>
      <c r="J140" s="173"/>
      <c r="K140" s="173"/>
      <c r="L140" s="173"/>
    </row>
    <row r="141" spans="4:33" ht="20.100000000000001" customHeight="1" x14ac:dyDescent="0.25">
      <c r="D141" s="173"/>
      <c r="E141" s="173"/>
      <c r="F141" s="173"/>
      <c r="G141" s="173"/>
      <c r="H141" s="173"/>
      <c r="I141" s="173"/>
      <c r="J141" s="173"/>
      <c r="K141" s="173"/>
      <c r="L141" s="173"/>
    </row>
    <row r="142" spans="4:33" ht="20.100000000000001" customHeight="1" x14ac:dyDescent="0.25">
      <c r="D142" t="s">
        <v>775</v>
      </c>
      <c r="E142" t="s">
        <v>131</v>
      </c>
      <c r="F142" t="s">
        <v>776</v>
      </c>
      <c r="G142" s="173"/>
      <c r="H142" s="173"/>
      <c r="I142" s="173"/>
      <c r="J142" s="173"/>
      <c r="K142" s="173"/>
      <c r="L142" s="173"/>
      <c r="M142" s="173"/>
      <c r="AG142" s="1"/>
    </row>
    <row r="143" spans="4:33" ht="20.100000000000001" customHeight="1" x14ac:dyDescent="0.25">
      <c r="D143" s="233" t="s">
        <v>715</v>
      </c>
      <c r="E143" t="s">
        <v>777</v>
      </c>
      <c r="F143" t="s">
        <v>778</v>
      </c>
      <c r="G143" s="173"/>
      <c r="H143" s="173"/>
      <c r="I143" s="173"/>
      <c r="J143" s="173"/>
      <c r="K143" s="173"/>
      <c r="L143" s="173"/>
      <c r="M143" s="173"/>
      <c r="AG143" s="1"/>
    </row>
    <row r="144" spans="4:33" ht="20.100000000000001" customHeight="1" x14ac:dyDescent="0.25">
      <c r="D144" s="233" t="s">
        <v>717</v>
      </c>
      <c r="E144" t="s">
        <v>777</v>
      </c>
      <c r="F144" t="s">
        <v>778</v>
      </c>
      <c r="G144" s="173"/>
      <c r="H144" s="173"/>
      <c r="I144" s="173"/>
      <c r="J144" s="173"/>
      <c r="K144" s="173"/>
      <c r="L144" s="173"/>
      <c r="M144" s="173"/>
      <c r="AG144" s="1"/>
    </row>
    <row r="145" spans="4:33" ht="20.100000000000001" customHeight="1" x14ac:dyDescent="0.25">
      <c r="D145" s="233" t="s">
        <v>779</v>
      </c>
      <c r="E145" t="s">
        <v>777</v>
      </c>
      <c r="F145" t="s">
        <v>778</v>
      </c>
      <c r="G145" s="173"/>
      <c r="H145" s="173"/>
      <c r="I145" s="173"/>
      <c r="J145" s="173"/>
      <c r="K145" s="173"/>
      <c r="L145" s="173"/>
      <c r="M145" s="173"/>
      <c r="AG145" s="1"/>
    </row>
    <row r="146" spans="4:33" ht="20.100000000000001" customHeight="1" x14ac:dyDescent="0.25">
      <c r="D146" s="233" t="s">
        <v>780</v>
      </c>
      <c r="E146" t="s">
        <v>777</v>
      </c>
      <c r="F146" t="s">
        <v>778</v>
      </c>
      <c r="G146" s="173"/>
      <c r="H146" s="173"/>
      <c r="I146" s="173"/>
      <c r="J146" s="173"/>
      <c r="K146" s="173"/>
      <c r="L146" s="173"/>
      <c r="M146" s="173"/>
      <c r="AG146" s="1"/>
    </row>
    <row r="147" spans="4:33" ht="20.100000000000001" customHeight="1" x14ac:dyDescent="0.25">
      <c r="D147" s="233" t="s">
        <v>781</v>
      </c>
      <c r="E147" t="s">
        <v>777</v>
      </c>
      <c r="F147" t="s">
        <v>778</v>
      </c>
      <c r="G147" s="173"/>
      <c r="H147" s="173"/>
      <c r="I147" s="173"/>
      <c r="J147" s="173"/>
      <c r="K147" s="173"/>
      <c r="L147" s="173"/>
      <c r="M147" s="173"/>
      <c r="AG147" s="1"/>
    </row>
    <row r="148" spans="4:33" ht="20.100000000000001" customHeight="1" x14ac:dyDescent="0.25">
      <c r="D148" s="233" t="s">
        <v>782</v>
      </c>
      <c r="E148" t="s">
        <v>777</v>
      </c>
      <c r="F148" t="s">
        <v>778</v>
      </c>
      <c r="G148" s="173"/>
      <c r="H148" s="173"/>
      <c r="I148" s="173"/>
      <c r="J148" s="173"/>
      <c r="K148" s="173"/>
      <c r="L148" s="173"/>
      <c r="M148" s="173"/>
      <c r="AG148" s="1"/>
    </row>
    <row r="149" spans="4:33" ht="20.100000000000001" customHeight="1" x14ac:dyDescent="0.25">
      <c r="D149" s="233" t="s">
        <v>783</v>
      </c>
      <c r="E149" t="s">
        <v>777</v>
      </c>
      <c r="F149" t="s">
        <v>778</v>
      </c>
      <c r="G149" s="173"/>
      <c r="H149" s="173"/>
      <c r="I149" s="173"/>
      <c r="J149" s="173"/>
      <c r="K149" s="173"/>
      <c r="L149" s="173"/>
      <c r="M149" s="173"/>
      <c r="AG149" s="1"/>
    </row>
    <row r="150" spans="4:33" ht="20.100000000000001" customHeight="1" x14ac:dyDescent="0.25">
      <c r="D150" s="233" t="s">
        <v>784</v>
      </c>
      <c r="E150" t="s">
        <v>777</v>
      </c>
      <c r="F150" t="s">
        <v>778</v>
      </c>
      <c r="G150" s="173"/>
      <c r="H150" s="173"/>
      <c r="I150" s="173"/>
      <c r="J150" s="173"/>
      <c r="K150" s="173"/>
      <c r="L150" s="173"/>
      <c r="M150" s="173"/>
      <c r="AG150" s="1"/>
    </row>
    <row r="151" spans="4:33" ht="20.100000000000001" customHeight="1" x14ac:dyDescent="0.25">
      <c r="D151" s="233" t="s">
        <v>785</v>
      </c>
      <c r="E151" t="s">
        <v>777</v>
      </c>
      <c r="F151" t="s">
        <v>778</v>
      </c>
      <c r="G151" s="173"/>
      <c r="H151" s="173"/>
      <c r="I151" s="173"/>
      <c r="J151" s="173"/>
      <c r="K151" s="173"/>
      <c r="L151" s="173"/>
      <c r="M151" s="173"/>
      <c r="AG151" s="1"/>
    </row>
    <row r="152" spans="4:33" ht="20.100000000000001" customHeight="1" x14ac:dyDescent="0.25">
      <c r="D152" s="235" t="s">
        <v>786</v>
      </c>
      <c r="E152" s="8" t="s">
        <v>777</v>
      </c>
      <c r="F152" t="s">
        <v>778</v>
      </c>
      <c r="G152" s="173"/>
      <c r="H152" s="173"/>
      <c r="I152" s="173"/>
      <c r="J152" s="173"/>
      <c r="K152" s="173"/>
      <c r="L152" s="173"/>
      <c r="M152" s="173"/>
      <c r="AG152" s="1"/>
    </row>
    <row r="153" spans="4:33" ht="20.100000000000001" customHeight="1" x14ac:dyDescent="0.25">
      <c r="D153" s="235" t="s">
        <v>787</v>
      </c>
      <c r="E153" s="8" t="s">
        <v>777</v>
      </c>
      <c r="F153" t="s">
        <v>778</v>
      </c>
      <c r="G153" s="173"/>
      <c r="H153" s="173"/>
      <c r="I153" s="173"/>
      <c r="J153" s="173"/>
      <c r="K153" s="173"/>
      <c r="L153" s="173"/>
      <c r="M153" s="173"/>
      <c r="AG153" s="1"/>
    </row>
    <row r="154" spans="4:33" ht="20.100000000000001" customHeight="1" x14ac:dyDescent="0.25">
      <c r="D154" s="235" t="s">
        <v>788</v>
      </c>
      <c r="E154" s="8" t="s">
        <v>777</v>
      </c>
      <c r="F154" t="s">
        <v>778</v>
      </c>
      <c r="G154" s="173"/>
      <c r="H154" s="173"/>
      <c r="I154" s="173"/>
      <c r="J154" s="173"/>
      <c r="K154" s="173"/>
      <c r="L154" s="173"/>
      <c r="M154" s="173"/>
      <c r="AG154" s="1"/>
    </row>
    <row r="155" spans="4:33" ht="20.100000000000001" customHeight="1" x14ac:dyDescent="0.25">
      <c r="D155" s="235" t="s">
        <v>789</v>
      </c>
      <c r="E155" s="8" t="s">
        <v>777</v>
      </c>
      <c r="F155" t="s">
        <v>778</v>
      </c>
      <c r="G155" s="173"/>
      <c r="H155" s="173"/>
      <c r="I155" s="173"/>
      <c r="J155" s="173"/>
      <c r="K155" s="173"/>
      <c r="L155" s="173"/>
      <c r="M155" s="173"/>
      <c r="AG155" s="1"/>
    </row>
    <row r="156" spans="4:33" ht="20.100000000000001" customHeight="1" x14ac:dyDescent="0.25">
      <c r="D156" s="235" t="s">
        <v>790</v>
      </c>
      <c r="E156" s="8" t="s">
        <v>777</v>
      </c>
      <c r="F156" t="s">
        <v>778</v>
      </c>
      <c r="G156" s="173"/>
      <c r="H156" s="173"/>
      <c r="I156" s="173"/>
      <c r="J156" s="173"/>
      <c r="K156" s="173"/>
      <c r="L156" s="173"/>
      <c r="M156" s="173"/>
      <c r="AG156" s="1"/>
    </row>
    <row r="157" spans="4:33" ht="20.100000000000001" customHeight="1" x14ac:dyDescent="0.25">
      <c r="D157" s="235" t="s">
        <v>791</v>
      </c>
      <c r="E157" s="8" t="s">
        <v>777</v>
      </c>
      <c r="F157" t="s">
        <v>778</v>
      </c>
      <c r="G157" s="173"/>
      <c r="H157" s="173"/>
      <c r="I157" s="173"/>
      <c r="J157" s="173"/>
      <c r="K157" s="173"/>
      <c r="L157" s="173"/>
      <c r="M157" s="173"/>
      <c r="AG157" s="1"/>
    </row>
    <row r="158" spans="4:33" ht="20.100000000000001" customHeight="1" x14ac:dyDescent="0.25">
      <c r="D158" s="235" t="s">
        <v>792</v>
      </c>
      <c r="E158" s="8" t="s">
        <v>777</v>
      </c>
      <c r="F158" t="s">
        <v>778</v>
      </c>
      <c r="G158" s="173"/>
      <c r="H158" s="173"/>
      <c r="I158" s="173"/>
      <c r="J158" s="173"/>
      <c r="K158" s="173"/>
      <c r="L158" s="173"/>
      <c r="M158" s="173"/>
      <c r="AG158" s="1"/>
    </row>
    <row r="159" spans="4:33" ht="20.100000000000001" customHeight="1" x14ac:dyDescent="0.25">
      <c r="D159" s="235" t="s">
        <v>793</v>
      </c>
      <c r="E159" s="8" t="s">
        <v>777</v>
      </c>
      <c r="F159" t="s">
        <v>778</v>
      </c>
      <c r="G159" s="173"/>
      <c r="H159" s="173"/>
      <c r="I159" s="173"/>
      <c r="J159" s="173"/>
      <c r="K159" s="173"/>
      <c r="L159" s="173"/>
      <c r="M159" s="173"/>
      <c r="AG159" s="1"/>
    </row>
    <row r="160" spans="4:33" ht="20.100000000000001" customHeight="1" x14ac:dyDescent="0.25">
      <c r="D160" s="235" t="s">
        <v>720</v>
      </c>
      <c r="E160" s="8" t="s">
        <v>777</v>
      </c>
      <c r="F160" t="s">
        <v>778</v>
      </c>
      <c r="G160" s="173"/>
      <c r="H160" s="173"/>
      <c r="I160" s="173"/>
      <c r="J160" s="173"/>
      <c r="K160" s="173"/>
      <c r="L160" s="173"/>
      <c r="M160" s="173"/>
      <c r="AG160" s="1"/>
    </row>
    <row r="161" spans="4:33" ht="20.100000000000001" customHeight="1" x14ac:dyDescent="0.25">
      <c r="D161" s="234" t="s">
        <v>794</v>
      </c>
      <c r="E161" s="173" t="s">
        <v>795</v>
      </c>
      <c r="F161" s="173" t="s">
        <v>795</v>
      </c>
      <c r="G161" s="173"/>
      <c r="H161" s="173"/>
      <c r="I161" s="173"/>
      <c r="J161" s="173"/>
      <c r="K161" s="173"/>
      <c r="L161" s="173"/>
      <c r="M161" s="173"/>
      <c r="AG161" s="1"/>
    </row>
    <row r="162" spans="4:33" ht="20.100000000000001" customHeight="1" x14ac:dyDescent="0.25">
      <c r="D162" s="173" t="s">
        <v>714</v>
      </c>
      <c r="E162" s="173" t="s">
        <v>795</v>
      </c>
      <c r="F162" s="173" t="s">
        <v>795</v>
      </c>
      <c r="G162" s="173"/>
      <c r="H162" s="173"/>
      <c r="I162" s="173"/>
      <c r="J162" s="173"/>
      <c r="K162" s="173"/>
      <c r="L162" s="173"/>
      <c r="M162" s="173"/>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C6189-B7AF-4D72-85E2-E582CEB73DEB}">
  <sheetPr>
    <tabColor theme="2" tint="-0.499984740745262"/>
  </sheetPr>
  <dimension ref="A1:Q238"/>
  <sheetViews>
    <sheetView showGridLines="0" topLeftCell="A9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6" width="35" style="1" customWidth="1"/>
    <col min="17" max="17" width="9.140625" style="1"/>
    <col min="18" max="16384" width="9.140625" style="244"/>
  </cols>
  <sheetData>
    <row r="1" spans="1:17" ht="30" customHeight="1" x14ac:dyDescent="0.35">
      <c r="A1" s="16" t="e" vm="1">
        <v>#VALUE!</v>
      </c>
      <c r="C1" s="244"/>
      <c r="D1" s="244"/>
      <c r="E1" s="244"/>
      <c r="F1" s="244"/>
      <c r="G1" s="244"/>
      <c r="H1" s="244"/>
      <c r="I1" s="244"/>
      <c r="J1" s="244"/>
      <c r="K1" s="244"/>
      <c r="L1" s="244"/>
      <c r="M1" s="244"/>
      <c r="N1" s="244"/>
      <c r="O1" s="244"/>
      <c r="P1" s="244"/>
      <c r="Q1" s="244"/>
    </row>
    <row r="2" spans="1:17" ht="20.100000000000001" customHeight="1" x14ac:dyDescent="0.25">
      <c r="A2"/>
      <c r="C2" s="244"/>
      <c r="D2" s="244"/>
      <c r="E2" s="244"/>
      <c r="F2" s="244"/>
      <c r="G2" s="244"/>
      <c r="H2" s="244"/>
      <c r="I2" s="244"/>
      <c r="J2" s="244"/>
      <c r="K2" s="244"/>
      <c r="L2" s="244"/>
      <c r="M2" s="244"/>
      <c r="N2" s="244"/>
      <c r="O2" s="244"/>
      <c r="P2" s="244"/>
      <c r="Q2" s="244"/>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row>
    <row r="32" spans="1:11" ht="20.100000000000001" customHeight="1" x14ac:dyDescent="0.25">
      <c r="A32" s="5" t="str">
        <f>HYPERLINK("#'5.1.1.1-2 Inorganic fert N2O'!A1", "5.1.1.1-2 Inorganic fert N2O")</f>
        <v>5.1.1.1-2 Inorganic fert N2O</v>
      </c>
      <c r="D32" s="2" t="s">
        <v>1185</v>
      </c>
      <c r="K32" s="1" t="s">
        <v>337</v>
      </c>
    </row>
    <row r="33" spans="1:12" ht="20.100000000000001" customHeight="1" x14ac:dyDescent="0.25">
      <c r="A33" s="5" t="str">
        <f>HYPERLINK("#'5.1.1.3-4 Inorganic fert CO2'!A1", "5.1.1.3-4 Inorganic fert CO2")</f>
        <v>5.1.1.3-4 Inorganic fert CO2</v>
      </c>
      <c r="D33" s="30" t="s">
        <v>385</v>
      </c>
      <c r="E33" s="30" t="s">
        <v>152</v>
      </c>
      <c r="F33" s="30" t="s">
        <v>386</v>
      </c>
      <c r="G33" s="30" t="s">
        <v>387</v>
      </c>
      <c r="H33" s="30" t="s">
        <v>388</v>
      </c>
      <c r="I33" s="30" t="s">
        <v>389</v>
      </c>
      <c r="K33" s="30" t="s">
        <v>309</v>
      </c>
      <c r="L33" s="30" t="s">
        <v>338</v>
      </c>
    </row>
    <row r="34" spans="1:12" ht="20.100000000000001" customHeight="1" x14ac:dyDescent="0.25">
      <c r="A34" s="5" t="str">
        <f>HYPERLINK("#'5.2.1.1-2 Organic Fert N2O'!A1", "5.2.1.1-2 Organic fert N2O")</f>
        <v>5.2.1.1-2 Organic fert N2O</v>
      </c>
      <c r="D34" s="30" t="str" cm="1">
        <f t="array" ref="D34">Common_InputFunctions.Utility_DisplayArrayInTable(Scope3_SourceData.Scope3_Livestock_Data(), Table_SourceData_Scope3_Animals100[[#Headers],[Category]], 0, 2)</f>
        <v>Beef cattle</v>
      </c>
      <c r="E34" s="30" t="str" cm="1">
        <f t="array" ref="E34">Common_InputFunctions.Utility_DisplayArrayInTable(Scope3_SourceData.Scope3_Livestock_Data(), Table_SourceData_Scope3_Animals100[[#Headers],[Category]], 0, 2)</f>
        <v>Cattle, for manufacturing beef</v>
      </c>
      <c r="F34" s="30" t="str" cm="1">
        <f t="array" ref="F34">Common_InputFunctions.Utility_DisplayArrayInTable(Scope3_SourceData.Scope3_Livestock_Data(), Table_SourceData_Scope3_Animals100[[#Headers],[Category]], 0, 2)</f>
        <v>Australia</v>
      </c>
      <c r="G34" s="30" t="str" cm="1">
        <f t="array" ref="G34">Common_InputFunctions.Utility_DisplayArrayInTable(Scope3_SourceData.Scope3_Livestock_Data(), Table_SourceData_Scope3_Animals100[[#Headers],[Category]], 0, 2)</f>
        <v>kg liveweight</v>
      </c>
      <c r="H34" s="30" cm="1">
        <f t="array" ref="H34">Common_InputFunctions.Utility_DisplayArrayInTable(Scope3_SourceData.Scope3_Livestock_Data(), Table_SourceData_Scope3_Animals100[[#Headers],[Category]], 0, 2)</f>
        <v>11</v>
      </c>
      <c r="I34" s="30" t="str" cm="1">
        <f t="array" ref="I34">Common_InputFunctions.Utility_DisplayArrayInTable(Scope3_SourceData.Scope3_Livestock_Data(), Table_SourceData_Scope3_Animals100[[#Headers],[Category]], 0, 2)</f>
        <v>at market</v>
      </c>
      <c r="K34" s="30" t="s">
        <v>339</v>
      </c>
      <c r="L34" s="30" t="s">
        <v>340</v>
      </c>
    </row>
    <row r="35" spans="1:12" ht="20.100000000000001" customHeight="1" x14ac:dyDescent="0.25">
      <c r="A35" s="5" t="str">
        <f>HYPERLINK("#'5.3.1.1-2 Lime CO2'!A1", "5.3.1.1-2 Lime CO2")</f>
        <v>5.3.1.1-2 Lime CO2</v>
      </c>
      <c r="D35" s="30" t="str" cm="1">
        <f t="array" ref="D35">Common_InputFunctions.Utility_DisplayArrayInTable(Scope3_SourceData.Scope3_Livestock_Data(), Table_SourceData_Scope3_Animals100[[#Headers],[Category]], 0, 2)</f>
        <v>Beef cattle</v>
      </c>
      <c r="E35" s="30" t="str" cm="1">
        <f t="array" ref="E35">Common_InputFunctions.Utility_DisplayArrayInTable(Scope3_SourceData.Scope3_Livestock_Data(), Table_SourceData_Scope3_Animals100[[#Headers],[Category]], 0, 2)</f>
        <v>Cattle, for manufacturing beef</v>
      </c>
      <c r="F35" s="30" t="str" cm="1">
        <f t="array" ref="F35">Common_InputFunctions.Utility_DisplayArrayInTable(Scope3_SourceData.Scope3_Livestock_Data(), Table_SourceData_Scope3_Animals100[[#Headers],[Category]], 0, 2)</f>
        <v>NSW</v>
      </c>
      <c r="G35" s="30" t="str" cm="1">
        <f t="array" ref="G35">Common_InputFunctions.Utility_DisplayArrayInTable(Scope3_SourceData.Scope3_Livestock_Data(), Table_SourceData_Scope3_Animals100[[#Headers],[Category]], 0, 2)</f>
        <v>kg liveweight</v>
      </c>
      <c r="H35" s="30" cm="1">
        <f t="array" ref="H35">Common_InputFunctions.Utility_DisplayArrayInTable(Scope3_SourceData.Scope3_Livestock_Data(), Table_SourceData_Scope3_Animals100[[#Headers],[Category]], 0, 2)</f>
        <v>8.2100000000000009</v>
      </c>
      <c r="I35" s="30" t="str" cm="1">
        <f t="array" ref="I35">Common_InputFunctions.Utility_DisplayArrayInTable(Scope3_SourceData.Scope3_Livestock_Data(), Table_SourceData_Scope3_Animals100[[#Headers],[Category]], 0, 2)</f>
        <v>at market</v>
      </c>
      <c r="K35" s="30" t="s">
        <v>340</v>
      </c>
      <c r="L35" s="30" t="s">
        <v>340</v>
      </c>
    </row>
    <row r="36" spans="1:12" ht="20.100000000000001" customHeight="1" x14ac:dyDescent="0.25">
      <c r="A36" s="5" t="str">
        <f>HYPERLINK("#'5.4.1.1-4 Atmos deposition'!A1", "5.4.1.1-4 Atmos. deposition")</f>
        <v>5.4.1.1-4 Atmos. deposition</v>
      </c>
      <c r="D36" s="30" t="str" cm="1">
        <f t="array" ref="D36">Common_InputFunctions.Utility_DisplayArrayInTable(Scope3_SourceData.Scope3_Livestock_Data(), Table_SourceData_Scope3_Animals100[[#Headers],[Category]], 0, 2)</f>
        <v>Beef cattle</v>
      </c>
      <c r="E36" s="30" t="str" cm="1">
        <f t="array" ref="E36">Common_InputFunctions.Utility_DisplayArrayInTable(Scope3_SourceData.Scope3_Livestock_Data(), Table_SourceData_Scope3_Animals100[[#Headers],[Category]], 0, 2)</f>
        <v>Cattle, for manufacturing beef</v>
      </c>
      <c r="F36" s="30" t="str" cm="1">
        <f t="array" ref="F36">Common_InputFunctions.Utility_DisplayArrayInTable(Scope3_SourceData.Scope3_Livestock_Data(), Table_SourceData_Scope3_Animals100[[#Headers],[Category]], 0, 2)</f>
        <v>NT</v>
      </c>
      <c r="G36" s="30" t="str" cm="1">
        <f t="array" ref="G36">Common_InputFunctions.Utility_DisplayArrayInTable(Scope3_SourceData.Scope3_Livestock_Data(), Table_SourceData_Scope3_Animals100[[#Headers],[Category]], 0, 2)</f>
        <v>kg liveweight</v>
      </c>
      <c r="H36" s="30" cm="1">
        <f t="array" ref="H36">Common_InputFunctions.Utility_DisplayArrayInTable(Scope3_SourceData.Scope3_Livestock_Data(), Table_SourceData_Scope3_Animals100[[#Headers],[Category]], 0, 2)</f>
        <v>12.2</v>
      </c>
      <c r="I36" s="30" t="str" cm="1">
        <f t="array" ref="I36">Common_InputFunctions.Utility_DisplayArrayInTable(Scope3_SourceData.Scope3_Livestock_Data(), Table_SourceData_Scope3_Animals100[[#Headers],[Category]], 0, 2)</f>
        <v>at market</v>
      </c>
      <c r="K36" s="30" t="s">
        <v>341</v>
      </c>
      <c r="L36" s="30" t="s">
        <v>341</v>
      </c>
    </row>
    <row r="37" spans="1:12" ht="20.100000000000001" customHeight="1" x14ac:dyDescent="0.25">
      <c r="A37" s="5" t="str">
        <f>HYPERLINK("#'5.5.1.1-2 Leaching and runoff'!A1", "5.5.1.1-2 Leaching &amp; runoff")</f>
        <v>5.5.1.1-2 Leaching &amp; runoff</v>
      </c>
      <c r="D37" s="30" t="str" cm="1">
        <f t="array" ref="D37">Common_InputFunctions.Utility_DisplayArrayInTable(Scope3_SourceData.Scope3_Livestock_Data(), Table_SourceData_Scope3_Animals100[[#Headers],[Category]], 0, 2)</f>
        <v>Beef cattle</v>
      </c>
      <c r="E37" s="30" t="str" cm="1">
        <f t="array" ref="E37">Common_InputFunctions.Utility_DisplayArrayInTable(Scope3_SourceData.Scope3_Livestock_Data(), Table_SourceData_Scope3_Animals100[[#Headers],[Category]], 0, 2)</f>
        <v>Cattle, for manufacturing beef</v>
      </c>
      <c r="F37" s="30" t="str" cm="1">
        <f t="array" ref="F37">Common_InputFunctions.Utility_DisplayArrayInTable(Scope3_SourceData.Scope3_Livestock_Data(), Table_SourceData_Scope3_Animals100[[#Headers],[Category]], 0, 2)</f>
        <v>QLD</v>
      </c>
      <c r="G37" s="30" t="str" cm="1">
        <f t="array" ref="G37">Common_InputFunctions.Utility_DisplayArrayInTable(Scope3_SourceData.Scope3_Livestock_Data(), Table_SourceData_Scope3_Animals100[[#Headers],[Category]], 0, 2)</f>
        <v>kg liveweight</v>
      </c>
      <c r="H37" s="30" cm="1">
        <f t="array" ref="H37">Common_InputFunctions.Utility_DisplayArrayInTable(Scope3_SourceData.Scope3_Livestock_Data(), Table_SourceData_Scope3_Animals100[[#Headers],[Category]], 0, 2)</f>
        <v>10.9</v>
      </c>
      <c r="I37" s="30" t="str" cm="1">
        <f t="array" ref="I37">Common_InputFunctions.Utility_DisplayArrayInTable(Scope3_SourceData.Scope3_Livestock_Data(), Table_SourceData_Scope3_Animals100[[#Headers],[Category]], 0, 2)</f>
        <v>at market</v>
      </c>
      <c r="K37" s="30" t="s">
        <v>342</v>
      </c>
      <c r="L37" s="30" t="s">
        <v>342</v>
      </c>
    </row>
    <row r="38" spans="1:12" ht="20.100000000000001" customHeight="1" x14ac:dyDescent="0.25">
      <c r="A38" s="5" t="str">
        <f>HYPERLINK("#'6.2.1.1-2 Pasture residue N2O'!A1", "6.2.1.1-2 Pasture residue N2O")</f>
        <v>6.2.1.1-2 Pasture residue N2O</v>
      </c>
      <c r="D38" s="30" t="str" cm="1">
        <f t="array" ref="D38">Common_InputFunctions.Utility_DisplayArrayInTable(Scope3_SourceData.Scope3_Livestock_Data(), Table_SourceData_Scope3_Animals100[[#Headers],[Category]], 0, 2)</f>
        <v>Beef cattle</v>
      </c>
      <c r="E38" s="30" t="str" cm="1">
        <f t="array" ref="E38">Common_InputFunctions.Utility_DisplayArrayInTable(Scope3_SourceData.Scope3_Livestock_Data(), Table_SourceData_Scope3_Animals100[[#Headers],[Category]], 0, 2)</f>
        <v>Cattle, for manufacturing beef</v>
      </c>
      <c r="F38" s="30" t="str" cm="1">
        <f t="array" ref="F38">Common_InputFunctions.Utility_DisplayArrayInTable(Scope3_SourceData.Scope3_Livestock_Data(), Table_SourceData_Scope3_Animals100[[#Headers],[Category]], 0, 2)</f>
        <v>SA</v>
      </c>
      <c r="G38" s="30" t="str" cm="1">
        <f t="array" ref="G38">Common_InputFunctions.Utility_DisplayArrayInTable(Scope3_SourceData.Scope3_Livestock_Data(), Table_SourceData_Scope3_Animals100[[#Headers],[Category]], 0, 2)</f>
        <v>kg liveweight</v>
      </c>
      <c r="H38" s="30" cm="1">
        <f t="array" ref="H38">Common_InputFunctions.Utility_DisplayArrayInTable(Scope3_SourceData.Scope3_Livestock_Data(), Table_SourceData_Scope3_Animals100[[#Headers],[Category]], 0, 2)</f>
        <v>7.63</v>
      </c>
      <c r="I38" s="30" t="str" cm="1">
        <f t="array" ref="I38">Common_InputFunctions.Utility_DisplayArrayInTable(Scope3_SourceData.Scope3_Livestock_Data(), Table_SourceData_Scope3_Animals100[[#Headers],[Category]], 0, 2)</f>
        <v>at market</v>
      </c>
      <c r="K38" s="30" t="s">
        <v>343</v>
      </c>
      <c r="L38" s="30" t="s">
        <v>343</v>
      </c>
    </row>
    <row r="39" spans="1:12" ht="20.100000000000001" customHeight="1" x14ac:dyDescent="0.25">
      <c r="A39" s="5" t="str">
        <f>HYPERLINK("#'6.3.1.1-2 Leach runoff pasture'!A1", "6.3.1.1-2 Leach &amp; runoff (pasture)")</f>
        <v>6.3.1.1-2 Leach &amp; runoff (pasture)</v>
      </c>
      <c r="D39" s="30" t="str" cm="1">
        <f t="array" ref="D39">Common_InputFunctions.Utility_DisplayArrayInTable(Scope3_SourceData.Scope3_Livestock_Data(), Table_SourceData_Scope3_Animals100[[#Headers],[Category]], 0, 2)</f>
        <v>Beef cattle</v>
      </c>
      <c r="E39" s="30" t="str" cm="1">
        <f t="array" ref="E39">Common_InputFunctions.Utility_DisplayArrayInTable(Scope3_SourceData.Scope3_Livestock_Data(), Table_SourceData_Scope3_Animals100[[#Headers],[Category]], 0, 2)</f>
        <v>Cattle, for manufacturing beef</v>
      </c>
      <c r="F39" s="30" t="str" cm="1">
        <f t="array" ref="F39">Common_InputFunctions.Utility_DisplayArrayInTable(Scope3_SourceData.Scope3_Livestock_Data(), Table_SourceData_Scope3_Animals100[[#Headers],[Category]], 0, 2)</f>
        <v>TAS</v>
      </c>
      <c r="G39" s="30" t="str" cm="1">
        <f t="array" ref="G39">Common_InputFunctions.Utility_DisplayArrayInTable(Scope3_SourceData.Scope3_Livestock_Data(), Table_SourceData_Scope3_Animals100[[#Headers],[Category]], 0, 2)</f>
        <v>kg liveweight</v>
      </c>
      <c r="H39" s="30" cm="1">
        <f t="array" ref="H39">Common_InputFunctions.Utility_DisplayArrayInTable(Scope3_SourceData.Scope3_Livestock_Data(), Table_SourceData_Scope3_Animals100[[#Headers],[Category]], 0, 2)</f>
        <v>8.75</v>
      </c>
      <c r="I39" s="30" t="str" cm="1">
        <f t="array" ref="I39">Common_InputFunctions.Utility_DisplayArrayInTable(Scope3_SourceData.Scope3_Livestock_Data(), Table_SourceData_Scope3_Animals100[[#Headers],[Category]], 0, 2)</f>
        <v>at market</v>
      </c>
      <c r="K39" s="30" t="s">
        <v>344</v>
      </c>
      <c r="L39" s="30" t="s">
        <v>345</v>
      </c>
    </row>
    <row r="40" spans="1:12" ht="20.100000000000001" customHeight="1" x14ac:dyDescent="0.25">
      <c r="A40" s="5" t="str">
        <f>HYPERLINK("#'8.1.1.1-2 Transport fuel'!A1", "8.1.1.1-2 Transport fuel")</f>
        <v>8.1.1.1-2 Transport fuel</v>
      </c>
      <c r="D40" s="30" t="str" cm="1">
        <f t="array" ref="D40">Common_InputFunctions.Utility_DisplayArrayInTable(Scope3_SourceData.Scope3_Livestock_Data(), Table_SourceData_Scope3_Animals100[[#Headers],[Category]], 0, 2)</f>
        <v>Beef cattle</v>
      </c>
      <c r="E40" s="30" t="str" cm="1">
        <f t="array" ref="E40">Common_InputFunctions.Utility_DisplayArrayInTable(Scope3_SourceData.Scope3_Livestock_Data(), Table_SourceData_Scope3_Animals100[[#Headers],[Category]], 0, 2)</f>
        <v>Cattle, for manufacturing beef</v>
      </c>
      <c r="F40" s="30" t="str" cm="1">
        <f t="array" ref="F40">Common_InputFunctions.Utility_DisplayArrayInTable(Scope3_SourceData.Scope3_Livestock_Data(), Table_SourceData_Scope3_Animals100[[#Headers],[Category]], 0, 2)</f>
        <v>VIC</v>
      </c>
      <c r="G40" s="30" t="str" cm="1">
        <f t="array" ref="G40">Common_InputFunctions.Utility_DisplayArrayInTable(Scope3_SourceData.Scope3_Livestock_Data(), Table_SourceData_Scope3_Animals100[[#Headers],[Category]], 0, 2)</f>
        <v>kg liveweight</v>
      </c>
      <c r="H40" s="30" cm="1">
        <f t="array" ref="H40">Common_InputFunctions.Utility_DisplayArrayInTable(Scope3_SourceData.Scope3_Livestock_Data(), Table_SourceData_Scope3_Animals100[[#Headers],[Category]], 0, 2)</f>
        <v>8.17</v>
      </c>
      <c r="I40" s="30" t="str" cm="1">
        <f t="array" ref="I40">Common_InputFunctions.Utility_DisplayArrayInTable(Scope3_SourceData.Scope3_Livestock_Data(), Table_SourceData_Scope3_Animals100[[#Headers],[Category]], 0, 2)</f>
        <v>at market</v>
      </c>
      <c r="K40" s="30" t="s">
        <v>346</v>
      </c>
      <c r="L40" s="30" t="s">
        <v>345</v>
      </c>
    </row>
    <row r="41" spans="1:12" ht="20.100000000000001" customHeight="1" x14ac:dyDescent="0.25">
      <c r="A41" s="5" t="str">
        <f>HYPERLINK("#'8.2.1.1-2 Stationary fuel'!A1", "8.2.1.1-2 Stationary fuel")</f>
        <v>8.2.1.1-2 Stationary fuel</v>
      </c>
      <c r="D41" s="30" t="str" cm="1">
        <f t="array" ref="D41">Common_InputFunctions.Utility_DisplayArrayInTable(Scope3_SourceData.Scope3_Livestock_Data(), Table_SourceData_Scope3_Animals100[[#Headers],[Category]], 0, 2)</f>
        <v>Beef cattle</v>
      </c>
      <c r="E41" s="30" t="str" cm="1">
        <f t="array" ref="E41">Common_InputFunctions.Utility_DisplayArrayInTable(Scope3_SourceData.Scope3_Livestock_Data(), Table_SourceData_Scope3_Animals100[[#Headers],[Category]], 0, 2)</f>
        <v>Cattle, for manufacturing beef</v>
      </c>
      <c r="F41" s="30" t="str" cm="1">
        <f t="array" ref="F41">Common_InputFunctions.Utility_DisplayArrayInTable(Scope3_SourceData.Scope3_Livestock_Data(), Table_SourceData_Scope3_Animals100[[#Headers],[Category]], 0, 2)</f>
        <v>WA</v>
      </c>
      <c r="G41" s="30" t="str" cm="1">
        <f t="array" ref="G41">Common_InputFunctions.Utility_DisplayArrayInTable(Scope3_SourceData.Scope3_Livestock_Data(), Table_SourceData_Scope3_Animals100[[#Headers],[Category]], 0, 2)</f>
        <v>kg liveweight</v>
      </c>
      <c r="H41" s="30" cm="1">
        <f t="array" ref="H41">Common_InputFunctions.Utility_DisplayArrayInTable(Scope3_SourceData.Scope3_Livestock_Data(), Table_SourceData_Scope3_Animals100[[#Headers],[Category]], 0, 2)</f>
        <v>13.1</v>
      </c>
      <c r="I41" s="30" t="str" cm="1">
        <f t="array" ref="I41">Common_InputFunctions.Utility_DisplayArrayInTable(Scope3_SourceData.Scope3_Livestock_Data(), Table_SourceData_Scope3_Animals100[[#Headers],[Category]], 0, 2)</f>
        <v>at market</v>
      </c>
      <c r="K41" s="30" t="s">
        <v>347</v>
      </c>
      <c r="L41" s="30" t="s">
        <v>345</v>
      </c>
    </row>
    <row r="42" spans="1:12" ht="20.100000000000001" customHeight="1" x14ac:dyDescent="0.25">
      <c r="A42" s="5" t="str">
        <f>HYPERLINK("#'14.1.1-2 Purchased electricity'!A1", "14.1.1-2 Purchased electricity")</f>
        <v>14.1.1-2 Purchased electricity</v>
      </c>
      <c r="D42" s="30" t="str" cm="1">
        <f t="array" ref="D42">Common_InputFunctions.Utility_DisplayArrayInTable(Scope3_SourceData.Scope3_Livestock_Data(), Table_SourceData_Scope3_Animals100[[#Headers],[Category]], 0, 2)</f>
        <v>Beef cattle</v>
      </c>
      <c r="E42" s="30" t="str" cm="1">
        <f t="array" ref="E42">Common_InputFunctions.Utility_DisplayArrayInTable(Scope3_SourceData.Scope3_Livestock_Data(), Table_SourceData_Scope3_Animals100[[#Headers],[Category]], 0, 2)</f>
        <v>Cattle, for prime beef</v>
      </c>
      <c r="F42" s="30" t="str" cm="1">
        <f t="array" ref="F42">Common_InputFunctions.Utility_DisplayArrayInTable(Scope3_SourceData.Scope3_Livestock_Data(), Table_SourceData_Scope3_Animals100[[#Headers],[Category]], 0, 2)</f>
        <v>Australia</v>
      </c>
      <c r="G42" s="30" t="str" cm="1">
        <f t="array" ref="G42">Common_InputFunctions.Utility_DisplayArrayInTable(Scope3_SourceData.Scope3_Livestock_Data(), Table_SourceData_Scope3_Animals100[[#Headers],[Category]], 0, 2)</f>
        <v>kg liveweight</v>
      </c>
      <c r="H42" s="30" cm="1">
        <f t="array" ref="H42">Common_InputFunctions.Utility_DisplayArrayInTable(Scope3_SourceData.Scope3_Livestock_Data(), Table_SourceData_Scope3_Animals100[[#Headers],[Category]], 0, 2)</f>
        <v>14.5</v>
      </c>
      <c r="I42" s="30" t="str" cm="1">
        <f t="array" ref="I42">Common_InputFunctions.Utility_DisplayArrayInTable(Scope3_SourceData.Scope3_Livestock_Data(), Table_SourceData_Scope3_Animals100[[#Headers],[Category]], 0, 2)</f>
        <v>at market</v>
      </c>
      <c r="K42" s="30" t="s">
        <v>348</v>
      </c>
      <c r="L42" s="30" t="s">
        <v>349</v>
      </c>
    </row>
    <row r="43" spans="1:12" ht="20.100000000000001" customHeight="1" x14ac:dyDescent="0.25">
      <c r="A43" s="5" t="str">
        <f>HYPERLINK("#'15 Scope 3'!A1", "15 Scope 3")</f>
        <v>15 Scope 3</v>
      </c>
      <c r="D43" s="30" t="str" cm="1">
        <f t="array" ref="D43">Common_InputFunctions.Utility_DisplayArrayInTable(Scope3_SourceData.Scope3_Livestock_Data(), Table_SourceData_Scope3_Animals100[[#Headers],[Category]], 0, 2)</f>
        <v>Beef cattle</v>
      </c>
      <c r="E43" s="30" t="str" cm="1">
        <f t="array" ref="E43">Common_InputFunctions.Utility_DisplayArrayInTable(Scope3_SourceData.Scope3_Livestock_Data(), Table_SourceData_Scope3_Animals100[[#Headers],[Category]], 0, 2)</f>
        <v>Cattle, for prime beef</v>
      </c>
      <c r="F43" s="30" t="str" cm="1">
        <f t="array" ref="F43">Common_InputFunctions.Utility_DisplayArrayInTable(Scope3_SourceData.Scope3_Livestock_Data(), Table_SourceData_Scope3_Animals100[[#Headers],[Category]], 0, 2)</f>
        <v>NSW</v>
      </c>
      <c r="G43" s="30" t="str" cm="1">
        <f t="array" ref="G43">Common_InputFunctions.Utility_DisplayArrayInTable(Scope3_SourceData.Scope3_Livestock_Data(), Table_SourceData_Scope3_Animals100[[#Headers],[Category]], 0, 2)</f>
        <v>kg liveweight</v>
      </c>
      <c r="H43" s="30" cm="1">
        <f t="array" ref="H43">Common_InputFunctions.Utility_DisplayArrayInTable(Scope3_SourceData.Scope3_Livestock_Data(), Table_SourceData_Scope3_Animals100[[#Headers],[Category]], 0, 2)</f>
        <v>11.3</v>
      </c>
      <c r="I43" s="30" t="str" cm="1">
        <f t="array" ref="I43">Common_InputFunctions.Utility_DisplayArrayInTable(Scope3_SourceData.Scope3_Livestock_Data(), Table_SourceData_Scope3_Animals100[[#Headers],[Category]], 0, 2)</f>
        <v>at market</v>
      </c>
      <c r="K43" s="30" t="s">
        <v>350</v>
      </c>
      <c r="L43" s="30" t="s">
        <v>349</v>
      </c>
    </row>
    <row r="44" spans="1:12" ht="20.100000000000001" customHeight="1" x14ac:dyDescent="0.25">
      <c r="A44" s="5" t="str">
        <f>HYPERLINK("#'Calcs - Manure sent off-site'!A1", "Calcs - Manure sent off-site")</f>
        <v>Calcs - Manure sent off-site</v>
      </c>
      <c r="D44" s="30" t="str" cm="1">
        <f t="array" ref="D44">Common_InputFunctions.Utility_DisplayArrayInTable(Scope3_SourceData.Scope3_Livestock_Data(), Table_SourceData_Scope3_Animals100[[#Headers],[Category]], 0, 2)</f>
        <v>Beef cattle</v>
      </c>
      <c r="E44" s="30" t="str" cm="1">
        <f t="array" ref="E44">Common_InputFunctions.Utility_DisplayArrayInTable(Scope3_SourceData.Scope3_Livestock_Data(), Table_SourceData_Scope3_Animals100[[#Headers],[Category]], 0, 2)</f>
        <v>Cattle, for prime beef</v>
      </c>
      <c r="F44" s="30" t="str" cm="1">
        <f t="array" ref="F44">Common_InputFunctions.Utility_DisplayArrayInTable(Scope3_SourceData.Scope3_Livestock_Data(), Table_SourceData_Scope3_Animals100[[#Headers],[Category]], 0, 2)</f>
        <v>NT</v>
      </c>
      <c r="G44" s="30" t="str" cm="1">
        <f t="array" ref="G44">Common_InputFunctions.Utility_DisplayArrayInTable(Scope3_SourceData.Scope3_Livestock_Data(), Table_SourceData_Scope3_Animals100[[#Headers],[Category]], 0, 2)</f>
        <v>kg liveweight</v>
      </c>
      <c r="H44" s="30" cm="1">
        <f t="array" ref="H44">Common_InputFunctions.Utility_DisplayArrayInTable(Scope3_SourceData.Scope3_Livestock_Data(), Table_SourceData_Scope3_Animals100[[#Headers],[Category]], 0, 2)</f>
        <v>18.899999999999999</v>
      </c>
      <c r="I44" s="30" t="str" cm="1">
        <f t="array" ref="I44">Common_InputFunctions.Utility_DisplayArrayInTable(Scope3_SourceData.Scope3_Livestock_Data(), Table_SourceData_Scope3_Animals100[[#Headers],[Category]], 0, 2)</f>
        <v>at market</v>
      </c>
      <c r="K44" s="30" t="s">
        <v>351</v>
      </c>
      <c r="L44" s="30" t="s">
        <v>349</v>
      </c>
    </row>
    <row r="45" spans="1:12" ht="20.100000000000001" customHeight="1" x14ac:dyDescent="0.25">
      <c r="A45" s="5" t="str">
        <f>HYPERLINK("#'10.1.1-2 Solid waste treatment'!A1", "10.1.1-2 Solid waste treatment")</f>
        <v>10.1.1-2 Solid waste treatment</v>
      </c>
      <c r="D45" s="30" t="str" cm="1">
        <f t="array" ref="D45">Common_InputFunctions.Utility_DisplayArrayInTable(Scope3_SourceData.Scope3_Livestock_Data(), Table_SourceData_Scope3_Animals100[[#Headers],[Category]], 0, 2)</f>
        <v>Beef cattle</v>
      </c>
      <c r="E45" s="30" t="str" cm="1">
        <f t="array" ref="E45">Common_InputFunctions.Utility_DisplayArrayInTable(Scope3_SourceData.Scope3_Livestock_Data(), Table_SourceData_Scope3_Animals100[[#Headers],[Category]], 0, 2)</f>
        <v>Cattle, for prime beef</v>
      </c>
      <c r="F45" s="30" t="str" cm="1">
        <f t="array" ref="F45">Common_InputFunctions.Utility_DisplayArrayInTable(Scope3_SourceData.Scope3_Livestock_Data(), Table_SourceData_Scope3_Animals100[[#Headers],[Category]], 0, 2)</f>
        <v>QLD</v>
      </c>
      <c r="G45" s="30" t="str" cm="1">
        <f t="array" ref="G45">Common_InputFunctions.Utility_DisplayArrayInTable(Scope3_SourceData.Scope3_Livestock_Data(), Table_SourceData_Scope3_Animals100[[#Headers],[Category]], 0, 2)</f>
        <v>kg liveweight</v>
      </c>
      <c r="H45" s="30" cm="1">
        <f t="array" ref="H45">Common_InputFunctions.Utility_DisplayArrayInTable(Scope3_SourceData.Scope3_Livestock_Data(), Table_SourceData_Scope3_Animals100[[#Headers],[Category]], 0, 2)</f>
        <v>13.9</v>
      </c>
      <c r="I45" s="30" t="str" cm="1">
        <f t="array" ref="I45">Common_InputFunctions.Utility_DisplayArrayInTable(Scope3_SourceData.Scope3_Livestock_Data(), Table_SourceData_Scope3_Animals100[[#Headers],[Category]], 0, 2)</f>
        <v>at market</v>
      </c>
      <c r="K45" s="30" t="s">
        <v>352</v>
      </c>
      <c r="L45" s="30" t="s">
        <v>353</v>
      </c>
    </row>
    <row r="46" spans="1:12" ht="20.100000000000001" customHeight="1" x14ac:dyDescent="0.25">
      <c r="A46"/>
      <c r="D46" s="30" t="str" cm="1">
        <f t="array" ref="D46">Common_InputFunctions.Utility_DisplayArrayInTable(Scope3_SourceData.Scope3_Livestock_Data(), Table_SourceData_Scope3_Animals100[[#Headers],[Category]], 0, 2)</f>
        <v>Beef cattle</v>
      </c>
      <c r="E46" s="30" t="str" cm="1">
        <f t="array" ref="E46">Common_InputFunctions.Utility_DisplayArrayInTable(Scope3_SourceData.Scope3_Livestock_Data(), Table_SourceData_Scope3_Animals100[[#Headers],[Category]], 0, 2)</f>
        <v>Cattle, for prime beef</v>
      </c>
      <c r="F46" s="30" t="str" cm="1">
        <f t="array" ref="F46">Common_InputFunctions.Utility_DisplayArrayInTable(Scope3_SourceData.Scope3_Livestock_Data(), Table_SourceData_Scope3_Animals100[[#Headers],[Category]], 0, 2)</f>
        <v>SA</v>
      </c>
      <c r="G46" s="30" t="str" cm="1">
        <f t="array" ref="G46">Common_InputFunctions.Utility_DisplayArrayInTable(Scope3_SourceData.Scope3_Livestock_Data(), Table_SourceData_Scope3_Animals100[[#Headers],[Category]], 0, 2)</f>
        <v>kg liveweight</v>
      </c>
      <c r="H46" s="30" cm="1">
        <f t="array" ref="H46">Common_InputFunctions.Utility_DisplayArrayInTable(Scope3_SourceData.Scope3_Livestock_Data(), Table_SourceData_Scope3_Animals100[[#Headers],[Category]], 0, 2)</f>
        <v>12.3</v>
      </c>
      <c r="I46" s="30" t="str" cm="1">
        <f t="array" ref="I46">Common_InputFunctions.Utility_DisplayArrayInTable(Scope3_SourceData.Scope3_Livestock_Data(), Table_SourceData_Scope3_Animals100[[#Headers],[Category]], 0, 2)</f>
        <v>at market</v>
      </c>
      <c r="K46" s="30" t="s">
        <v>354</v>
      </c>
      <c r="L46" s="30" t="s">
        <v>353</v>
      </c>
    </row>
    <row r="47" spans="1:12" ht="20.100000000000001" customHeight="1" x14ac:dyDescent="0.25">
      <c r="A47"/>
      <c r="D47" s="30" t="str" cm="1">
        <f t="array" ref="D47">Common_InputFunctions.Utility_DisplayArrayInTable(Scope3_SourceData.Scope3_Livestock_Data(), Table_SourceData_Scope3_Animals100[[#Headers],[Category]], 0, 2)</f>
        <v>Beef cattle</v>
      </c>
      <c r="E47" s="30" t="str" cm="1">
        <f t="array" ref="E47">Common_InputFunctions.Utility_DisplayArrayInTable(Scope3_SourceData.Scope3_Livestock_Data(), Table_SourceData_Scope3_Animals100[[#Headers],[Category]], 0, 2)</f>
        <v>Cattle, for prime beef</v>
      </c>
      <c r="F47" s="30" t="str" cm="1">
        <f t="array" ref="F47">Common_InputFunctions.Utility_DisplayArrayInTable(Scope3_SourceData.Scope3_Livestock_Data(), Table_SourceData_Scope3_Animals100[[#Headers],[Category]], 0, 2)</f>
        <v>TAS</v>
      </c>
      <c r="G47" s="30" t="str" cm="1">
        <f t="array" ref="G47">Common_InputFunctions.Utility_DisplayArrayInTable(Scope3_SourceData.Scope3_Livestock_Data(), Table_SourceData_Scope3_Animals100[[#Headers],[Category]], 0, 2)</f>
        <v>kg liveweight</v>
      </c>
      <c r="H47" s="30" cm="1">
        <f t="array" ref="H47">Common_InputFunctions.Utility_DisplayArrayInTable(Scope3_SourceData.Scope3_Livestock_Data(), Table_SourceData_Scope3_Animals100[[#Headers],[Category]], 0, 2)</f>
        <v>11.5</v>
      </c>
      <c r="I47" s="30" t="str" cm="1">
        <f t="array" ref="I47">Common_InputFunctions.Utility_DisplayArrayInTable(Scope3_SourceData.Scope3_Livestock_Data(), Table_SourceData_Scope3_Animals100[[#Headers],[Category]], 0, 2)</f>
        <v>at market</v>
      </c>
      <c r="K47" s="30" t="s">
        <v>355</v>
      </c>
      <c r="L47" s="30" t="s">
        <v>353</v>
      </c>
    </row>
    <row r="48" spans="1:12" ht="20.100000000000001" customHeight="1" x14ac:dyDescent="0.25">
      <c r="A48" s="96" t="s">
        <v>1</v>
      </c>
      <c r="D48" s="30" t="str" cm="1">
        <f t="array" ref="D48">Common_InputFunctions.Utility_DisplayArrayInTable(Scope3_SourceData.Scope3_Livestock_Data(), Table_SourceData_Scope3_Animals100[[#Headers],[Category]], 0, 2)</f>
        <v>Beef cattle</v>
      </c>
      <c r="E48" s="30" t="str" cm="1">
        <f t="array" ref="E48">Common_InputFunctions.Utility_DisplayArrayInTable(Scope3_SourceData.Scope3_Livestock_Data(), Table_SourceData_Scope3_Animals100[[#Headers],[Category]], 0, 2)</f>
        <v>Cattle, for prime beef</v>
      </c>
      <c r="F48" s="30" t="str" cm="1">
        <f t="array" ref="F48">Common_InputFunctions.Utility_DisplayArrayInTable(Scope3_SourceData.Scope3_Livestock_Data(), Table_SourceData_Scope3_Animals100[[#Headers],[Category]], 0, 2)</f>
        <v>VIC</v>
      </c>
      <c r="G48" s="30" t="str" cm="1">
        <f t="array" ref="G48">Common_InputFunctions.Utility_DisplayArrayInTable(Scope3_SourceData.Scope3_Livestock_Data(), Table_SourceData_Scope3_Animals100[[#Headers],[Category]], 0, 2)</f>
        <v>kg liveweight</v>
      </c>
      <c r="H48" s="30" cm="1">
        <f t="array" ref="H48">Common_InputFunctions.Utility_DisplayArrayInTable(Scope3_SourceData.Scope3_Livestock_Data(), Table_SourceData_Scope3_Animals100[[#Headers],[Category]], 0, 2)</f>
        <v>11.5</v>
      </c>
      <c r="I48" s="30" t="str" cm="1">
        <f t="array" ref="I48">Common_InputFunctions.Utility_DisplayArrayInTable(Scope3_SourceData.Scope3_Livestock_Data(), Table_SourceData_Scope3_Animals100[[#Headers],[Category]], 0, 2)</f>
        <v>at market</v>
      </c>
      <c r="K48" s="30" t="s">
        <v>356</v>
      </c>
      <c r="L48" s="30" t="s">
        <v>353</v>
      </c>
    </row>
    <row r="49" spans="1:12" ht="20.100000000000001" customHeight="1" x14ac:dyDescent="0.25">
      <c r="A49" s="5" t="str">
        <f>HYPERLINK("#'Constants - Pasture Beef'!A1", "Constants - Pasture Beef")</f>
        <v>Constants - Pasture Beef</v>
      </c>
      <c r="D49" s="30" t="str" cm="1">
        <f t="array" ref="D49">Common_InputFunctions.Utility_DisplayArrayInTable(Scope3_SourceData.Scope3_Livestock_Data(), Table_SourceData_Scope3_Animals100[[#Headers],[Category]], 0, 2)</f>
        <v>Beef cattle</v>
      </c>
      <c r="E49" s="30" t="str" cm="1">
        <f t="array" ref="E49">Common_InputFunctions.Utility_DisplayArrayInTable(Scope3_SourceData.Scope3_Livestock_Data(), Table_SourceData_Scope3_Animals100[[#Headers],[Category]], 0, 2)</f>
        <v>Cattle, for prime beef</v>
      </c>
      <c r="F49" s="30" t="str" cm="1">
        <f t="array" ref="F49">Common_InputFunctions.Utility_DisplayArrayInTable(Scope3_SourceData.Scope3_Livestock_Data(), Table_SourceData_Scope3_Animals100[[#Headers],[Category]], 0, 2)</f>
        <v>WA</v>
      </c>
      <c r="G49" s="30" t="str" cm="1">
        <f t="array" ref="G49">Common_InputFunctions.Utility_DisplayArrayInTable(Scope3_SourceData.Scope3_Livestock_Data(), Table_SourceData_Scope3_Animals100[[#Headers],[Category]], 0, 2)</f>
        <v>kg liveweight</v>
      </c>
      <c r="H49" s="30" cm="1">
        <f t="array" ref="H49">Common_InputFunctions.Utility_DisplayArrayInTable(Scope3_SourceData.Scope3_Livestock_Data(), Table_SourceData_Scope3_Animals100[[#Headers],[Category]], 0, 2)</f>
        <v>20.8</v>
      </c>
      <c r="I49" s="30" t="str" cm="1">
        <f t="array" ref="I49">Common_InputFunctions.Utility_DisplayArrayInTable(Scope3_SourceData.Scope3_Livestock_Data(), Table_SourceData_Scope3_Animals100[[#Headers],[Category]], 0, 2)</f>
        <v>at market</v>
      </c>
      <c r="K49" s="1" t="s">
        <v>357</v>
      </c>
      <c r="L49" s="1" t="s">
        <v>357</v>
      </c>
    </row>
    <row r="50" spans="1:12" ht="20.100000000000001" customHeight="1" x14ac:dyDescent="0.25">
      <c r="A50" s="5" t="str">
        <f>HYPERLINK("#'Constants - Ag Residue'!A1", "Constants - Ag residue")</f>
        <v>Constants - Ag residue</v>
      </c>
      <c r="D50" s="30" t="str" cm="1">
        <f t="array" ref="D50">Common_InputFunctions.Utility_DisplayArrayInTable(Scope3_SourceData.Scope3_Livestock_Data(), Table_SourceData_Scope3_Animals100[[#Headers],[Category]], 0, 2)</f>
        <v>Beef cattle</v>
      </c>
      <c r="E50" s="30" t="str" cm="1">
        <f t="array" ref="E50">Common_InputFunctions.Utility_DisplayArrayInTable(Scope3_SourceData.Scope3_Livestock_Data(), Table_SourceData_Scope3_Animals100[[#Headers],[Category]], 0, 2)</f>
        <v>Cattle, weaners</v>
      </c>
      <c r="F50" s="30" t="str" cm="1">
        <f t="array" ref="F50">Common_InputFunctions.Utility_DisplayArrayInTable(Scope3_SourceData.Scope3_Livestock_Data(), Table_SourceData_Scope3_Animals100[[#Headers],[Category]], 0, 2)</f>
        <v>Australia</v>
      </c>
      <c r="G50" s="30" t="str" cm="1">
        <f t="array" ref="G50">Common_InputFunctions.Utility_DisplayArrayInTable(Scope3_SourceData.Scope3_Livestock_Data(), Table_SourceData_Scope3_Animals100[[#Headers],[Category]], 0, 2)</f>
        <v>kg liveweight</v>
      </c>
      <c r="H50" s="30" cm="1">
        <f t="array" ref="H50">Common_InputFunctions.Utility_DisplayArrayInTable(Scope3_SourceData.Scope3_Livestock_Data(), Table_SourceData_Scope3_Animals100[[#Headers],[Category]], 0, 2)</f>
        <v>15.5</v>
      </c>
      <c r="I50" s="30" t="str" cm="1">
        <f t="array" ref="I50">Common_InputFunctions.Utility_DisplayArrayInTable(Scope3_SourceData.Scope3_Livestock_Data(), Table_SourceData_Scope3_Animals100[[#Headers],[Category]], 0, 2)</f>
        <v>at market</v>
      </c>
    </row>
    <row r="51" spans="1:12" ht="20.100000000000001" customHeight="1" x14ac:dyDescent="0.25">
      <c r="A51" s="5" t="str">
        <f>HYPERLINK("#'Constants - Common Livestock'!A1", "Constants - Common Livestock")</f>
        <v>Constants - Common Livestock</v>
      </c>
      <c r="D51" s="30" t="str" cm="1">
        <f t="array" ref="D51">Common_InputFunctions.Utility_DisplayArrayInTable(Scope3_SourceData.Scope3_Livestock_Data(), Table_SourceData_Scope3_Animals100[[#Headers],[Category]], 0, 2)</f>
        <v>Beef cattle</v>
      </c>
      <c r="E51" s="30" t="str" cm="1">
        <f t="array" ref="E51">Common_InputFunctions.Utility_DisplayArrayInTable(Scope3_SourceData.Scope3_Livestock_Data(), Table_SourceData_Scope3_Animals100[[#Headers],[Category]], 0, 2)</f>
        <v>Cattle, weaners</v>
      </c>
      <c r="F51" s="30" t="str" cm="1">
        <f t="array" ref="F51">Common_InputFunctions.Utility_DisplayArrayInTable(Scope3_SourceData.Scope3_Livestock_Data(), Table_SourceData_Scope3_Animals100[[#Headers],[Category]], 0, 2)</f>
        <v>NSW</v>
      </c>
      <c r="G51" s="30" t="str" cm="1">
        <f t="array" ref="G51">Common_InputFunctions.Utility_DisplayArrayInTable(Scope3_SourceData.Scope3_Livestock_Data(), Table_SourceData_Scope3_Animals100[[#Headers],[Category]], 0, 2)</f>
        <v>kg liveweight</v>
      </c>
      <c r="H51" s="30" cm="1">
        <f t="array" ref="H51">Common_InputFunctions.Utility_DisplayArrayInTable(Scope3_SourceData.Scope3_Livestock_Data(), Table_SourceData_Scope3_Animals100[[#Headers],[Category]], 0, 2)</f>
        <v>12.7</v>
      </c>
      <c r="I51" s="30" t="str" cm="1">
        <f t="array" ref="I51">Common_InputFunctions.Utility_DisplayArrayInTable(Scope3_SourceData.Scope3_Livestock_Data(), Table_SourceData_Scope3_Animals100[[#Headers],[Category]], 0, 2)</f>
        <v>at market</v>
      </c>
    </row>
    <row r="52" spans="1:12" ht="20.100000000000001" customHeight="1" x14ac:dyDescent="0.25">
      <c r="A52" s="5" t="str">
        <f>HYPERLINK("#'Constants - Electricity'!A1", "Constants - Electricity")</f>
        <v>Constants - Electricity</v>
      </c>
      <c r="D52" s="30" t="str" cm="1">
        <f t="array" ref="D52">Common_InputFunctions.Utility_DisplayArrayInTable(Scope3_SourceData.Scope3_Livestock_Data(), Table_SourceData_Scope3_Animals100[[#Headers],[Category]], 0, 2)</f>
        <v>Beef cattle</v>
      </c>
      <c r="E52" s="30" t="str" cm="1">
        <f t="array" ref="E52">Common_InputFunctions.Utility_DisplayArrayInTable(Scope3_SourceData.Scope3_Livestock_Data(), Table_SourceData_Scope3_Animals100[[#Headers],[Category]], 0, 2)</f>
        <v>Cattle, weaners</v>
      </c>
      <c r="F52" s="30" t="str" cm="1">
        <f t="array" ref="F52">Common_InputFunctions.Utility_DisplayArrayInTable(Scope3_SourceData.Scope3_Livestock_Data(), Table_SourceData_Scope3_Animals100[[#Headers],[Category]], 0, 2)</f>
        <v>NT</v>
      </c>
      <c r="G52" s="30" t="str" cm="1">
        <f t="array" ref="G52">Common_InputFunctions.Utility_DisplayArrayInTable(Scope3_SourceData.Scope3_Livestock_Data(), Table_SourceData_Scope3_Animals100[[#Headers],[Category]], 0, 2)</f>
        <v>kg liveweight</v>
      </c>
      <c r="H52" s="30" cm="1">
        <f t="array" ref="H52">Common_InputFunctions.Utility_DisplayArrayInTable(Scope3_SourceData.Scope3_Livestock_Data(), Table_SourceData_Scope3_Animals100[[#Headers],[Category]], 0, 2)</f>
        <v>19.100000000000001</v>
      </c>
      <c r="I52" s="30" t="str" cm="1">
        <f t="array" ref="I52">Common_InputFunctions.Utility_DisplayArrayInTable(Scope3_SourceData.Scope3_Livestock_Data(), Table_SourceData_Scope3_Animals100[[#Headers],[Category]], 0, 2)</f>
        <v>at market</v>
      </c>
    </row>
    <row r="53" spans="1:12" ht="20.100000000000001" customHeight="1" x14ac:dyDescent="0.25">
      <c r="A53" s="5" t="str">
        <f>HYPERLINK("#'Constants - Fertiliser'!A1", "Constants - Fertiliser")</f>
        <v>Constants - Fertiliser</v>
      </c>
      <c r="D53" s="30" t="str" cm="1">
        <f t="array" ref="D53">Common_InputFunctions.Utility_DisplayArrayInTable(Scope3_SourceData.Scope3_Livestock_Data(), Table_SourceData_Scope3_Animals100[[#Headers],[Category]], 0, 2)</f>
        <v>Beef cattle</v>
      </c>
      <c r="E53" s="30" t="str" cm="1">
        <f t="array" ref="E53">Common_InputFunctions.Utility_DisplayArrayInTable(Scope3_SourceData.Scope3_Livestock_Data(), Table_SourceData_Scope3_Animals100[[#Headers],[Category]], 0, 2)</f>
        <v>Cattle, weaners</v>
      </c>
      <c r="F53" s="30" t="str" cm="1">
        <f t="array" ref="F53">Common_InputFunctions.Utility_DisplayArrayInTable(Scope3_SourceData.Scope3_Livestock_Data(), Table_SourceData_Scope3_Animals100[[#Headers],[Category]], 0, 2)</f>
        <v>QLD</v>
      </c>
      <c r="G53" s="30" t="str" cm="1">
        <f t="array" ref="G53">Common_InputFunctions.Utility_DisplayArrayInTable(Scope3_SourceData.Scope3_Livestock_Data(), Table_SourceData_Scope3_Animals100[[#Headers],[Category]], 0, 2)</f>
        <v>kg liveweight</v>
      </c>
      <c r="H53" s="30" cm="1">
        <f t="array" ref="H53">Common_InputFunctions.Utility_DisplayArrayInTable(Scope3_SourceData.Scope3_Livestock_Data(), Table_SourceData_Scope3_Animals100[[#Headers],[Category]], 0, 2)</f>
        <v>20.5</v>
      </c>
      <c r="I53" s="30" t="str" cm="1">
        <f t="array" ref="I53">Common_InputFunctions.Utility_DisplayArrayInTable(Scope3_SourceData.Scope3_Livestock_Data(), Table_SourceData_Scope3_Animals100[[#Headers],[Category]], 0, 2)</f>
        <v>at market</v>
      </c>
    </row>
    <row r="54" spans="1:12" ht="20.100000000000001" customHeight="1" x14ac:dyDescent="0.25">
      <c r="A54" s="5" t="str">
        <f>HYPERLINK("#'Constants - Fuel'!A1", "Constants - Fuel")</f>
        <v>Constants - Fuel</v>
      </c>
      <c r="D54" s="30" t="str" cm="1">
        <f t="array" ref="D54">Common_InputFunctions.Utility_DisplayArrayInTable(Scope3_SourceData.Scope3_Livestock_Data(), Table_SourceData_Scope3_Animals100[[#Headers],[Category]], 0, 2)</f>
        <v>Beef cattle</v>
      </c>
      <c r="E54" s="30" t="str" cm="1">
        <f t="array" ref="E54">Common_InputFunctions.Utility_DisplayArrayInTable(Scope3_SourceData.Scope3_Livestock_Data(), Table_SourceData_Scope3_Animals100[[#Headers],[Category]], 0, 2)</f>
        <v>Cattle, weaners</v>
      </c>
      <c r="F54" s="30" t="str" cm="1">
        <f t="array" ref="F54">Common_InputFunctions.Utility_DisplayArrayInTable(Scope3_SourceData.Scope3_Livestock_Data(), Table_SourceData_Scope3_Animals100[[#Headers],[Category]], 0, 2)</f>
        <v>SA</v>
      </c>
      <c r="G54" s="30" t="str" cm="1">
        <f t="array" ref="G54">Common_InputFunctions.Utility_DisplayArrayInTable(Scope3_SourceData.Scope3_Livestock_Data(), Table_SourceData_Scope3_Animals100[[#Headers],[Category]], 0, 2)</f>
        <v>kg liveweight</v>
      </c>
      <c r="H54" s="30" cm="1">
        <f t="array" ref="H54">Common_InputFunctions.Utility_DisplayArrayInTable(Scope3_SourceData.Scope3_Livestock_Data(), Table_SourceData_Scope3_Animals100[[#Headers],[Category]], 0, 2)</f>
        <v>10.8</v>
      </c>
      <c r="I54" s="30" t="str" cm="1">
        <f t="array" ref="I54">Common_InputFunctions.Utility_DisplayArrayInTable(Scope3_SourceData.Scope3_Livestock_Data(), Table_SourceData_Scope3_Animals100[[#Headers],[Category]], 0, 2)</f>
        <v>at market</v>
      </c>
    </row>
    <row r="55" spans="1:12" ht="20.100000000000001" customHeight="1" x14ac:dyDescent="0.25">
      <c r="A55" s="121" t="str">
        <f>HYPERLINK("#'Constants - Scope 3'!A1", "Constants - Scope 3")</f>
        <v>Constants - Scope 3</v>
      </c>
      <c r="D55" s="30" t="str" cm="1">
        <f t="array" ref="D55">Common_InputFunctions.Utility_DisplayArrayInTable(Scope3_SourceData.Scope3_Livestock_Data(), Table_SourceData_Scope3_Animals100[[#Headers],[Category]], 0, 2)</f>
        <v>Beef cattle</v>
      </c>
      <c r="E55" s="30" t="str" cm="1">
        <f t="array" ref="E55">Common_InputFunctions.Utility_DisplayArrayInTable(Scope3_SourceData.Scope3_Livestock_Data(), Table_SourceData_Scope3_Animals100[[#Headers],[Category]], 0, 2)</f>
        <v>Cattle, weaners</v>
      </c>
      <c r="F55" s="30" t="str" cm="1">
        <f t="array" ref="F55">Common_InputFunctions.Utility_DisplayArrayInTable(Scope3_SourceData.Scope3_Livestock_Data(), Table_SourceData_Scope3_Animals100[[#Headers],[Category]], 0, 2)</f>
        <v>TAS</v>
      </c>
      <c r="G55" s="30" t="str" cm="1">
        <f t="array" ref="G55">Common_InputFunctions.Utility_DisplayArrayInTable(Scope3_SourceData.Scope3_Livestock_Data(), Table_SourceData_Scope3_Animals100[[#Headers],[Category]], 0, 2)</f>
        <v>kg liveweight</v>
      </c>
      <c r="H55" s="30" cm="1">
        <f t="array" ref="H55">Common_InputFunctions.Utility_DisplayArrayInTable(Scope3_SourceData.Scope3_Livestock_Data(), Table_SourceData_Scope3_Animals100[[#Headers],[Category]], 0, 2)</f>
        <v>13.4</v>
      </c>
      <c r="I55" s="30" t="str" cm="1">
        <f t="array" ref="I55">Common_InputFunctions.Utility_DisplayArrayInTable(Scope3_SourceData.Scope3_Livestock_Data(), Table_SourceData_Scope3_Animals100[[#Headers],[Category]], 0, 2)</f>
        <v>at market</v>
      </c>
    </row>
    <row r="56" spans="1:12" ht="20.100000000000001" customHeight="1" x14ac:dyDescent="0.25">
      <c r="A56" s="5" t="str">
        <f>HYPERLINK("#'Constants - Common'!A1", "Constants - Common")</f>
        <v>Constants - Common</v>
      </c>
      <c r="D56" s="30" t="str" cm="1">
        <f t="array" ref="D56">Common_InputFunctions.Utility_DisplayArrayInTable(Scope3_SourceData.Scope3_Livestock_Data(), Table_SourceData_Scope3_Animals100[[#Headers],[Category]], 0, 2)</f>
        <v>Beef cattle</v>
      </c>
      <c r="E56" s="30" t="str" cm="1">
        <f t="array" ref="E56">Common_InputFunctions.Utility_DisplayArrayInTable(Scope3_SourceData.Scope3_Livestock_Data(), Table_SourceData_Scope3_Animals100[[#Headers],[Category]], 0, 2)</f>
        <v>Cattle, weaners</v>
      </c>
      <c r="F56" s="30" t="str" cm="1">
        <f t="array" ref="F56">Common_InputFunctions.Utility_DisplayArrayInTable(Scope3_SourceData.Scope3_Livestock_Data(), Table_SourceData_Scope3_Animals100[[#Headers],[Category]], 0, 2)</f>
        <v>VIC</v>
      </c>
      <c r="G56" s="30" t="str" cm="1">
        <f t="array" ref="G56">Common_InputFunctions.Utility_DisplayArrayInTable(Scope3_SourceData.Scope3_Livestock_Data(), Table_SourceData_Scope3_Animals100[[#Headers],[Category]], 0, 2)</f>
        <v>kg liveweight</v>
      </c>
      <c r="H56" s="30" cm="1">
        <f t="array" ref="H56">Common_InputFunctions.Utility_DisplayArrayInTable(Scope3_SourceData.Scope3_Livestock_Data(), Table_SourceData_Scope3_Animals100[[#Headers],[Category]], 0, 2)</f>
        <v>12</v>
      </c>
      <c r="I56" s="30" t="str" cm="1">
        <f t="array" ref="I56">Common_InputFunctions.Utility_DisplayArrayInTable(Scope3_SourceData.Scope3_Livestock_Data(), Table_SourceData_Scope3_Animals100[[#Headers],[Category]], 0, 2)</f>
        <v>at market</v>
      </c>
    </row>
    <row r="57" spans="1:12" ht="20.100000000000001" customHeight="1" x14ac:dyDescent="0.25">
      <c r="A57" s="5" t="str">
        <f>HYPERLINK("#'Acknowledgements'!A1", "Acknowledgements")</f>
        <v>Acknowledgements</v>
      </c>
      <c r="D57" s="30" t="str" cm="1">
        <f t="array" ref="D57">Common_InputFunctions.Utility_DisplayArrayInTable(Scope3_SourceData.Scope3_Livestock_Data(), Table_SourceData_Scope3_Animals100[[#Headers],[Category]], 0, 2)</f>
        <v>Beef cattle</v>
      </c>
      <c r="E57" s="30" t="str" cm="1">
        <f t="array" ref="E57">Common_InputFunctions.Utility_DisplayArrayInTable(Scope3_SourceData.Scope3_Livestock_Data(), Table_SourceData_Scope3_Animals100[[#Headers],[Category]], 0, 2)</f>
        <v>Cattle, weaners</v>
      </c>
      <c r="F57" s="30" t="str" cm="1">
        <f t="array" ref="F57">Common_InputFunctions.Utility_DisplayArrayInTable(Scope3_SourceData.Scope3_Livestock_Data(), Table_SourceData_Scope3_Animals100[[#Headers],[Category]], 0, 2)</f>
        <v>WA</v>
      </c>
      <c r="G57" s="30" t="str" cm="1">
        <f t="array" ref="G57">Common_InputFunctions.Utility_DisplayArrayInTable(Scope3_SourceData.Scope3_Livestock_Data(), Table_SourceData_Scope3_Animals100[[#Headers],[Category]], 0, 2)</f>
        <v>kg liveweight</v>
      </c>
      <c r="H57" s="30" cm="1">
        <f t="array" ref="H57">Common_InputFunctions.Utility_DisplayArrayInTable(Scope3_SourceData.Scope3_Livestock_Data(), Table_SourceData_Scope3_Animals100[[#Headers],[Category]], 0, 2)</f>
        <v>12.4</v>
      </c>
      <c r="I57" s="30" t="str" cm="1">
        <f t="array" ref="I57">Common_InputFunctions.Utility_DisplayArrayInTable(Scope3_SourceData.Scope3_Livestock_Data(), Table_SourceData_Scope3_Animals100[[#Headers],[Category]], 0, 2)</f>
        <v>at market</v>
      </c>
    </row>
    <row r="58" spans="1:12" ht="20.100000000000001" customHeight="1" x14ac:dyDescent="0.25">
      <c r="A58" s="5" t="str">
        <f>HYPERLINK("#'Constants - Solid Waste'!A1", "Constants - Solid Waste")</f>
        <v>Constants - Solid Waste</v>
      </c>
      <c r="D58" s="30" t="str" cm="1">
        <f t="array" ref="D58">Common_InputFunctions.Utility_DisplayArrayInTable(Scope3_SourceData.Scope3_Livestock_Data(), Table_SourceData_Scope3_Animals100[[#Headers],[Category]], 0, 2)</f>
        <v>Chickens</v>
      </c>
      <c r="E58" s="30" t="str" cm="1">
        <f t="array" ref="E58">Common_InputFunctions.Utility_DisplayArrayInTable(Scope3_SourceData.Scope3_Livestock_Data(), Table_SourceData_Scope3_Animals100[[#Headers],[Category]], 0, 2)</f>
        <v>Chickens</v>
      </c>
      <c r="F58" s="30" t="str" cm="1">
        <f t="array" ref="F58">Common_InputFunctions.Utility_DisplayArrayInTable(Scope3_SourceData.Scope3_Livestock_Data(), Table_SourceData_Scope3_Animals100[[#Headers],[Category]], 0, 2)</f>
        <v>Australia</v>
      </c>
      <c r="G58" s="30" t="str" cm="1">
        <f t="array" ref="G58">Common_InputFunctions.Utility_DisplayArrayInTable(Scope3_SourceData.Scope3_Livestock_Data(), Table_SourceData_Scope3_Animals100[[#Headers],[Category]], 0, 2)</f>
        <v>kg liveweight</v>
      </c>
      <c r="H58" s="30" cm="1">
        <f t="array" ref="H58">Common_InputFunctions.Utility_DisplayArrayInTable(Scope3_SourceData.Scope3_Livestock_Data(), Table_SourceData_Scope3_Animals100[[#Headers],[Category]], 0, 2)</f>
        <v>1.36</v>
      </c>
      <c r="I58" s="30" t="str" cm="1">
        <f t="array" ref="I58">Common_InputFunctions.Utility_DisplayArrayInTable(Scope3_SourceData.Scope3_Livestock_Data(), Table_SourceData_Scope3_Animals100[[#Headers],[Category]], 0, 2)</f>
        <v>at market</v>
      </c>
    </row>
    <row r="59" spans="1:12" ht="20.100000000000001" customHeight="1" x14ac:dyDescent="0.25">
      <c r="A59"/>
      <c r="D59" s="30" t="str" cm="1">
        <f t="array" ref="D59">Common_InputFunctions.Utility_DisplayArrayInTable(Scope3_SourceData.Scope3_Livestock_Data(), Table_SourceData_Scope3_Animals100[[#Headers],[Category]], 0, 2)</f>
        <v>Dairy cattle</v>
      </c>
      <c r="E59" s="30" t="str" cm="1">
        <f t="array" ref="E59">Common_InputFunctions.Utility_DisplayArrayInTable(Scope3_SourceData.Scope3_Livestock_Data(), Table_SourceData_Scope3_Animals100[[#Headers],[Category]], 0, 2)</f>
        <v>Dairy cows</v>
      </c>
      <c r="F59" s="30" t="str" cm="1">
        <f t="array" ref="F59">Common_InputFunctions.Utility_DisplayArrayInTable(Scope3_SourceData.Scope3_Livestock_Data(), Table_SourceData_Scope3_Animals100[[#Headers],[Category]], 0, 2)</f>
        <v>VIC</v>
      </c>
      <c r="G59" s="30" t="str" cm="1">
        <f t="array" ref="G59">Common_InputFunctions.Utility_DisplayArrayInTable(Scope3_SourceData.Scope3_Livestock_Data(), Table_SourceData_Scope3_Animals100[[#Headers],[Category]], 0, 2)</f>
        <v>kg liveweight</v>
      </c>
      <c r="H59" s="30" cm="1">
        <f t="array" ref="H59">Common_InputFunctions.Utility_DisplayArrayInTable(Scope3_SourceData.Scope3_Livestock_Data(), Table_SourceData_Scope3_Animals100[[#Headers],[Category]], 0, 2)</f>
        <v>4.41</v>
      </c>
      <c r="I59" s="30" t="str" cm="1">
        <f t="array" ref="I59">Common_InputFunctions.Utility_DisplayArrayInTable(Scope3_SourceData.Scope3_Livestock_Data(), Table_SourceData_Scope3_Animals100[[#Headers],[Category]], 0, 2)</f>
        <v>at market</v>
      </c>
    </row>
    <row r="60" spans="1:12" ht="20.100000000000001" customHeight="1" x14ac:dyDescent="0.25">
      <c r="A60"/>
      <c r="D60" s="30" t="str" cm="1">
        <f t="array" ref="D60">Common_InputFunctions.Utility_DisplayArrayInTable(Scope3_SourceData.Scope3_Livestock_Data(), Table_SourceData_Scope3_Animals100[[#Headers],[Category]], 0, 2)</f>
        <v>Pigs</v>
      </c>
      <c r="E60" s="30" t="str" cm="1">
        <f t="array" ref="E60">Common_InputFunctions.Utility_DisplayArrayInTable(Scope3_SourceData.Scope3_Livestock_Data(), Table_SourceData_Scope3_Animals100[[#Headers],[Category]], 0, 2)</f>
        <v>Pigs</v>
      </c>
      <c r="F60" s="30" t="str" cm="1">
        <f t="array" ref="F60">Common_InputFunctions.Utility_DisplayArrayInTable(Scope3_SourceData.Scope3_Livestock_Data(), Table_SourceData_Scope3_Animals100[[#Headers],[Category]], 0, 2)</f>
        <v>Australia</v>
      </c>
      <c r="G60" s="30" t="str" cm="1">
        <f t="array" ref="G60">Common_InputFunctions.Utility_DisplayArrayInTable(Scope3_SourceData.Scope3_Livestock_Data(), Table_SourceData_Scope3_Animals100[[#Headers],[Category]], 0, 2)</f>
        <v>kg liveweight</v>
      </c>
      <c r="H60" s="30" cm="1">
        <f t="array" ref="H60">Common_InputFunctions.Utility_DisplayArrayInTable(Scope3_SourceData.Scope3_Livestock_Data(), Table_SourceData_Scope3_Animals100[[#Headers],[Category]], 0, 2)</f>
        <v>3.38</v>
      </c>
      <c r="I60" s="30" t="str" cm="1">
        <f t="array" ref="I60">Common_InputFunctions.Utility_DisplayArrayInTable(Scope3_SourceData.Scope3_Livestock_Data(), Table_SourceData_Scope3_Animals100[[#Headers],[Category]], 0, 2)</f>
        <v>at market</v>
      </c>
    </row>
    <row r="61" spans="1:12" ht="20.100000000000001" customHeight="1" x14ac:dyDescent="0.25">
      <c r="A61"/>
      <c r="D61" s="30" t="str" cm="1">
        <f t="array" ref="D61">Common_InputFunctions.Utility_DisplayArrayInTable(Scope3_SourceData.Scope3_Livestock_Data(), Table_SourceData_Scope3_Animals100[[#Headers],[Category]], 0, 2)</f>
        <v>Sheep</v>
      </c>
      <c r="E61" s="30" t="str" cm="1">
        <f t="array" ref="E61">Common_InputFunctions.Utility_DisplayArrayInTable(Scope3_SourceData.Scope3_Livestock_Data(), Table_SourceData_Scope3_Animals100[[#Headers],[Category]], 0, 2)</f>
        <v>Sheep, for mutton</v>
      </c>
      <c r="F61" s="30" t="str" cm="1">
        <f t="array" ref="F61">Common_InputFunctions.Utility_DisplayArrayInTable(Scope3_SourceData.Scope3_Livestock_Data(), Table_SourceData_Scope3_Animals100[[#Headers],[Category]], 0, 2)</f>
        <v>Australia</v>
      </c>
      <c r="G61" s="30" t="str" cm="1">
        <f t="array" ref="G61">Common_InputFunctions.Utility_DisplayArrayInTable(Scope3_SourceData.Scope3_Livestock_Data(), Table_SourceData_Scope3_Animals100[[#Headers],[Category]], 0, 2)</f>
        <v>kg liveweight</v>
      </c>
      <c r="H61" s="30" cm="1">
        <f t="array" ref="H61">Common_InputFunctions.Utility_DisplayArrayInTable(Scope3_SourceData.Scope3_Livestock_Data(), Table_SourceData_Scope3_Animals100[[#Headers],[Category]], 0, 2)</f>
        <v>6.81</v>
      </c>
      <c r="I61" s="30" t="str" cm="1">
        <f t="array" ref="I61">Common_InputFunctions.Utility_DisplayArrayInTable(Scope3_SourceData.Scope3_Livestock_Data(), Table_SourceData_Scope3_Animals100[[#Headers],[Category]], 0, 2)</f>
        <v>at market</v>
      </c>
    </row>
    <row r="62" spans="1:12" ht="20.100000000000001" customHeight="1" x14ac:dyDescent="0.25">
      <c r="A62"/>
      <c r="D62" s="30" t="str" cm="1">
        <f t="array" ref="D62">Common_InputFunctions.Utility_DisplayArrayInTable(Scope3_SourceData.Scope3_Livestock_Data(), Table_SourceData_Scope3_Animals100[[#Headers],[Category]], 0, 2)</f>
        <v>Sheep</v>
      </c>
      <c r="E62" s="30" t="str" cm="1">
        <f t="array" ref="E62">Common_InputFunctions.Utility_DisplayArrayInTable(Scope3_SourceData.Scope3_Livestock_Data(), Table_SourceData_Scope3_Animals100[[#Headers],[Category]], 0, 2)</f>
        <v>Sheep, for mutton</v>
      </c>
      <c r="F62" s="30" t="str" cm="1">
        <f t="array" ref="F62">Common_InputFunctions.Utility_DisplayArrayInTable(Scope3_SourceData.Scope3_Livestock_Data(), Table_SourceData_Scope3_Animals100[[#Headers],[Category]], 0, 2)</f>
        <v>NSW</v>
      </c>
      <c r="G62" s="30" t="str" cm="1">
        <f t="array" ref="G62">Common_InputFunctions.Utility_DisplayArrayInTable(Scope3_SourceData.Scope3_Livestock_Data(), Table_SourceData_Scope3_Animals100[[#Headers],[Category]], 0, 2)</f>
        <v>kg liveweight</v>
      </c>
      <c r="H62" s="30" cm="1">
        <f t="array" ref="H62">Common_InputFunctions.Utility_DisplayArrayInTable(Scope3_SourceData.Scope3_Livestock_Data(), Table_SourceData_Scope3_Animals100[[#Headers],[Category]], 0, 2)</f>
        <v>2.2599999999999998</v>
      </c>
      <c r="I62" s="30" t="str" cm="1">
        <f t="array" ref="I62">Common_InputFunctions.Utility_DisplayArrayInTable(Scope3_SourceData.Scope3_Livestock_Data(), Table_SourceData_Scope3_Animals100[[#Headers],[Category]], 0, 2)</f>
        <v>at market</v>
      </c>
    </row>
    <row r="63" spans="1:12" ht="20.100000000000001" customHeight="1" x14ac:dyDescent="0.25">
      <c r="A63"/>
      <c r="D63" s="30" t="str" cm="1">
        <f t="array" ref="D63">Common_InputFunctions.Utility_DisplayArrayInTable(Scope3_SourceData.Scope3_Livestock_Data(), Table_SourceData_Scope3_Animals100[[#Headers],[Category]], 0, 2)</f>
        <v>Sheep</v>
      </c>
      <c r="E63" s="30" t="str" cm="1">
        <f t="array" ref="E63">Common_InputFunctions.Utility_DisplayArrayInTable(Scope3_SourceData.Scope3_Livestock_Data(), Table_SourceData_Scope3_Animals100[[#Headers],[Category]], 0, 2)</f>
        <v>Sheep, for mutton</v>
      </c>
      <c r="F63" s="30" t="str" cm="1">
        <f t="array" ref="F63">Common_InputFunctions.Utility_DisplayArrayInTable(Scope3_SourceData.Scope3_Livestock_Data(), Table_SourceData_Scope3_Animals100[[#Headers],[Category]], 0, 2)</f>
        <v>QLD</v>
      </c>
      <c r="G63" s="30" t="str" cm="1">
        <f t="array" ref="G63">Common_InputFunctions.Utility_DisplayArrayInTable(Scope3_SourceData.Scope3_Livestock_Data(), Table_SourceData_Scope3_Animals100[[#Headers],[Category]], 0, 2)</f>
        <v>kg liveweight</v>
      </c>
      <c r="H63" s="30" cm="1">
        <f t="array" ref="H63">Common_InputFunctions.Utility_DisplayArrayInTable(Scope3_SourceData.Scope3_Livestock_Data(), Table_SourceData_Scope3_Animals100[[#Headers],[Category]], 0, 2)</f>
        <v>6.33</v>
      </c>
      <c r="I63" s="30" t="str" cm="1">
        <f t="array" ref="I63">Common_InputFunctions.Utility_DisplayArrayInTable(Scope3_SourceData.Scope3_Livestock_Data(), Table_SourceData_Scope3_Animals100[[#Headers],[Category]], 0, 2)</f>
        <v>at market</v>
      </c>
    </row>
    <row r="64" spans="1:12" ht="20.100000000000001" customHeight="1" x14ac:dyDescent="0.25">
      <c r="A64"/>
      <c r="D64" s="30" t="str" cm="1">
        <f t="array" ref="D64">Common_InputFunctions.Utility_DisplayArrayInTable(Scope3_SourceData.Scope3_Livestock_Data(), Table_SourceData_Scope3_Animals100[[#Headers],[Category]], 0, 2)</f>
        <v>Sheep</v>
      </c>
      <c r="E64" s="30" t="str" cm="1">
        <f t="array" ref="E64">Common_InputFunctions.Utility_DisplayArrayInTable(Scope3_SourceData.Scope3_Livestock_Data(), Table_SourceData_Scope3_Animals100[[#Headers],[Category]], 0, 2)</f>
        <v>Sheep, for mutton</v>
      </c>
      <c r="F64" s="30" t="str" cm="1">
        <f t="array" ref="F64">Common_InputFunctions.Utility_DisplayArrayInTable(Scope3_SourceData.Scope3_Livestock_Data(), Table_SourceData_Scope3_Animals100[[#Headers],[Category]], 0, 2)</f>
        <v>SA</v>
      </c>
      <c r="G64" s="30" t="str" cm="1">
        <f t="array" ref="G64">Common_InputFunctions.Utility_DisplayArrayInTable(Scope3_SourceData.Scope3_Livestock_Data(), Table_SourceData_Scope3_Animals100[[#Headers],[Category]], 0, 2)</f>
        <v>kg liveweight</v>
      </c>
      <c r="H64" s="30" cm="1">
        <f t="array" ref="H64">Common_InputFunctions.Utility_DisplayArrayInTable(Scope3_SourceData.Scope3_Livestock_Data(), Table_SourceData_Scope3_Animals100[[#Headers],[Category]], 0, 2)</f>
        <v>6.18</v>
      </c>
      <c r="I64" s="30" t="str" cm="1">
        <f t="array" ref="I64">Common_InputFunctions.Utility_DisplayArrayInTable(Scope3_SourceData.Scope3_Livestock_Data(), Table_SourceData_Scope3_Animals100[[#Headers],[Category]], 0, 2)</f>
        <v>at market</v>
      </c>
    </row>
    <row r="65" spans="1:9" ht="20.100000000000001" customHeight="1" x14ac:dyDescent="0.25">
      <c r="A65"/>
      <c r="D65" s="30" t="str" cm="1">
        <f t="array" ref="D65">Common_InputFunctions.Utility_DisplayArrayInTable(Scope3_SourceData.Scope3_Livestock_Data(), Table_SourceData_Scope3_Animals100[[#Headers],[Category]], 0, 2)</f>
        <v>Sheep</v>
      </c>
      <c r="E65" s="30" t="str" cm="1">
        <f t="array" ref="E65">Common_InputFunctions.Utility_DisplayArrayInTable(Scope3_SourceData.Scope3_Livestock_Data(), Table_SourceData_Scope3_Animals100[[#Headers],[Category]], 0, 2)</f>
        <v>Sheep, for mutton</v>
      </c>
      <c r="F65" s="30" t="str" cm="1">
        <f t="array" ref="F65">Common_InputFunctions.Utility_DisplayArrayInTable(Scope3_SourceData.Scope3_Livestock_Data(), Table_SourceData_Scope3_Animals100[[#Headers],[Category]], 0, 2)</f>
        <v>TAS</v>
      </c>
      <c r="G65" s="30" t="str" cm="1">
        <f t="array" ref="G65">Common_InputFunctions.Utility_DisplayArrayInTable(Scope3_SourceData.Scope3_Livestock_Data(), Table_SourceData_Scope3_Animals100[[#Headers],[Category]], 0, 2)</f>
        <v>kg liveweight</v>
      </c>
      <c r="H65" s="30" cm="1">
        <f t="array" ref="H65">Common_InputFunctions.Utility_DisplayArrayInTable(Scope3_SourceData.Scope3_Livestock_Data(), Table_SourceData_Scope3_Animals100[[#Headers],[Category]], 0, 2)</f>
        <v>7.5</v>
      </c>
      <c r="I65" s="30" t="str" cm="1">
        <f t="array" ref="I65">Common_InputFunctions.Utility_DisplayArrayInTable(Scope3_SourceData.Scope3_Livestock_Data(), Table_SourceData_Scope3_Animals100[[#Headers],[Category]], 0, 2)</f>
        <v>at market</v>
      </c>
    </row>
    <row r="66" spans="1:9" ht="20.100000000000001" customHeight="1" x14ac:dyDescent="0.25">
      <c r="A66"/>
      <c r="D66" s="30" t="str" cm="1">
        <f t="array" ref="D66">Common_InputFunctions.Utility_DisplayArrayInTable(Scope3_SourceData.Scope3_Livestock_Data(), Table_SourceData_Scope3_Animals100[[#Headers],[Category]], 0, 2)</f>
        <v>Sheep</v>
      </c>
      <c r="E66" s="30" t="str" cm="1">
        <f t="array" ref="E66">Common_InputFunctions.Utility_DisplayArrayInTable(Scope3_SourceData.Scope3_Livestock_Data(), Table_SourceData_Scope3_Animals100[[#Headers],[Category]], 0, 2)</f>
        <v>Sheep, for mutton</v>
      </c>
      <c r="F66" s="30" t="str" cm="1">
        <f t="array" ref="F66">Common_InputFunctions.Utility_DisplayArrayInTable(Scope3_SourceData.Scope3_Livestock_Data(), Table_SourceData_Scope3_Animals100[[#Headers],[Category]], 0, 2)</f>
        <v>VIC</v>
      </c>
      <c r="G66" s="30" t="str" cm="1">
        <f t="array" ref="G66">Common_InputFunctions.Utility_DisplayArrayInTable(Scope3_SourceData.Scope3_Livestock_Data(), Table_SourceData_Scope3_Animals100[[#Headers],[Category]], 0, 2)</f>
        <v>kg liveweight</v>
      </c>
      <c r="H66" s="30" cm="1">
        <f t="array" ref="H66">Common_InputFunctions.Utility_DisplayArrayInTable(Scope3_SourceData.Scope3_Livestock_Data(), Table_SourceData_Scope3_Animals100[[#Headers],[Category]], 0, 2)</f>
        <v>8.08</v>
      </c>
      <c r="I66" s="30" t="str" cm="1">
        <f t="array" ref="I66">Common_InputFunctions.Utility_DisplayArrayInTable(Scope3_SourceData.Scope3_Livestock_Data(), Table_SourceData_Scope3_Animals100[[#Headers],[Category]], 0, 2)</f>
        <v>at market</v>
      </c>
    </row>
    <row r="67" spans="1:9" ht="20.100000000000001" customHeight="1" x14ac:dyDescent="0.25">
      <c r="A67"/>
      <c r="D67" s="30" t="str" cm="1">
        <f t="array" ref="D67">Common_InputFunctions.Utility_DisplayArrayInTable(Scope3_SourceData.Scope3_Livestock_Data(), Table_SourceData_Scope3_Animals100[[#Headers],[Category]], 0, 2)</f>
        <v>Sheep</v>
      </c>
      <c r="E67" s="30" t="str" cm="1">
        <f t="array" ref="E67">Common_InputFunctions.Utility_DisplayArrayInTable(Scope3_SourceData.Scope3_Livestock_Data(), Table_SourceData_Scope3_Animals100[[#Headers],[Category]], 0, 2)</f>
        <v>Sheep, for mutton</v>
      </c>
      <c r="F67" s="30" t="str" cm="1">
        <f t="array" ref="F67">Common_InputFunctions.Utility_DisplayArrayInTable(Scope3_SourceData.Scope3_Livestock_Data(), Table_SourceData_Scope3_Animals100[[#Headers],[Category]], 0, 2)</f>
        <v>WA</v>
      </c>
      <c r="G67" s="30" t="str" cm="1">
        <f t="array" ref="G67">Common_InputFunctions.Utility_DisplayArrayInTable(Scope3_SourceData.Scope3_Livestock_Data(), Table_SourceData_Scope3_Animals100[[#Headers],[Category]], 0, 2)</f>
        <v>kg liveweight</v>
      </c>
      <c r="H67" s="30" cm="1">
        <f t="array" ref="H67">Common_InputFunctions.Utility_DisplayArrayInTable(Scope3_SourceData.Scope3_Livestock_Data(), Table_SourceData_Scope3_Animals100[[#Headers],[Category]], 0, 2)</f>
        <v>5.45</v>
      </c>
      <c r="I67" s="30" t="str" cm="1">
        <f t="array" ref="I67">Common_InputFunctions.Utility_DisplayArrayInTable(Scope3_SourceData.Scope3_Livestock_Data(), Table_SourceData_Scope3_Animals100[[#Headers],[Category]], 0, 2)</f>
        <v>at market</v>
      </c>
    </row>
    <row r="68" spans="1:9" ht="20.100000000000001" customHeight="1" x14ac:dyDescent="0.25">
      <c r="A68"/>
      <c r="D68" s="30" t="str" cm="1">
        <f t="array" ref="D68">Common_InputFunctions.Utility_DisplayArrayInTable(Scope3_SourceData.Scope3_Livestock_Data(), Table_SourceData_Scope3_Animals100[[#Headers],[Category]], 0, 2)</f>
        <v>Sheep</v>
      </c>
      <c r="E68" s="30" t="str" cm="1">
        <f t="array" ref="E68">Common_InputFunctions.Utility_DisplayArrayInTable(Scope3_SourceData.Scope3_Livestock_Data(), Table_SourceData_Scope3_Animals100[[#Headers],[Category]], 0, 2)</f>
        <v>Sheep, for prime lamb</v>
      </c>
      <c r="F68" s="30" t="str" cm="1">
        <f t="array" ref="F68">Common_InputFunctions.Utility_DisplayArrayInTable(Scope3_SourceData.Scope3_Livestock_Data(), Table_SourceData_Scope3_Animals100[[#Headers],[Category]], 0, 2)</f>
        <v>Australia</v>
      </c>
      <c r="G68" s="30" t="str" cm="1">
        <f t="array" ref="G68">Common_InputFunctions.Utility_DisplayArrayInTable(Scope3_SourceData.Scope3_Livestock_Data(), Table_SourceData_Scope3_Animals100[[#Headers],[Category]], 0, 2)</f>
        <v>kg liveweight</v>
      </c>
      <c r="H68" s="30" cm="1">
        <f t="array" ref="H68">Common_InputFunctions.Utility_DisplayArrayInTable(Scope3_SourceData.Scope3_Livestock_Data(), Table_SourceData_Scope3_Animals100[[#Headers],[Category]], 0, 2)</f>
        <v>7.15</v>
      </c>
      <c r="I68" s="30" t="str" cm="1">
        <f t="array" ref="I68">Common_InputFunctions.Utility_DisplayArrayInTable(Scope3_SourceData.Scope3_Livestock_Data(), Table_SourceData_Scope3_Animals100[[#Headers],[Category]], 0, 2)</f>
        <v>at market</v>
      </c>
    </row>
    <row r="69" spans="1:9" ht="20.100000000000001" customHeight="1" x14ac:dyDescent="0.25">
      <c r="A69"/>
      <c r="D69" s="30" t="str" cm="1">
        <f t="array" ref="D69">Common_InputFunctions.Utility_DisplayArrayInTable(Scope3_SourceData.Scope3_Livestock_Data(), Table_SourceData_Scope3_Animals100[[#Headers],[Category]], 0, 2)</f>
        <v>Sheep</v>
      </c>
      <c r="E69" s="30" t="str" cm="1">
        <f t="array" ref="E69">Common_InputFunctions.Utility_DisplayArrayInTable(Scope3_SourceData.Scope3_Livestock_Data(), Table_SourceData_Scope3_Animals100[[#Headers],[Category]], 0, 2)</f>
        <v>Sheep, for prime lamb</v>
      </c>
      <c r="F69" s="30" t="str" cm="1">
        <f t="array" ref="F69">Common_InputFunctions.Utility_DisplayArrayInTable(Scope3_SourceData.Scope3_Livestock_Data(), Table_SourceData_Scope3_Animals100[[#Headers],[Category]], 0, 2)</f>
        <v>NSW</v>
      </c>
      <c r="G69" s="30" t="str" cm="1">
        <f t="array" ref="G69">Common_InputFunctions.Utility_DisplayArrayInTable(Scope3_SourceData.Scope3_Livestock_Data(), Table_SourceData_Scope3_Animals100[[#Headers],[Category]], 0, 2)</f>
        <v>kg liveweight</v>
      </c>
      <c r="H69" s="30" cm="1">
        <f t="array" ref="H69">Common_InputFunctions.Utility_DisplayArrayInTable(Scope3_SourceData.Scope3_Livestock_Data(), Table_SourceData_Scope3_Animals100[[#Headers],[Category]], 0, 2)</f>
        <v>8.2899999999999991</v>
      </c>
      <c r="I69" s="30" t="str" cm="1">
        <f t="array" ref="I69">Common_InputFunctions.Utility_DisplayArrayInTable(Scope3_SourceData.Scope3_Livestock_Data(), Table_SourceData_Scope3_Animals100[[#Headers],[Category]], 0, 2)</f>
        <v>at market</v>
      </c>
    </row>
    <row r="70" spans="1:9" ht="20.100000000000001" customHeight="1" x14ac:dyDescent="0.25">
      <c r="A70"/>
      <c r="D70" s="30" t="str" cm="1">
        <f t="array" ref="D70">Common_InputFunctions.Utility_DisplayArrayInTable(Scope3_SourceData.Scope3_Livestock_Data(), Table_SourceData_Scope3_Animals100[[#Headers],[Category]], 0, 2)</f>
        <v>Sheep</v>
      </c>
      <c r="E70" s="30" t="str" cm="1">
        <f t="array" ref="E70">Common_InputFunctions.Utility_DisplayArrayInTable(Scope3_SourceData.Scope3_Livestock_Data(), Table_SourceData_Scope3_Animals100[[#Headers],[Category]], 0, 2)</f>
        <v>Sheep, for prime lamb</v>
      </c>
      <c r="F70" s="30" t="str" cm="1">
        <f t="array" ref="F70">Common_InputFunctions.Utility_DisplayArrayInTable(Scope3_SourceData.Scope3_Livestock_Data(), Table_SourceData_Scope3_Animals100[[#Headers],[Category]], 0, 2)</f>
        <v>QLD</v>
      </c>
      <c r="G70" s="30" t="str" cm="1">
        <f t="array" ref="G70">Common_InputFunctions.Utility_DisplayArrayInTable(Scope3_SourceData.Scope3_Livestock_Data(), Table_SourceData_Scope3_Animals100[[#Headers],[Category]], 0, 2)</f>
        <v>kg liveweight</v>
      </c>
      <c r="H70" s="30" cm="1">
        <f t="array" ref="H70">Common_InputFunctions.Utility_DisplayArrayInTable(Scope3_SourceData.Scope3_Livestock_Data(), Table_SourceData_Scope3_Animals100[[#Headers],[Category]], 0, 2)</f>
        <v>6.39</v>
      </c>
      <c r="I70" s="30" t="str" cm="1">
        <f t="array" ref="I70">Common_InputFunctions.Utility_DisplayArrayInTable(Scope3_SourceData.Scope3_Livestock_Data(), Table_SourceData_Scope3_Animals100[[#Headers],[Category]], 0, 2)</f>
        <v>at market</v>
      </c>
    </row>
    <row r="71" spans="1:9" ht="20.100000000000001" customHeight="1" x14ac:dyDescent="0.25">
      <c r="A71"/>
      <c r="D71" s="30" t="str" cm="1">
        <f t="array" ref="D71">Common_InputFunctions.Utility_DisplayArrayInTable(Scope3_SourceData.Scope3_Livestock_Data(), Table_SourceData_Scope3_Animals100[[#Headers],[Category]], 0, 2)</f>
        <v>Sheep</v>
      </c>
      <c r="E71" s="30" t="str" cm="1">
        <f t="array" ref="E71">Common_InputFunctions.Utility_DisplayArrayInTable(Scope3_SourceData.Scope3_Livestock_Data(), Table_SourceData_Scope3_Animals100[[#Headers],[Category]], 0, 2)</f>
        <v>Sheep, for prime lamb</v>
      </c>
      <c r="F71" s="30" t="str" cm="1">
        <f t="array" ref="F71">Common_InputFunctions.Utility_DisplayArrayInTable(Scope3_SourceData.Scope3_Livestock_Data(), Table_SourceData_Scope3_Animals100[[#Headers],[Category]], 0, 2)</f>
        <v>SA</v>
      </c>
      <c r="G71" s="30" t="str" cm="1">
        <f t="array" ref="G71">Common_InputFunctions.Utility_DisplayArrayInTable(Scope3_SourceData.Scope3_Livestock_Data(), Table_SourceData_Scope3_Animals100[[#Headers],[Category]], 0, 2)</f>
        <v>kg liveweight</v>
      </c>
      <c r="H71" s="30" cm="1">
        <f t="array" ref="H71">Common_InputFunctions.Utility_DisplayArrayInTable(Scope3_SourceData.Scope3_Livestock_Data(), Table_SourceData_Scope3_Animals100[[#Headers],[Category]], 0, 2)</f>
        <v>6.87</v>
      </c>
      <c r="I71" s="30" t="str" cm="1">
        <f t="array" ref="I71">Common_InputFunctions.Utility_DisplayArrayInTable(Scope3_SourceData.Scope3_Livestock_Data(), Table_SourceData_Scope3_Animals100[[#Headers],[Category]], 0, 2)</f>
        <v>at market</v>
      </c>
    </row>
    <row r="72" spans="1:9" ht="20.100000000000001" customHeight="1" x14ac:dyDescent="0.25">
      <c r="A72"/>
      <c r="D72" s="30" t="str" cm="1">
        <f t="array" ref="D72">Common_InputFunctions.Utility_DisplayArrayInTable(Scope3_SourceData.Scope3_Livestock_Data(), Table_SourceData_Scope3_Animals100[[#Headers],[Category]], 0, 2)</f>
        <v>Sheep</v>
      </c>
      <c r="E72" s="30" t="str" cm="1">
        <f t="array" ref="E72">Common_InputFunctions.Utility_DisplayArrayInTable(Scope3_SourceData.Scope3_Livestock_Data(), Table_SourceData_Scope3_Animals100[[#Headers],[Category]], 0, 2)</f>
        <v>Sheep, for prime lamb</v>
      </c>
      <c r="F72" s="30" t="str" cm="1">
        <f t="array" ref="F72">Common_InputFunctions.Utility_DisplayArrayInTable(Scope3_SourceData.Scope3_Livestock_Data(), Table_SourceData_Scope3_Animals100[[#Headers],[Category]], 0, 2)</f>
        <v>TAS</v>
      </c>
      <c r="G72" s="30" t="str" cm="1">
        <f t="array" ref="G72">Common_InputFunctions.Utility_DisplayArrayInTable(Scope3_SourceData.Scope3_Livestock_Data(), Table_SourceData_Scope3_Animals100[[#Headers],[Category]], 0, 2)</f>
        <v>kg liveweight</v>
      </c>
      <c r="H72" s="30" cm="1">
        <f t="array" ref="H72">Common_InputFunctions.Utility_DisplayArrayInTable(Scope3_SourceData.Scope3_Livestock_Data(), Table_SourceData_Scope3_Animals100[[#Headers],[Category]], 0, 2)</f>
        <v>8.66</v>
      </c>
      <c r="I72" s="30" t="str" cm="1">
        <f t="array" ref="I72">Common_InputFunctions.Utility_DisplayArrayInTable(Scope3_SourceData.Scope3_Livestock_Data(), Table_SourceData_Scope3_Animals100[[#Headers],[Category]], 0, 2)</f>
        <v>at market</v>
      </c>
    </row>
    <row r="73" spans="1:9" ht="20.100000000000001" customHeight="1" x14ac:dyDescent="0.25">
      <c r="A73"/>
      <c r="D73" s="30" t="str" cm="1">
        <f t="array" ref="D73">Common_InputFunctions.Utility_DisplayArrayInTable(Scope3_SourceData.Scope3_Livestock_Data(), Table_SourceData_Scope3_Animals100[[#Headers],[Category]], 0, 2)</f>
        <v>Sheep</v>
      </c>
      <c r="E73" s="30" t="str" cm="1">
        <f t="array" ref="E73">Common_InputFunctions.Utility_DisplayArrayInTable(Scope3_SourceData.Scope3_Livestock_Data(), Table_SourceData_Scope3_Animals100[[#Headers],[Category]], 0, 2)</f>
        <v>Sheep, for prime lamb</v>
      </c>
      <c r="F73" s="30" t="str" cm="1">
        <f t="array" ref="F73">Common_InputFunctions.Utility_DisplayArrayInTable(Scope3_SourceData.Scope3_Livestock_Data(), Table_SourceData_Scope3_Animals100[[#Headers],[Category]], 0, 2)</f>
        <v>VIC</v>
      </c>
      <c r="G73" s="30" t="str" cm="1">
        <f t="array" ref="G73">Common_InputFunctions.Utility_DisplayArrayInTable(Scope3_SourceData.Scope3_Livestock_Data(), Table_SourceData_Scope3_Animals100[[#Headers],[Category]], 0, 2)</f>
        <v>kg liveweight</v>
      </c>
      <c r="H73" s="30" cm="1">
        <f t="array" ref="H73">Common_InputFunctions.Utility_DisplayArrayInTable(Scope3_SourceData.Scope3_Livestock_Data(), Table_SourceData_Scope3_Animals100[[#Headers],[Category]], 0, 2)</f>
        <v>10</v>
      </c>
      <c r="I73" s="30" t="str" cm="1">
        <f t="array" ref="I73">Common_InputFunctions.Utility_DisplayArrayInTable(Scope3_SourceData.Scope3_Livestock_Data(), Table_SourceData_Scope3_Animals100[[#Headers],[Category]], 0, 2)</f>
        <v>at market</v>
      </c>
    </row>
    <row r="74" spans="1:9" ht="20.100000000000001" customHeight="1" x14ac:dyDescent="0.25">
      <c r="A74"/>
      <c r="D74" s="30" t="str" cm="1">
        <f t="array" ref="D74">Common_InputFunctions.Utility_DisplayArrayInTable(Scope3_SourceData.Scope3_Livestock_Data(), Table_SourceData_Scope3_Animals100[[#Headers],[Category]], 0, 2)</f>
        <v>Sheep</v>
      </c>
      <c r="E74" s="30" t="str" cm="1">
        <f t="array" ref="E74">Common_InputFunctions.Utility_DisplayArrayInTable(Scope3_SourceData.Scope3_Livestock_Data(), Table_SourceData_Scope3_Animals100[[#Headers],[Category]], 0, 2)</f>
        <v>Sheep, for prime lamb</v>
      </c>
      <c r="F74" s="30" t="str" cm="1">
        <f t="array" ref="F74">Common_InputFunctions.Utility_DisplayArrayInTable(Scope3_SourceData.Scope3_Livestock_Data(), Table_SourceData_Scope3_Animals100[[#Headers],[Category]], 0, 2)</f>
        <v>WA</v>
      </c>
      <c r="G74" s="30" t="str" cm="1">
        <f t="array" ref="G74">Common_InputFunctions.Utility_DisplayArrayInTable(Scope3_SourceData.Scope3_Livestock_Data(), Table_SourceData_Scope3_Animals100[[#Headers],[Category]], 0, 2)</f>
        <v>kg liveweight</v>
      </c>
      <c r="H74" s="30" cm="1">
        <f t="array" ref="H74">Common_InputFunctions.Utility_DisplayArrayInTable(Scope3_SourceData.Scope3_Livestock_Data(), Table_SourceData_Scope3_Animals100[[#Headers],[Category]], 0, 2)</f>
        <v>5.67</v>
      </c>
      <c r="I74" s="30" t="str" cm="1">
        <f t="array" ref="I74">Common_InputFunctions.Utility_DisplayArrayInTable(Scope3_SourceData.Scope3_Livestock_Data(), Table_SourceData_Scope3_Animals100[[#Headers],[Category]], 0, 2)</f>
        <v>at market</v>
      </c>
    </row>
    <row r="75" spans="1:9" ht="20.100000000000001" customHeight="1" x14ac:dyDescent="0.25">
      <c r="A75"/>
    </row>
    <row r="76" spans="1:9" ht="20.100000000000001" customHeight="1" x14ac:dyDescent="0.25">
      <c r="A76"/>
      <c r="D76" s="2" t="s">
        <v>939</v>
      </c>
    </row>
    <row r="77" spans="1:9" ht="20.100000000000001" customHeight="1" x14ac:dyDescent="0.25">
      <c r="A77"/>
      <c r="D77" s="30" t="s">
        <v>385</v>
      </c>
      <c r="E77" s="30" t="s">
        <v>152</v>
      </c>
      <c r="F77" s="30" t="s">
        <v>386</v>
      </c>
      <c r="G77" s="30" t="s">
        <v>387</v>
      </c>
      <c r="H77" s="30" t="s">
        <v>388</v>
      </c>
      <c r="I77" s="30" t="s">
        <v>389</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385</v>
      </c>
      <c r="E82" s="30" t="s">
        <v>152</v>
      </c>
      <c r="F82" s="30" t="s">
        <v>386</v>
      </c>
      <c r="G82" s="30" t="s">
        <v>387</v>
      </c>
      <c r="H82" s="30" t="s">
        <v>388</v>
      </c>
      <c r="I82" s="30" t="s">
        <v>389</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986</v>
      </c>
    </row>
    <row r="89" spans="1:16" ht="20.100000000000001" customHeight="1" x14ac:dyDescent="0.25">
      <c r="A89"/>
      <c r="D89" s="30" t="s">
        <v>385</v>
      </c>
      <c r="E89" s="30" t="s">
        <v>152</v>
      </c>
      <c r="F89" s="30" t="s">
        <v>386</v>
      </c>
      <c r="G89" s="30" t="s">
        <v>387</v>
      </c>
      <c r="H89" s="30" t="s">
        <v>388</v>
      </c>
      <c r="I89" s="30" t="s">
        <v>389</v>
      </c>
      <c r="K89" s="30" t="s">
        <v>152</v>
      </c>
      <c r="L89" s="30" t="s">
        <v>309</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309</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309</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309</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309</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309</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309</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309</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309</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309</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152</v>
      </c>
      <c r="L151" s="266" t="s">
        <v>309</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309</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309</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309</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309</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309</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309</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309</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385</v>
      </c>
      <c r="E161" s="30" t="s">
        <v>152</v>
      </c>
      <c r="F161" s="30" t="s">
        <v>386</v>
      </c>
      <c r="G161" s="30" t="s">
        <v>387</v>
      </c>
      <c r="H161" s="30" t="s">
        <v>388</v>
      </c>
      <c r="I161" s="30" t="s">
        <v>389</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385</v>
      </c>
      <c r="E167" s="30" t="s">
        <v>152</v>
      </c>
      <c r="F167" s="30" t="s">
        <v>386</v>
      </c>
      <c r="G167" s="30" t="s">
        <v>387</v>
      </c>
      <c r="H167" s="30" t="s">
        <v>388</v>
      </c>
      <c r="I167" s="30" t="s">
        <v>389</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1186</v>
      </c>
    </row>
    <row r="173" spans="4:13" ht="20.100000000000001" customHeight="1" x14ac:dyDescent="0.25">
      <c r="D173" s="30" t="s">
        <v>385</v>
      </c>
      <c r="E173" s="30" t="s">
        <v>152</v>
      </c>
      <c r="F173" s="30" t="s">
        <v>386</v>
      </c>
      <c r="G173" s="30" t="s">
        <v>592</v>
      </c>
      <c r="H173" s="30" t="s">
        <v>490</v>
      </c>
      <c r="I173" s="30" t="s">
        <v>491</v>
      </c>
      <c r="J173" s="30" t="s">
        <v>1187</v>
      </c>
      <c r="K173" s="30" t="s">
        <v>387</v>
      </c>
      <c r="L173" s="30" t="s">
        <v>388</v>
      </c>
      <c r="M173" s="30" t="s">
        <v>389</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1188</v>
      </c>
      <c r="N200" s="30"/>
      <c r="O200" s="30"/>
      <c r="P200" s="30"/>
    </row>
    <row r="201" spans="4:16" ht="20.100000000000001" customHeight="1" x14ac:dyDescent="0.25">
      <c r="D201" s="30" t="s">
        <v>385</v>
      </c>
      <c r="E201" s="30" t="s">
        <v>152</v>
      </c>
      <c r="F201" s="30" t="s">
        <v>386</v>
      </c>
      <c r="G201" s="30" t="s">
        <v>387</v>
      </c>
      <c r="H201" s="30" t="s">
        <v>388</v>
      </c>
      <c r="I201" s="30" t="s">
        <v>389</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1019</v>
      </c>
    </row>
    <row r="212" spans="4:16" ht="20.100000000000001" customHeight="1" x14ac:dyDescent="0.25">
      <c r="D212" s="30" t="s">
        <v>385</v>
      </c>
      <c r="E212" s="30" t="s">
        <v>152</v>
      </c>
      <c r="F212" s="30" t="s">
        <v>386</v>
      </c>
      <c r="G212" s="30" t="s">
        <v>387</v>
      </c>
      <c r="H212" s="30" t="s">
        <v>388</v>
      </c>
      <c r="I212" s="30" t="s">
        <v>389</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940</v>
      </c>
    </row>
    <row r="219" spans="4:16" ht="20.100000000000001" customHeight="1" x14ac:dyDescent="0.25">
      <c r="D219" s="30" t="s">
        <v>385</v>
      </c>
      <c r="E219" s="30" t="s">
        <v>152</v>
      </c>
      <c r="F219" s="30" t="s">
        <v>386</v>
      </c>
      <c r="G219" s="30" t="s">
        <v>387</v>
      </c>
      <c r="H219" s="30" t="s">
        <v>388</v>
      </c>
      <c r="I219" s="30" t="s">
        <v>389</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1189</v>
      </c>
    </row>
    <row r="234" spans="4:9" ht="20.100000000000001" customHeight="1" x14ac:dyDescent="0.25">
      <c r="D234" s="30" t="s">
        <v>385</v>
      </c>
      <c r="E234" s="30" t="s">
        <v>152</v>
      </c>
      <c r="F234" s="30" t="s">
        <v>386</v>
      </c>
      <c r="G234" s="30" t="s">
        <v>387</v>
      </c>
      <c r="H234" s="30" t="s">
        <v>388</v>
      </c>
      <c r="I234" s="30" t="s">
        <v>389</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workbookViewId="0" zoomScale="100" zoomScaleNormal="100">
      <selection activeCell="A58" sqref="A5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34</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HYPERLINK("#'3.2.1.1-2 Enteric Methane'!A1", "3.2.1.1-2 Enteric methane")</f>
        <v>3.2.1.1-2 Enteric methane</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HYPERLINK("#'4.2.1.1-2 Methane'!A1", "4.2.1.1-2 Manure methane")</f>
        <v>4.2.1.1-2 Manure methane</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HYPERLINK("#'4.2.1.3-4 Soil direct N20'!A1", "4.2.1.3-4 Soil direct N2O")</f>
        <v>4.2.1.3-4 Soil direct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HYPERLINK("#'4.2.1.5-6 Soil Atmos Dep'!A1", "4.2.1.5-6 Soil atm. deposition")</f>
        <v>4.2.1.5-6 Soil atm. deposition</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HYPERLINK("#'4.2.1.7-8 Soil leach runoff'!A1", "4.2.1.7-8 Soil leach &amp; runoff")</f>
        <v>4.2.1.7-8 Soil leach &amp; runoff</v>
      </c>
    </row>
    <row r="32" spans="1:4" ht="20.100000000000001" customHeight="1" x14ac:dyDescent="0.25">
      <c r="A32" s="5" t="str">
        <f>HYPERLINK("#'5.1.1.1-2 Inorganic fert N2O'!A1", "5.1.1.1-2 Inorganic fert N2O")</f>
        <v>5.1.1.1-2 Inorganic fert N2O</v>
      </c>
    </row>
    <row r="33" spans="1:8" ht="20.100000000000001" customHeight="1" x14ac:dyDescent="0.25">
      <c r="A33" s="5" t="str">
        <f>HYPERLINK("#'5.1.1.3-4 Inorganic fert CO2'!A1", "5.1.1.3-4 Inorganic fert CO2")</f>
        <v>5.1.1.3-4 Inorganic fert CO2</v>
      </c>
    </row>
    <row r="34" spans="1:8" ht="20.100000000000001" customHeight="1" x14ac:dyDescent="0.25">
      <c r="A34" s="5" t="str">
        <f>HYPERLINK("#'5.2.1.1-2 Organic Fert N2O'!A1", "5.2.1.1-2 Organic fert N2O")</f>
        <v>5.2.1.1-2 Organic fert N2O</v>
      </c>
      <c r="D34" s="2" t="str" cm="1">
        <f t="array" ref="D34">Common_SourceData.Common_SourceData_GWP_Title()</f>
        <v>Global warming potential for greenhouse gases</v>
      </c>
    </row>
    <row r="35" spans="1:8" ht="20.100000000000001" customHeight="1" x14ac:dyDescent="0.25">
      <c r="A35" s="5" t="str">
        <f>HYPERLINK("#'5.3.1.1-2 Lime CO2'!A1", "5.3.1.1-2 Lime CO2")</f>
        <v>5.3.1.1-2 Lime CO2</v>
      </c>
      <c r="D35" s="27" t="str" cm="1">
        <f t="array" ref="D35">Common_SourceData.Common_SourceData_GWP_Source()</f>
        <v>XXXXXXX</v>
      </c>
    </row>
    <row r="36" spans="1:8" ht="20.100000000000001" customHeight="1" x14ac:dyDescent="0.25">
      <c r="A36" s="5" t="str">
        <f>HYPERLINK("#'5.4.1.1-4 Atmos deposition'!A1", "5.4.1.1-4 Atmos. deposition")</f>
        <v>5.4.1.1-4 Atmos. deposition</v>
      </c>
      <c r="D36" s="30" t="s">
        <v>35</v>
      </c>
      <c r="E36" s="30" t="s">
        <v>36</v>
      </c>
    </row>
    <row r="37" spans="1:8" ht="20.100000000000001" customHeight="1" x14ac:dyDescent="0.25">
      <c r="A37" s="5" t="str">
        <f>HYPERLINK("#'5.5.1.1-2 Leaching and runoff'!A1", "5.5.1.1-2 Leaching &amp; runoff")</f>
        <v>5.5.1.1-2 Leaching &amp; runoff</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HYPERLINK("#'6.2.1.1-2 Pasture residue N2O'!A1", "6.2.1.1-2 Pasture residue N2O")</f>
        <v>6.2.1.1-2 Pasture residue N2O</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HYPERLINK("#'6.3.1.1-2 Leach runoff pasture'!A1", "6.3.1.1-2 Leach &amp; runoff (pasture)")</f>
        <v>6.3.1.1-2 Leach &amp; runoff (pasture)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HYPERLINK("#'8.1.1.1-2 Transport fuel'!A1", "8.1.1.1-2 Transport fuel")</f>
        <v>8.1.1.1-2 Transport fuel</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HYPERLINK("#'8.2.1.1-2 Stationary fuel'!A1", "8.2.1.1-2 Stationary fuel")</f>
        <v>8.2.1.1-2 Stationary fuel</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HYPERLINK("#'14.1.1-2 Purchased electricity'!A1", "14.1.1-2 Purchased electricity")</f>
        <v>14.1.1-2 Purchased electricity</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HYPERLINK("#'15 Scope 3'!A1", "15 Scope 3")</f>
        <v>15 Scope 3</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c r="D45" s="2" t="str" cm="1">
        <f t="array" ref="D45">Common_SourceData.Common_SourceData_ConvertGasElementalToMolecular_Title()</f>
        <v>Factor to convert elemental mass of gas to molecular mass</v>
      </c>
    </row>
    <row r="46" spans="1:8" ht="20.100000000000001" customHeight="1" x14ac:dyDescent="0.25">
      <c r="A46"/>
      <c r="D46" s="27" t="str" cm="1">
        <f t="array" ref="D46">Common_SourceData.Common_SourceData_ConvertGasElementalToMolecular_Source()</f>
        <v>XXXXXXX</v>
      </c>
    </row>
    <row r="47" spans="1:8" ht="20.100000000000001" customHeight="1" x14ac:dyDescent="0.25">
      <c r="A47"/>
      <c r="D47" s="30" t="s">
        <v>35</v>
      </c>
      <c r="E47" s="30" t="s">
        <v>37</v>
      </c>
      <c r="F47" s="30" t="s">
        <v>38</v>
      </c>
      <c r="G47" s="30" t="s">
        <v>39</v>
      </c>
      <c r="H47" s="30" t="s">
        <v>40</v>
      </c>
    </row>
    <row r="48" spans="1:8" ht="20.100000000000001" customHeight="1" x14ac:dyDescent="0.25">
      <c r="A48" s="96" t="s">
        <v>1</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HYPERLINK("#'Constants - Pasture Beef'!A1", "Constants - Pasture Beef")</f>
        <v>Constants - Pasture Beef</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Ag Residue'!A1", "Constants - Ag residue")</f>
        <v>Constants - Ag residue</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Common Livestock'!A1", "Constants - Common Livestock")</f>
        <v>Constants - Common Livestock</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Electricity'!A1", "Constants - Electricity")</f>
        <v>Constants - Electricity</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Fertiliser'!A1", "Constants - Fertiliser")</f>
        <v>Constants - Fertiliser</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Fuel'!A1", "Constants - Fuel")</f>
        <v>Constants - Fuel</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Scope 3'!A1", "Constants - Scope 3")</f>
        <v>Constants - Scope 3</v>
      </c>
    </row>
    <row r="56" spans="1:8" ht="20.100000000000001" customHeight="1" x14ac:dyDescent="0.25">
      <c r="A56" s="121" t="str">
        <f>HYPERLINK("#'Constants - Common'!A1", "Constants - Common")</f>
        <v>Constants - Common</v>
      </c>
    </row>
    <row r="57" spans="1:8" ht="20.100000000000001" customHeight="1" x14ac:dyDescent="0.25">
      <c r="A57" s="5" t="str">
        <f>HYPERLINK("#'Acknowledgements'!A1", "Acknowledgements")</f>
        <v>Acknowledgements</v>
      </c>
      <c r="D57" s="2" t="str" cm="1">
        <f t="array" ref="D57">Common_SourceData.Common_SourceData_WetAndDryZones_Title()</f>
        <v>VEERG Australian wet and dry zones</v>
      </c>
    </row>
    <row r="58" spans="1:8" ht="20.100000000000001" customHeight="1" x14ac:dyDescent="0.25">
      <c r="A58" s="5" t="str">
        <f>HYPERLINK("#'Constants - Solid Waste'!A1", "Constants - Solid Waste")</f>
        <v>Constants - Solid Waste</v>
      </c>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94</v>
      </c>
      <c r="E257" s="30" t="s">
        <v>95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9530D-6690-49F2-A57C-1F5EF147DC56}">
  <dimension ref="A1:A58"/>
  <sheetViews>
    <sheetView workbookViewId="0" zoomScale="100" zoomScaleNormal="100">
      <selection activeCell="A58" sqref="A58"/>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6"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121"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2F163-423D-4C9C-87BA-EB8C51D03B8F}">
  <sheetPr>
    <tabColor theme="5" tint="-0.249977111117893"/>
  </sheetPr>
  <dimension ref="A1:L385"/>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796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797</v>
      </c>
    </row>
    <row r="6" spans="1:10" ht="20.100000000000001" customHeight="1" x14ac:dyDescent="0.25"/>
    <row r="7" spans="1:10" ht="20.100000000000001" customHeight="1" x14ac:dyDescent="0.25">
      <c r="D7" s="46" t="s">
        <v>670</v>
      </c>
      <c r="E7" s="49"/>
    </row>
    <row r="8" spans="1:10" ht="20.100000000000001" customHeight="1" x14ac:dyDescent="0.25">
      <c r="A8" s="7" t="s">
        <v>0</v>
      </c>
    </row>
    <row r="9" spans="1:10" ht="20.100000000000001" customHeight="1" x14ac:dyDescent="0.25">
      <c r="A9" s="5" t="str">
        <f>HYPERLINK("#'Input - Enterprise'!A1", "Enterprise")</f>
        <v>Enterprise</v>
      </c>
      <c r="D9" s="112" t="s">
        <v>671</v>
      </c>
      <c r="E9" s="112" t="s">
        <v>798</v>
      </c>
      <c r="F9" s="112" t="s">
        <v>799</v>
      </c>
      <c r="G9" s="112" t="s">
        <v>800</v>
      </c>
      <c r="H9" s="112" t="s">
        <v>801</v>
      </c>
      <c r="I9" s="112" t="s">
        <v>802</v>
      </c>
    </row>
    <row r="10" spans="1:10" ht="20.100000000000001" customHeight="1" x14ac:dyDescent="0.25">
      <c r="A10" s="5" t="str">
        <f>HYPERLINK("#'Input - Site'!A1", "Site")</f>
        <v>Site</v>
      </c>
      <c r="D10" s="30" t="s">
        <v>803</v>
      </c>
      <c r="E10" s="23" t="s">
        <v>804</v>
      </c>
      <c r="F10" s="23" t="s">
        <v>805</v>
      </c>
      <c r="G10" s="23" t="s">
        <v>806</v>
      </c>
      <c r="H10" s="86">
        <v>50</v>
      </c>
      <c r="I10" s="23" t="s">
        <v>29</v>
      </c>
    </row>
    <row r="11" spans="1:10" ht="20.100000000000001" customHeight="1" x14ac:dyDescent="0.25">
      <c r="A11" s="5" t="str">
        <f>HYPERLINK("#'Input - Pasture Beef'!A1", "Pasture Beef")</f>
        <v>Pasture Beef</v>
      </c>
      <c r="D11" s="30" t="s">
        <v>807</v>
      </c>
      <c r="E11" s="23" t="s">
        <v>804</v>
      </c>
      <c r="F11" s="23" t="s">
        <v>805</v>
      </c>
      <c r="G11" s="23" t="s">
        <v>808</v>
      </c>
      <c r="H11" s="86">
        <v>50</v>
      </c>
      <c r="I11" s="23" t="s">
        <v>809</v>
      </c>
    </row>
    <row r="12" spans="1:10" ht="20.100000000000001" customHeight="1" x14ac:dyDescent="0.25">
      <c r="A12" s="5" t="str">
        <f>HYPERLINK("#'Input - Pasture Beef (Enteric)'!A1", "Pasture Beef (Enteric)")</f>
        <v>Pasture Beef (Enteric)</v>
      </c>
      <c r="D12" s="30" t="s">
        <v>810</v>
      </c>
      <c r="E12" s="23" t="s">
        <v>804</v>
      </c>
      <c r="F12" s="23" t="s">
        <v>811</v>
      </c>
      <c r="G12" s="23" t="s">
        <v>806</v>
      </c>
      <c r="H12" s="86">
        <v>50</v>
      </c>
      <c r="I12" s="23" t="s">
        <v>29</v>
      </c>
    </row>
    <row r="13" spans="1:10" ht="20.100000000000001" customHeight="1" x14ac:dyDescent="0.25">
      <c r="A13" s="5" t="str">
        <f>HYPERLINK("#'Input - Livestock sales'!A1", "Livestock sales")</f>
        <v>Livestock sales</v>
      </c>
      <c r="D13" s="30" t="s">
        <v>812</v>
      </c>
      <c r="E13" s="23" t="s">
        <v>804</v>
      </c>
      <c r="F13" s="23" t="s">
        <v>811</v>
      </c>
      <c r="G13" s="23" t="s">
        <v>808</v>
      </c>
      <c r="H13" s="86">
        <v>50</v>
      </c>
      <c r="I13" s="23" t="s">
        <v>809</v>
      </c>
    </row>
    <row r="14" spans="1:10" ht="20.100000000000001" customHeight="1" x14ac:dyDescent="0.25">
      <c r="A14" s="5" t="str">
        <f>HYPERLINK("#'Input - Beef cattle purchases'!A1", "Beef cattle purchases")</f>
        <v>Beef cattle purchases</v>
      </c>
      <c r="D14" s="30" t="s">
        <v>813</v>
      </c>
      <c r="E14" s="23" t="s">
        <v>814</v>
      </c>
      <c r="F14" s="23" t="s">
        <v>811</v>
      </c>
      <c r="G14" s="23" t="s">
        <v>806</v>
      </c>
      <c r="H14" s="86">
        <v>50</v>
      </c>
      <c r="I14" s="23" t="s">
        <v>29</v>
      </c>
    </row>
    <row r="15" spans="1:10" ht="20.100000000000001" customHeight="1" x14ac:dyDescent="0.25">
      <c r="A15" s="5" t="str">
        <f>HYPERLINK("#'Input - Pasture'!A1", "Pasture")</f>
        <v>Pasture</v>
      </c>
      <c r="D15" s="30" t="s">
        <v>815</v>
      </c>
      <c r="E15" s="23" t="s">
        <v>814</v>
      </c>
      <c r="F15" s="23" t="s">
        <v>811</v>
      </c>
      <c r="G15" s="23" t="s">
        <v>806</v>
      </c>
      <c r="H15" s="86">
        <v>50</v>
      </c>
      <c r="I15" s="23" t="s">
        <v>809</v>
      </c>
    </row>
    <row r="16" spans="1:10" ht="20.100000000000001" customHeight="1" x14ac:dyDescent="0.25">
      <c r="A16" s="5" t="str">
        <f>HYPERLINK("#'Input - Fert Prod System'!A1", "Fert Prod System")</f>
        <v>Fert Prod System</v>
      </c>
      <c r="D16" s="30" t="s">
        <v>816</v>
      </c>
      <c r="E16" s="23" t="s">
        <v>814</v>
      </c>
      <c r="F16" s="23" t="s">
        <v>811</v>
      </c>
      <c r="G16" s="23" t="s">
        <v>808</v>
      </c>
      <c r="H16" s="86">
        <v>50</v>
      </c>
      <c r="I16" s="23" t="s">
        <v>29</v>
      </c>
    </row>
    <row r="17" spans="1:11" ht="20.100000000000001" customHeight="1" x14ac:dyDescent="0.25">
      <c r="A17" s="5" t="str">
        <f>HYPERLINK("#'Input - Fertiliser'!A1", "Fertiliser")</f>
        <v>Fertiliser</v>
      </c>
      <c r="D17" s="30" t="s">
        <v>817</v>
      </c>
      <c r="E17" s="23" t="s">
        <v>814</v>
      </c>
      <c r="F17" s="23" t="s">
        <v>811</v>
      </c>
      <c r="G17" s="23" t="s">
        <v>808</v>
      </c>
      <c r="H17" s="86">
        <v>50</v>
      </c>
      <c r="I17" s="23" t="s">
        <v>809</v>
      </c>
    </row>
    <row r="18" spans="1:11" ht="20.100000000000001" customHeight="1" x14ac:dyDescent="0.25">
      <c r="A18" s="5" t="str">
        <f>HYPERLINK("#'Input - Fuel'!A1", "Fuel")</f>
        <v>Fuel</v>
      </c>
      <c r="D18" s="30" t="s">
        <v>818</v>
      </c>
      <c r="E18" s="23" t="s">
        <v>814</v>
      </c>
      <c r="F18" s="23" t="s">
        <v>805</v>
      </c>
      <c r="G18" s="23" t="s">
        <v>806</v>
      </c>
      <c r="H18" s="86">
        <v>50</v>
      </c>
      <c r="I18" s="23" t="s">
        <v>29</v>
      </c>
    </row>
    <row r="19" spans="1:11" ht="20.100000000000001" customHeight="1" x14ac:dyDescent="0.25">
      <c r="A19" s="5" t="str">
        <f>HYPERLINK("#'Input - Electricity'!A1", "Electricity")</f>
        <v>Electricity</v>
      </c>
      <c r="D19" s="30" t="s">
        <v>819</v>
      </c>
      <c r="E19" s="23" t="s">
        <v>814</v>
      </c>
      <c r="F19" s="23" t="s">
        <v>805</v>
      </c>
      <c r="G19" s="23" t="s">
        <v>806</v>
      </c>
      <c r="H19" s="86">
        <v>50</v>
      </c>
      <c r="I19" s="23" t="s">
        <v>809</v>
      </c>
    </row>
    <row r="20" spans="1:11" ht="20.100000000000001" customHeight="1" x14ac:dyDescent="0.25">
      <c r="A20" s="5" t="str">
        <f>HYPERLINK("#'Input - Farm Inputs'!A1", "Farm Inputs")</f>
        <v>Farm Inputs</v>
      </c>
      <c r="D20" s="30" t="s">
        <v>820</v>
      </c>
      <c r="E20" s="23" t="s">
        <v>814</v>
      </c>
      <c r="F20" s="23" t="s">
        <v>805</v>
      </c>
      <c r="G20" s="23" t="s">
        <v>808</v>
      </c>
      <c r="H20" s="86">
        <v>50</v>
      </c>
      <c r="I20" s="23" t="s">
        <v>29</v>
      </c>
    </row>
    <row r="21" spans="1:11" ht="20.100000000000001" customHeight="1" x14ac:dyDescent="0.25">
      <c r="A21" s="5" t="str">
        <f>HYPERLINK("#'Input - Freight'!A1", "Freight")</f>
        <v>Freight</v>
      </c>
      <c r="D21" s="30" t="s">
        <v>821</v>
      </c>
      <c r="E21" s="23" t="s">
        <v>814</v>
      </c>
      <c r="F21" s="23" t="s">
        <v>805</v>
      </c>
      <c r="G21" s="23" t="s">
        <v>808</v>
      </c>
      <c r="H21" s="86">
        <v>50</v>
      </c>
      <c r="I21" s="23" t="s">
        <v>809</v>
      </c>
    </row>
    <row r="22" spans="1:11" ht="20.100000000000001" customHeight="1" x14ac:dyDescent="0.25">
      <c r="A22" s="5" t="str">
        <f>HYPERLINK("#'Input - Manure sent off-site'!A1", "Manure sent off-site")</f>
        <v>Manure sent off-site</v>
      </c>
      <c r="D22" s="30" t="s">
        <v>822</v>
      </c>
      <c r="E22" s="23" t="s">
        <v>814</v>
      </c>
      <c r="F22" s="23" t="s">
        <v>823</v>
      </c>
      <c r="G22" s="23" t="s">
        <v>806</v>
      </c>
      <c r="H22" s="86">
        <v>50</v>
      </c>
      <c r="I22" s="23" t="s">
        <v>29</v>
      </c>
    </row>
    <row r="23" spans="1:11" ht="20.100000000000001" customHeight="1" x14ac:dyDescent="0.25">
      <c r="A23" s="95" t="str">
        <f>HYPERLINK("#'Input - Solid waste'!A1", "Solid waste")</f>
        <v>Solid waste</v>
      </c>
      <c r="D23" s="30" t="s">
        <v>824</v>
      </c>
      <c r="E23" s="23" t="s">
        <v>814</v>
      </c>
      <c r="F23" s="23" t="s">
        <v>823</v>
      </c>
      <c r="G23" s="23" t="s">
        <v>806</v>
      </c>
      <c r="H23" s="86">
        <v>50</v>
      </c>
      <c r="I23" s="23" t="s">
        <v>809</v>
      </c>
    </row>
    <row r="24" spans="1:11" ht="20.100000000000001" customHeight="1" x14ac:dyDescent="0.25">
      <c r="D24" s="30" t="s">
        <v>825</v>
      </c>
      <c r="E24" s="23" t="s">
        <v>814</v>
      </c>
      <c r="F24" s="23" t="s">
        <v>823</v>
      </c>
      <c r="G24" s="23" t="s">
        <v>808</v>
      </c>
      <c r="H24" s="86">
        <v>50</v>
      </c>
      <c r="I24" s="23" t="s">
        <v>29</v>
      </c>
    </row>
    <row r="25" spans="1:11" ht="20.100000000000001" customHeight="1" x14ac:dyDescent="0.25">
      <c r="D25" s="30" t="s">
        <v>826</v>
      </c>
      <c r="E25" s="23" t="s">
        <v>814</v>
      </c>
      <c r="F25" s="23" t="s">
        <v>823</v>
      </c>
      <c r="G25" s="23" t="s">
        <v>808</v>
      </c>
      <c r="H25" s="86">
        <v>50</v>
      </c>
      <c r="I25" s="23" t="s">
        <v>809</v>
      </c>
    </row>
    <row r="26" spans="1:11" ht="20.100000000000001" customHeight="1" x14ac:dyDescent="0.25">
      <c r="A26" s="6" t="s">
        <v>2</v>
      </c>
      <c r="D26" s="30" t="s">
        <v>827</v>
      </c>
      <c r="E26" s="23" t="s">
        <v>828</v>
      </c>
      <c r="F26" s="23" t="s">
        <v>805</v>
      </c>
      <c r="G26" s="23" t="s">
        <v>808</v>
      </c>
      <c r="H26" s="86">
        <v>50</v>
      </c>
      <c r="I26" s="23" t="s">
        <v>29</v>
      </c>
    </row>
    <row r="27" spans="1:11" ht="20.100000000000001" customHeight="1" x14ac:dyDescent="0.25">
      <c r="A27" s="5" t="str">
        <f>HYPERLINK("#'3.2.1.1-2 Enteric Methane'!A1", "3.2.1.1-2 Enteric methane")</f>
        <v>3.2.1.1-2 Enteric methane</v>
      </c>
      <c r="D27" s="30" t="s">
        <v>829</v>
      </c>
      <c r="E27" s="23" t="s">
        <v>828</v>
      </c>
      <c r="F27" s="23" t="s">
        <v>805</v>
      </c>
      <c r="G27" s="23" t="s">
        <v>808</v>
      </c>
      <c r="H27" s="86">
        <v>50</v>
      </c>
      <c r="I27" s="23" t="s">
        <v>809</v>
      </c>
    </row>
    <row r="28" spans="1:11" ht="20.100000000000001" customHeight="1" x14ac:dyDescent="0.25">
      <c r="A28" s="5" t="str">
        <f>HYPERLINK("#'4.2.1.1-2 Methane'!A1", "4.2.1.1-2 Manure methane")</f>
        <v>4.2.1.1-2 Manure methane</v>
      </c>
      <c r="D28" s="30" t="s">
        <v>830</v>
      </c>
      <c r="E28" s="23" t="s">
        <v>828</v>
      </c>
      <c r="F28" s="23" t="s">
        <v>823</v>
      </c>
      <c r="G28" s="23" t="s">
        <v>808</v>
      </c>
      <c r="H28" s="86">
        <v>50</v>
      </c>
      <c r="I28" s="23" t="s">
        <v>29</v>
      </c>
    </row>
    <row r="29" spans="1:11" ht="20.100000000000001" customHeight="1" x14ac:dyDescent="0.25">
      <c r="A29" s="5" t="str">
        <f>HYPERLINK("#'4.2.1.3-4 Soil direct N20'!A1", "4.2.1.3-4 Soil direct N2O")</f>
        <v>4.2.1.3-4 Soil direct N2O</v>
      </c>
      <c r="D29" s="30" t="s">
        <v>831</v>
      </c>
      <c r="E29" s="23" t="s">
        <v>828</v>
      </c>
      <c r="F29" s="23" t="s">
        <v>823</v>
      </c>
      <c r="G29" s="23" t="s">
        <v>808</v>
      </c>
      <c r="H29" s="86">
        <v>50</v>
      </c>
      <c r="I29" s="23" t="s">
        <v>809</v>
      </c>
      <c r="K29" s="164"/>
    </row>
    <row r="30" spans="1:11" ht="20.100000000000001" customHeight="1" x14ac:dyDescent="0.25">
      <c r="A30" s="5" t="str">
        <f>HYPERLINK("#'4.2.1.5-6 Soil Atmos Dep'!A1", "4.2.1.5-6 Soil atm. deposition")</f>
        <v>4.2.1.5-6 Soil atm. deposition</v>
      </c>
      <c r="D30" s="30" t="s">
        <v>832</v>
      </c>
      <c r="E30" s="23" t="s">
        <v>828</v>
      </c>
      <c r="F30" s="23" t="s">
        <v>823</v>
      </c>
      <c r="G30" s="23" t="s">
        <v>806</v>
      </c>
      <c r="H30" s="86">
        <v>50</v>
      </c>
      <c r="I30" s="23" t="s">
        <v>29</v>
      </c>
      <c r="K30" s="164"/>
    </row>
    <row r="31" spans="1:11" ht="20.100000000000001" customHeight="1" x14ac:dyDescent="0.25">
      <c r="A31" s="5" t="str">
        <f>HYPERLINK("#'4.2.1.7-8 Soil leach runoff'!A1", "4.2.1.7-8 Soil leach &amp; runoff")</f>
        <v>4.2.1.7-8 Soil leach &amp; runoff</v>
      </c>
      <c r="D31" s="30" t="s">
        <v>833</v>
      </c>
      <c r="E31" s="23" t="s">
        <v>828</v>
      </c>
      <c r="F31" s="23" t="s">
        <v>823</v>
      </c>
      <c r="G31" s="23" t="s">
        <v>806</v>
      </c>
      <c r="H31" s="86">
        <v>50</v>
      </c>
      <c r="I31" s="23" t="s">
        <v>809</v>
      </c>
      <c r="K31" s="164"/>
    </row>
    <row r="32" spans="1:11" ht="20.100000000000001" customHeight="1" x14ac:dyDescent="0.25">
      <c r="A32" s="5" t="str">
        <f>HYPERLINK("#'5.1.1.1-2 Inorganic fert N2O'!A1", "5.1.1.1-2 Inorganic fert N2O")</f>
        <v>5.1.1.1-2 Inorganic fert N2O</v>
      </c>
      <c r="D32" s="30" t="s">
        <v>831</v>
      </c>
      <c r="E32" s="23" t="s">
        <v>828</v>
      </c>
      <c r="F32" s="23" t="s">
        <v>823</v>
      </c>
      <c r="G32" s="23" t="s">
        <v>808</v>
      </c>
      <c r="H32" s="86">
        <v>50</v>
      </c>
      <c r="I32" s="23" t="s">
        <v>809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L36" s="164"/>
    </row>
    <row r="37" spans="1:12" ht="20.100000000000001" customHeight="1" x14ac:dyDescent="0.25">
      <c r="A37" s="5" t="str">
        <f>HYPERLINK("#'5.5.1.1-2 Leaching and runoff'!A1", "5.5.1.1-2 Leaching &amp; runoff")</f>
        <v>5.5.1.1-2 Leaching &amp; runoff</v>
      </c>
      <c r="L37" s="164"/>
    </row>
    <row r="38" spans="1:12" ht="20.100000000000001" customHeight="1" x14ac:dyDescent="0.25">
      <c r="A38" s="5" t="str">
        <f>HYPERLINK("#'6.2.1.1-2 Pasture residue N2O'!A1", "6.2.1.1-2 Pasture residue N2O")</f>
        <v>6.2.1.1-2 Pasture residue N2O</v>
      </c>
      <c r="C38" s="149"/>
    </row>
    <row r="39" spans="1:12" ht="20.100000000000001" customHeight="1" x14ac:dyDescent="0.25">
      <c r="A39" s="5" t="str">
        <f>HYPERLINK("#'6.3.1.1-2 Leach runoff pasture'!A1", "6.3.1.1-2 Leach &amp; runoff (pasture)")</f>
        <v>6.3.1.1-2 Leach &amp; runoff (pasture)</v>
      </c>
      <c r="C39" s="149"/>
      <c r="J39" s="149"/>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c r="E41" s="1"/>
      <c r="F41" s="1"/>
      <c r="G41" s="1"/>
      <c r="H41" s="1"/>
      <c r="I41" s="1"/>
      <c r="J41" s="1"/>
      <c r="L41" s="164" t="s">
        <v>683</v>
      </c>
    </row>
    <row r="42" spans="1:12" ht="20.100000000000001" customHeight="1" x14ac:dyDescent="0.25">
      <c r="A42" s="5" t="str">
        <f>HYPERLINK("#'14.1.1-2 Purchased electricity'!A1", "14.1.1-2 Purchased electricity")</f>
        <v>14.1.1-2 Purchased electricity</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9"/>
    </row>
    <row r="74" spans="4:4" ht="20.100000000000001" customHeight="1" x14ac:dyDescent="0.25"/>
    <row r="75" spans="4:4" ht="20.100000000000001" customHeight="1" x14ac:dyDescent="0.25">
      <c r="D75" s="189"/>
    </row>
    <row r="76" spans="4:4" ht="20.100000000000001" customHeight="1" x14ac:dyDescent="0.25">
      <c r="D76" s="189"/>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680FFA2F-98DB-400F-B92D-49BB647DE0C3}">
      <formula1>INDIRECT("Table_WasteTypes_" &amp; SUBSTITUTE(E10, " ", "") &amp; "[Waste type w]")</formula1>
    </dataValidation>
    <dataValidation type="list" allowBlank="1" showInputMessage="1" showErrorMessage="1" sqref="I10:I32" xr:uid="{3BD37CEF-4EE4-4EF6-8ADC-1ADAD4360A05}">
      <formula1>"tonnes, cubic metres m3"</formula1>
    </dataValidation>
    <dataValidation type="list" allowBlank="1" showInputMessage="1" showErrorMessage="1" sqref="G10:G32" xr:uid="{27248758-5FED-4C85-B091-FF3C359C3A4C}">
      <formula1>"Treated on-site, Removed and treated off-site"</formula1>
    </dataValidation>
    <dataValidation type="list" allowBlank="1" showInputMessage="1" showErrorMessage="1" sqref="E10:E32" xr:uid="{B1608725-2C34-4947-BBE7-2D3156301910}">
      <formula1>INDIRECT(_xlfn.UNIQUE("Table_SourceData_WasteSolid_WasteTreatmentEFs[Treatment type t]"))</formula1>
    </dataValidation>
    <dataValidation type="list" allowBlank="1" showInputMessage="1" showErrorMessage="1" sqref="E35" xr:uid="{D5A2728F-C6DC-4D22-8C3E-5DF77D388E41}">
      <formula1>INDIRECT("Table_SourceData_ElectricityEFs[State, Territory or grid description]")</formula1>
    </dataValidation>
    <dataValidation type="list" allowBlank="1" showInputMessage="1" showErrorMessage="1" sqref="E89" xr:uid="{00F244E7-6524-4020-9499-3960DC902B5F}">
      <formula1>INDIRECT("Table_SourceData_Swine_IrrigationMethods[Irrigation method]")</formula1>
    </dataValidation>
    <dataValidation type="list" allowBlank="1" showInputMessage="1" showErrorMessage="1" sqref="E273 E278 E283 E317 E312 E307 E185 E173 E149 E161" xr:uid="{76421B12-11D6-4D9A-9616-4EA61FFCD4D4}">
      <formula1>"Yes, No"</formula1>
    </dataValidation>
    <dataValidation type="list" allowBlank="1" showInputMessage="1" showErrorMessage="1" sqref="E249" xr:uid="{F3CAC60E-D521-4BC7-968A-A978D18E2DC1}">
      <formula1>INDIRECT("Table_SourceData_Dairy_ProductionSystemTemplates[Area]")</formula1>
    </dataValidation>
    <dataValidation type="list" allowBlank="1" showInputMessage="1" showErrorMessage="1" sqref="D301" xr:uid="{B7BCCB7D-EC1E-47F1-B1C2-CB4CF147989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0BB36-0F20-4039-A5C6-265207F309F6}">
  <sheetPr>
    <tabColor rgb="FF008000"/>
  </sheetPr>
  <dimension ref="A1:L342"/>
  <sheetViews>
    <sheetView showGridLines="0" topLeftCell="A17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834</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0" t="s">
        <v>259</v>
      </c>
      <c r="E7" s="10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261</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2" t="str" cm="1">
        <f t="array" ref="D13:E16">_xlfn.CHOOSECOLS(WasteSolid_Equations.VEERG_10_1_1_1__2_MassOfWasteFromVolume_Arguments(),1,2)</f>
        <v>V_wt</v>
      </c>
      <c r="E13" s="103" t="str">
        <v>volume of solid waste type w being sent to treatment facility t</v>
      </c>
      <c r="F13" s="105"/>
      <c r="G13" s="102" t="str" cm="1">
        <f t="array" ref="G13:H16">_xlfn.CHOOSECOLS(WasteSolid_Equations.VEERG_10_1_1_1__2_MassOfWasteFromVolume_Arguments(),3,4)</f>
        <v>m3</v>
      </c>
      <c r="H13" s="106" t="str">
        <v>Input</v>
      </c>
      <c r="I13" s="108" t="str" cm="1">
        <f t="array" aca="1" ref="I13" ca="1">HYPERLINK(Common_InputFunctions.Utility_SourceHyperlink($D$18),$D$18)</f>
        <v>Table_V_w_t_onsite</v>
      </c>
      <c r="J13" s="108"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2" t="str">
        <v>VTM_w</v>
      </c>
      <c r="E14" s="103" t="str">
        <v>conversion factor of volume to mass for waste type w</v>
      </c>
      <c r="F14" s="105"/>
      <c r="G14" s="102" t="str">
        <v>t/m3</v>
      </c>
      <c r="H14" s="107" t="str">
        <v>Constant</v>
      </c>
      <c r="I14" s="108" t="str" cm="1">
        <f t="array" aca="1" ref="I14" ca="1">HYPERLINK(Common_InputFunctions.Utility_SourceHyperlink($D$18),$D$18)</f>
        <v>Table_V_w_t_onsite</v>
      </c>
      <c r="J14" s="108" t="str" cm="1">
        <f t="array" aca="1" ref="J14" ca="1">HYPERLINK(Common_InputFunctions.Utility_SourceHyperlink($D$56),$D$56)</f>
        <v>Table_V_w_t_offsite</v>
      </c>
    </row>
    <row r="15" spans="1:12" ht="20.100000000000001" customHeight="1" x14ac:dyDescent="0.25">
      <c r="A15" s="5" t="str">
        <f>HYPERLINK("#'Input - Pasture'!A1", "Pasture")</f>
        <v>Pasture</v>
      </c>
      <c r="D15" s="102" t="str">
        <v>w</v>
      </c>
      <c r="E15" s="103" t="str">
        <v>waste type</v>
      </c>
      <c r="F15" s="105"/>
      <c r="G15" s="102" t="str">
        <v/>
      </c>
      <c r="H15" s="106" t="str">
        <v>Input</v>
      </c>
      <c r="I15" s="108" t="str" cm="1">
        <f t="array" aca="1" ref="I15" ca="1">HYPERLINK(Common_InputFunctions.Utility_SourceHyperlink($D$18),$D$18)</f>
        <v>Table_V_w_t_onsite</v>
      </c>
      <c r="J15" s="108"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2" t="str">
        <v>t</v>
      </c>
      <c r="E16" s="103" t="str">
        <v>treatment facility</v>
      </c>
      <c r="F16" s="105"/>
      <c r="G16" s="102" t="str">
        <v/>
      </c>
      <c r="H16" s="106" t="str">
        <v>Input</v>
      </c>
      <c r="I16" s="108" t="str" cm="1">
        <f t="array" aca="1" ref="I16" ca="1">HYPERLINK(Common_InputFunctions.Utility_SourceHyperlink($D$18),$D$18)</f>
        <v>Table_V_w_t_onsite</v>
      </c>
      <c r="J16" s="108"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09" t="s">
        <v>835</v>
      </c>
    </row>
    <row r="19" spans="1:9" ht="20.100000000000001" customHeight="1" x14ac:dyDescent="0.25">
      <c r="A19" s="5" t="str">
        <f>HYPERLINK("#'Input - Electricity'!A1", "Electricity")</f>
        <v>Electricity</v>
      </c>
      <c r="D19" s="110" t="s">
        <v>836</v>
      </c>
    </row>
    <row r="20" spans="1:9" ht="20.100000000000001" customHeight="1" x14ac:dyDescent="0.25">
      <c r="A20" s="5" t="str">
        <f>HYPERLINK("#'Input - Farm Inputs'!A1", "Farm Inputs")</f>
        <v>Farm Inputs</v>
      </c>
      <c r="D20" s="112" t="s">
        <v>837</v>
      </c>
      <c r="E20" s="112" t="s">
        <v>838</v>
      </c>
      <c r="F20" s="112"/>
      <c r="G20" s="112" t="s">
        <v>839</v>
      </c>
      <c r="H20" s="111" t="s">
        <v>840</v>
      </c>
      <c r="I20" s="111" t="s">
        <v>841</v>
      </c>
    </row>
    <row r="21" spans="1:9" ht="20.100000000000001" customHeight="1" x14ac:dyDescent="0.25">
      <c r="A21" s="5" t="str">
        <f>HYPERLINK("#'Input - Freight'!A1", "Freight")</f>
        <v>Freight</v>
      </c>
      <c r="D21" s="102" t="str" cm="1">
        <f t="array" ref="D21:D54">Table_SourceData_WasteSolid_WasteTreatmentEFs[Treatment type t]</f>
        <v>Landfill</v>
      </c>
      <c r="E21" s="103" t="str" cm="1">
        <f t="array" ref="E21:E54">Table_SourceData_WasteSolid_WasteTreatmentEFs[Waste type w]</f>
        <v>Food waste (including animal carcasses, spoiled animal feed or crop)</v>
      </c>
      <c r="F21" s="16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2" t="str">
        <v>Landfill</v>
      </c>
      <c r="E22" s="103" t="str">
        <v>Paper and cardboard</v>
      </c>
      <c r="F22" s="16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2" t="str">
        <v>Landfill</v>
      </c>
      <c r="E23" s="103" t="str">
        <v>Green waste (including crop residues or prunings)</v>
      </c>
      <c r="F23" s="16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02" t="str">
        <v>Landfill</v>
      </c>
      <c r="E24" s="103" t="str">
        <v>Wood</v>
      </c>
      <c r="F24" s="16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2" t="str">
        <v>Landfill</v>
      </c>
      <c r="E25" s="103" t="str">
        <v>Textiles</v>
      </c>
      <c r="F25" s="16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02" t="str">
        <v>Landfill</v>
      </c>
      <c r="E26" s="103" t="str">
        <v>Sludge</v>
      </c>
      <c r="F26" s="16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HYPERLINK("#'3.2.1.1-2 Enteric Methane'!A1", "3.2.1.1-2 Enteric methane")</f>
        <v>3.2.1.1-2 Enteric methane</v>
      </c>
      <c r="D27" s="102" t="str">
        <v>Landfill</v>
      </c>
      <c r="E27" s="103" t="str">
        <v>Rubber and leather</v>
      </c>
      <c r="F27" s="16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HYPERLINK("#'4.2.1.1-2 Methane'!A1", "4.2.1.1-2 Manure methane")</f>
        <v>4.2.1.1-2 Manure methane</v>
      </c>
      <c r="D28" s="102" t="str">
        <v>Landfill</v>
      </c>
      <c r="E28" s="103" t="str">
        <v>Inert waste (including concrete, metal, plastic or glass)</v>
      </c>
      <c r="F28" s="16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HYPERLINK("#'4.2.1.3-4 Soil direct N20'!A1", "4.2.1.3-4 Soil direct N2O")</f>
        <v>4.2.1.3-4 Soil direct N2O</v>
      </c>
      <c r="D29" s="102" t="str">
        <v>Landfill</v>
      </c>
      <c r="E29" s="103" t="str">
        <v>Municipal solid waste</v>
      </c>
      <c r="F29" s="16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HYPERLINK("#'4.2.1.5-6 Soil Atmos Dep'!A1", "4.2.1.5-6 Soil atm. deposition")</f>
        <v>4.2.1.5-6 Soil atm. deposition</v>
      </c>
      <c r="D30" s="102" t="str">
        <v>Landfill</v>
      </c>
      <c r="E30" s="103" t="str">
        <v>Commercial and industrial waste</v>
      </c>
      <c r="F30" s="16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HYPERLINK("#'4.2.1.7-8 Soil leach runoff'!A1", "4.2.1.7-8 Soil leach &amp; runoff")</f>
        <v>4.2.1.7-8 Soil leach &amp; runoff</v>
      </c>
      <c r="D31" s="102" t="str">
        <v>Landfill</v>
      </c>
      <c r="E31" s="103" t="str">
        <v>Construction and demolition waste</v>
      </c>
      <c r="F31" s="16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HYPERLINK("#'5.1.1.1-2 Inorganic fert N2O'!A1", "5.1.1.1-2 Inorganic fert N2O")</f>
        <v>5.1.1.1-2 Inorganic fert N2O</v>
      </c>
      <c r="D32" s="102" t="str">
        <v>Incineration</v>
      </c>
      <c r="E32" s="103" t="str">
        <v>Food waste, green waste, wood, sludge</v>
      </c>
      <c r="F32" s="167"/>
      <c r="G32" s="25" t="s">
        <v>560</v>
      </c>
      <c r="H32" s="25" t="s">
        <v>560</v>
      </c>
      <c r="I32" s="25" t="s">
        <v>560</v>
      </c>
    </row>
    <row r="33" spans="1:9" ht="20.100000000000001" customHeight="1" x14ac:dyDescent="0.25">
      <c r="A33" s="5" t="str">
        <f>HYPERLINK("#'5.1.1.3-4 Inorganic fert CO2'!A1", "5.1.1.3-4 Inorganic fert CO2")</f>
        <v>5.1.1.3-4 Inorganic fert CO2</v>
      </c>
      <c r="D33" s="102" t="str">
        <v>Incineration</v>
      </c>
      <c r="E33" s="103" t="str">
        <v>Food waste (including animal carcasses, spoiled animal feed or crop)</v>
      </c>
      <c r="F33" s="16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HYPERLINK("#'5.2.1.1-2 Organic Fert N2O'!A1", "5.2.1.1-2 Organic fert N2O")</f>
        <v>5.2.1.1-2 Organic fert N2O</v>
      </c>
      <c r="D34" s="102" t="str">
        <v>Incineration</v>
      </c>
      <c r="E34" s="103" t="str">
        <v>Green waste (including crop residues or prunings)</v>
      </c>
      <c r="F34" s="16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HYPERLINK("#'5.3.1.1-2 Lime CO2'!A1", "5.3.1.1-2 Lime CO2")</f>
        <v>5.3.1.1-2 Lime CO2</v>
      </c>
      <c r="D35" s="102" t="str">
        <v>Incineration</v>
      </c>
      <c r="E35" s="103" t="str">
        <v>Wood</v>
      </c>
      <c r="F35" s="16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HYPERLINK("#'5.4.1.1-4 Atmos deposition'!A1", "5.4.1.1-4 Atmos. deposition")</f>
        <v>5.4.1.1-4 Atmos. deposition</v>
      </c>
      <c r="D36" s="102" t="str">
        <v>Incineration</v>
      </c>
      <c r="E36" s="103" t="str">
        <v>Sludge</v>
      </c>
      <c r="F36" s="16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HYPERLINK("#'5.5.1.1-2 Leaching and runoff'!A1", "5.5.1.1-2 Leaching &amp; runoff")</f>
        <v>5.5.1.1-2 Leaching &amp; runoff</v>
      </c>
      <c r="D37" s="102" t="str">
        <v>Incineration</v>
      </c>
      <c r="E37" s="103" t="str">
        <v>Paper and cardboard</v>
      </c>
      <c r="F37" s="16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HYPERLINK("#'6.2.1.1-2 Pasture residue N2O'!A1", "6.2.1.1-2 Pasture residue N2O")</f>
        <v>6.2.1.1-2 Pasture residue N2O</v>
      </c>
      <c r="D38" s="102" t="str">
        <v>Incineration</v>
      </c>
      <c r="E38" s="103" t="str">
        <v>Textiles</v>
      </c>
      <c r="F38" s="16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HYPERLINK("#'6.3.1.1-2 Leach runoff pasture'!A1", "6.3.1.1-2 Leach &amp; runoff (pasture)")</f>
        <v>6.3.1.1-2 Leach &amp; runoff (pasture)</v>
      </c>
      <c r="D39" s="102" t="str">
        <v>Incineration</v>
      </c>
      <c r="E39" s="103" t="str">
        <v>Rubber and leather</v>
      </c>
      <c r="F39" s="16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HYPERLINK("#'8.1.1.1-2 Transport fuel'!A1", "8.1.1.1-2 Transport fuel")</f>
        <v>8.1.1.1-2 Transport fuel</v>
      </c>
      <c r="D40" s="102" t="str">
        <v>Incineration</v>
      </c>
      <c r="E40" s="102" t="str">
        <v>Inert waste (including concrete, metal, plastic or glass)</v>
      </c>
      <c r="F40" s="102"/>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HYPERLINK("#'8.2.1.1-2 Stationary fuel'!A1", "8.2.1.1-2 Stationary fuel")</f>
        <v>8.2.1.1-2 Stationary fuel</v>
      </c>
      <c r="D41" s="102" t="str">
        <v>Incineration</v>
      </c>
      <c r="E41" s="103" t="str">
        <v>Municipal solid waste</v>
      </c>
      <c r="F41" s="105"/>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HYPERLINK("#'14.1.1-2 Purchased electricity'!A1", "14.1.1-2 Purchased electricity")</f>
        <v>14.1.1-2 Purchased electricity</v>
      </c>
      <c r="D42" s="102" t="str">
        <v>Incineration</v>
      </c>
      <c r="E42" s="103" t="str">
        <v>Commercial and industrial waste</v>
      </c>
      <c r="F42" s="105"/>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HYPERLINK("#'15 Scope 3'!A1", "15 Scope 3")</f>
        <v>15 Scope 3</v>
      </c>
      <c r="D43" s="102" t="str">
        <v>Composting</v>
      </c>
      <c r="E43" s="103" t="str">
        <v>All organic waste</v>
      </c>
      <c r="F43" s="105"/>
      <c r="G43" s="25" t="s">
        <v>560</v>
      </c>
      <c r="H43" s="25" t="s">
        <v>560</v>
      </c>
      <c r="I43" s="25" t="s">
        <v>560</v>
      </c>
    </row>
    <row r="44" spans="1:9" ht="20.100000000000001" customHeight="1" x14ac:dyDescent="0.25">
      <c r="A44" s="5" t="str">
        <f>HYPERLINK("#'Calcs - Manure sent off-site'!A1", "Calcs - Manure sent off-site")</f>
        <v>Calcs - Manure sent off-site</v>
      </c>
      <c r="D44" s="102" t="str">
        <v>Composting</v>
      </c>
      <c r="E44" s="103" t="str">
        <v>Food waste (including animal carcasses, spoiled animal feed or crop)</v>
      </c>
      <c r="F44" s="105"/>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101" t="str">
        <f>HYPERLINK("#'10.1.1-2 Solid waste treatment'!A1", "10.1.1-2 Solid waste treatment")</f>
        <v>10.1.1-2 Solid waste treatment</v>
      </c>
      <c r="D45" s="102" t="str">
        <v>Composting</v>
      </c>
      <c r="E45" s="103" t="str">
        <v>Green waste (including crop residues or prunings)</v>
      </c>
      <c r="F45" s="105"/>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D46" s="102" t="str">
        <v>Composting</v>
      </c>
      <c r="E46" s="103" t="str">
        <v>Wood</v>
      </c>
      <c r="F46" s="105"/>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D47" s="102" t="str">
        <v>Composting</v>
      </c>
      <c r="E47" s="103" t="str">
        <v>Sludge</v>
      </c>
      <c r="F47" s="105"/>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96" t="s">
        <v>1</v>
      </c>
      <c r="D48" s="102" t="str">
        <v>Composting</v>
      </c>
      <c r="E48" s="103" t="str">
        <v>Paper and cardboard</v>
      </c>
      <c r="F48" s="105"/>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Pasture Beef'!A1", "Constants - Pasture Beef")</f>
        <v>Constants - Pasture Beef</v>
      </c>
      <c r="D49" s="102" t="str">
        <v>Anaerobic digestion</v>
      </c>
      <c r="E49" s="103" t="str">
        <v>All organic waste</v>
      </c>
      <c r="F49" s="105"/>
      <c r="G49" s="25" t="s">
        <v>560</v>
      </c>
      <c r="H49" s="25" t="s">
        <v>560</v>
      </c>
      <c r="I49" s="25" t="s">
        <v>560</v>
      </c>
    </row>
    <row r="50" spans="1:9" ht="20.100000000000001" customHeight="1" x14ac:dyDescent="0.25">
      <c r="A50" s="5" t="str">
        <f>HYPERLINK("#'Constants - Ag Residue'!A1", "Constants - Ag residue")</f>
        <v>Constants - Ag residue</v>
      </c>
      <c r="D50" s="102" t="str">
        <v>Anaerobic digestion</v>
      </c>
      <c r="E50" s="103" t="str">
        <v>Food waste (including animal carcasses, spoiled animal feed or crop)</v>
      </c>
      <c r="F50" s="105"/>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Common Livestock'!A1", "Constants - Common Livestock")</f>
        <v>Constants - Common Livestock</v>
      </c>
      <c r="D51" s="102" t="str">
        <v>Anaerobic digestion</v>
      </c>
      <c r="E51" s="103" t="str">
        <v>Green waste (including crop residues or prunings)</v>
      </c>
      <c r="F51" s="105"/>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Electricity'!A1", "Constants - Electricity")</f>
        <v>Constants - Electricity</v>
      </c>
      <c r="D52" s="102" t="str">
        <v>Anaerobic digestion</v>
      </c>
      <c r="E52" s="103" t="str">
        <v>Wood</v>
      </c>
      <c r="F52" s="105"/>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Fertiliser'!A1", "Constants - Fertiliser")</f>
        <v>Constants - Fertiliser</v>
      </c>
      <c r="D53" s="102" t="str">
        <v>Anaerobic digestion</v>
      </c>
      <c r="E53" s="103" t="str">
        <v>Sludge</v>
      </c>
      <c r="F53" s="105"/>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Fuel'!A1", "Constants - Fuel")</f>
        <v>Constants - Fuel</v>
      </c>
      <c r="D54" s="102" t="str">
        <v>Anaerobic digestion</v>
      </c>
      <c r="E54" s="103" t="str">
        <v>Paper and cardboard</v>
      </c>
      <c r="F54" s="105"/>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Scope 3'!A1", "Constants - Scope 3")</f>
        <v>Constants - Scope 3</v>
      </c>
    </row>
    <row r="56" spans="1:9" ht="20.100000000000001" customHeight="1" x14ac:dyDescent="0.25">
      <c r="A56" s="5" t="str">
        <f>HYPERLINK("#'Constants - Common'!A1", "Constants - Common")</f>
        <v>Constants - Common</v>
      </c>
      <c r="D56" s="109" t="s">
        <v>842</v>
      </c>
    </row>
    <row r="57" spans="1:9" ht="20.100000000000001" customHeight="1" x14ac:dyDescent="0.25">
      <c r="A57" s="5" t="str">
        <f>HYPERLINK("#'Acknowledgements'!A1", "Acknowledgements")</f>
        <v>Acknowledgements</v>
      </c>
      <c r="D57" s="110" t="s">
        <v>843</v>
      </c>
    </row>
    <row r="58" spans="1:9" ht="20.100000000000001" customHeight="1" x14ac:dyDescent="0.25">
      <c r="A58" s="5" t="str">
        <f>HYPERLINK("#'Constants - Solid Waste'!A1", "Constants - Solid Waste")</f>
        <v>Constants - Solid Waste</v>
      </c>
      <c r="D58" s="112" t="s">
        <v>837</v>
      </c>
      <c r="E58" s="112" t="s">
        <v>838</v>
      </c>
      <c r="F58" s="112"/>
      <c r="G58" s="112" t="s">
        <v>839</v>
      </c>
      <c r="H58" s="111" t="s">
        <v>840</v>
      </c>
      <c r="I58" s="111" t="s">
        <v>841</v>
      </c>
    </row>
    <row r="59" spans="1:9" ht="20.100000000000001" customHeight="1" x14ac:dyDescent="0.25">
      <c r="D59" s="102" t="str" cm="1">
        <f t="array" ref="D59:D92">Table_SourceData_WasteSolid_WasteTreatmentEFs[Treatment type t]</f>
        <v>Landfill</v>
      </c>
      <c r="E59" s="103" t="str" cm="1">
        <f t="array" ref="E59:E92">Table_SourceData_WasteSolid_WasteTreatmentEFs[Waste type w]</f>
        <v>Food waste (including animal carcasses, spoiled animal feed or crop)</v>
      </c>
      <c r="F59" s="16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2" t="str">
        <v>Landfill</v>
      </c>
      <c r="E60" s="103" t="str">
        <v>Paper and cardboard</v>
      </c>
      <c r="F60" s="16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2" t="str">
        <v>Landfill</v>
      </c>
      <c r="E61" s="103" t="str">
        <v>Green waste (including crop residues or prunings)</v>
      </c>
      <c r="F61" s="16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2" t="str">
        <v>Landfill</v>
      </c>
      <c r="E62" s="103" t="str">
        <v>Wood</v>
      </c>
      <c r="F62" s="16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2" t="str">
        <v>Landfill</v>
      </c>
      <c r="E63" s="103" t="str">
        <v>Textiles</v>
      </c>
      <c r="F63" s="16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2" t="str">
        <v>Landfill</v>
      </c>
      <c r="E64" s="103" t="str">
        <v>Sludge</v>
      </c>
      <c r="F64" s="16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2" t="str">
        <v>Landfill</v>
      </c>
      <c r="E65" s="103" t="str">
        <v>Rubber and leather</v>
      </c>
      <c r="F65" s="16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2" t="str">
        <v>Landfill</v>
      </c>
      <c r="E66" s="103" t="str">
        <v>Inert waste (including concrete, metal, plastic or glass)</v>
      </c>
      <c r="F66" s="16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2" t="str">
        <v>Landfill</v>
      </c>
      <c r="E67" s="103" t="str">
        <v>Municipal solid waste</v>
      </c>
      <c r="F67" s="16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2" t="str">
        <v>Landfill</v>
      </c>
      <c r="E68" s="103" t="str">
        <v>Commercial and industrial waste</v>
      </c>
      <c r="F68" s="16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2" t="str">
        <v>Landfill</v>
      </c>
      <c r="E69" s="103" t="str">
        <v>Construction and demolition waste</v>
      </c>
      <c r="F69" s="16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2" t="str">
        <v>Incineration</v>
      </c>
      <c r="E70" s="103" t="str">
        <v>Food waste, green waste, wood, sludge</v>
      </c>
      <c r="F70" s="167"/>
      <c r="G70" s="25" t="s">
        <v>560</v>
      </c>
      <c r="H70" s="25" t="s">
        <v>560</v>
      </c>
      <c r="I70" s="25" t="s">
        <v>560</v>
      </c>
    </row>
    <row r="71" spans="4:9" ht="20.100000000000001" customHeight="1" x14ac:dyDescent="0.25">
      <c r="D71" s="102" t="str">
        <v>Incineration</v>
      </c>
      <c r="E71" s="103" t="str">
        <v>Food waste (including animal carcasses, spoiled animal feed or crop)</v>
      </c>
      <c r="F71" s="16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2" t="str">
        <v>Incineration</v>
      </c>
      <c r="E72" s="103" t="str">
        <v>Green waste (including crop residues or prunings)</v>
      </c>
      <c r="F72" s="16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2" t="str">
        <v>Incineration</v>
      </c>
      <c r="E73" s="103" t="str">
        <v>Wood</v>
      </c>
      <c r="F73" s="16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2" t="str">
        <v>Incineration</v>
      </c>
      <c r="E74" s="103" t="str">
        <v>Sludge</v>
      </c>
      <c r="F74" s="16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2" t="str">
        <v>Incineration</v>
      </c>
      <c r="E75" s="103" t="str">
        <v>Paper and cardboard</v>
      </c>
      <c r="F75" s="16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2" t="str">
        <v>Incineration</v>
      </c>
      <c r="E76" s="103" t="str">
        <v>Textiles</v>
      </c>
      <c r="F76" s="16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2" t="str">
        <v>Incineration</v>
      </c>
      <c r="E77" s="103" t="str">
        <v>Rubber and leather</v>
      </c>
      <c r="F77" s="16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2" t="str">
        <v>Incineration</v>
      </c>
      <c r="E78" s="103" t="str">
        <v>Inert waste (including concrete, metal, plastic or glass)</v>
      </c>
      <c r="F78" s="16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2" t="str">
        <v>Incineration</v>
      </c>
      <c r="E79" s="103" t="str">
        <v>Municipal solid waste</v>
      </c>
      <c r="F79" s="105"/>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2" t="str">
        <v>Incineration</v>
      </c>
      <c r="E80" s="103" t="str">
        <v>Commercial and industrial waste</v>
      </c>
      <c r="F80" s="105"/>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2" t="str">
        <v>Composting</v>
      </c>
      <c r="E81" s="103" t="str">
        <v>All organic waste</v>
      </c>
      <c r="F81" s="105"/>
      <c r="G81" s="25" t="s">
        <v>560</v>
      </c>
      <c r="H81" s="25" t="s">
        <v>560</v>
      </c>
      <c r="I81" s="25" t="s">
        <v>560</v>
      </c>
    </row>
    <row r="82" spans="3:12" ht="20.100000000000001" customHeight="1" x14ac:dyDescent="0.25">
      <c r="D82" s="102" t="str">
        <v>Composting</v>
      </c>
      <c r="E82" s="103" t="str">
        <v>Food waste (including animal carcasses, spoiled animal feed or crop)</v>
      </c>
      <c r="F82" s="105"/>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2" t="str">
        <v>Composting</v>
      </c>
      <c r="E83" s="103" t="str">
        <v>Green waste (including crop residues or prunings)</v>
      </c>
      <c r="F83" s="105"/>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2" t="str">
        <v>Composting</v>
      </c>
      <c r="E84" s="103" t="str">
        <v>Wood</v>
      </c>
      <c r="F84" s="105"/>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2" t="str">
        <v>Composting</v>
      </c>
      <c r="E85" s="103" t="str">
        <v>Sludge</v>
      </c>
      <c r="F85" s="105"/>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2" t="str">
        <v>Composting</v>
      </c>
      <c r="E86" s="103" t="str">
        <v>Paper and cardboard</v>
      </c>
      <c r="F86" s="105"/>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2" t="str">
        <v>Anaerobic digestion</v>
      </c>
      <c r="E87" s="103" t="str">
        <v>All organic waste</v>
      </c>
      <c r="F87" s="105"/>
      <c r="G87" s="25" t="s">
        <v>560</v>
      </c>
      <c r="H87" s="25" t="s">
        <v>560</v>
      </c>
      <c r="I87" s="25" t="s">
        <v>560</v>
      </c>
    </row>
    <row r="88" spans="3:12" ht="20.100000000000001" customHeight="1" x14ac:dyDescent="0.25">
      <c r="D88" s="102" t="str">
        <v>Anaerobic digestion</v>
      </c>
      <c r="E88" s="103" t="str">
        <v>Food waste (including animal carcasses, spoiled animal feed or crop)</v>
      </c>
      <c r="F88" s="105"/>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2" t="str">
        <v>Anaerobic digestion</v>
      </c>
      <c r="E89" s="103" t="str">
        <v>Green waste (including crop residues or prunings)</v>
      </c>
      <c r="F89" s="105"/>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2" t="str">
        <v>Anaerobic digestion</v>
      </c>
      <c r="E90" s="103" t="str">
        <v>Wood</v>
      </c>
      <c r="F90" s="105"/>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2" t="str">
        <v>Anaerobic digestion</v>
      </c>
      <c r="E91" s="103" t="str">
        <v>Sludge</v>
      </c>
      <c r="F91" s="105"/>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2" t="str">
        <v>Anaerobic digestion</v>
      </c>
      <c r="E92" s="103" t="str">
        <v>Paper and cardboard</v>
      </c>
      <c r="F92" s="105"/>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3"/>
      <c r="D95" s="113"/>
      <c r="E95" s="113"/>
      <c r="F95" s="113"/>
      <c r="G95" s="113"/>
      <c r="H95" s="113"/>
      <c r="I95" s="113"/>
      <c r="J95" s="113"/>
      <c r="K95" s="113"/>
      <c r="L95" s="113"/>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0" t="s">
        <v>259</v>
      </c>
      <c r="E99" s="10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261</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2" t="str" cm="1">
        <f t="array" ref="D105:E111">_xlfn.CHOOSECOLS(WasteSolid_Equations.VEERG_10_1_1_1__1_EmissionsFromWasteManagement_Arguments(),1,2)</f>
        <v>Q_wt</v>
      </c>
      <c r="E105" s="103" t="str">
        <v>quantity of solid waste of type w being sent to treatment facility t, on a wet weight basis</v>
      </c>
      <c r="F105" s="104"/>
      <c r="G105" s="105"/>
      <c r="H105" s="102" t="str" cm="1">
        <f t="array" ref="H105:I111">_xlfn.CHOOSECOLS(WasteSolid_Equations.VEERG_10_1_1_1__1_EmissionsFromWasteManagement_Arguments(),3,4)</f>
        <v>t</v>
      </c>
      <c r="I105" s="107" t="str">
        <v>Sum of Q_volwt and Q_masswt</v>
      </c>
    </row>
    <row r="106" spans="4:9" ht="20.100000000000001" customHeight="1" x14ac:dyDescent="0.25">
      <c r="D106" s="102" t="str">
        <v>EF_wtg</v>
      </c>
      <c r="E106" s="103" t="str">
        <v>emission factor for greenhouse gas g for the management of waste at treatment facility t</v>
      </c>
      <c r="F106" s="104"/>
      <c r="G106" s="105"/>
      <c r="H106" s="102" t="str">
        <v>t CO2e/t</v>
      </c>
      <c r="I106" s="107" t="str">
        <v>Constant</v>
      </c>
    </row>
    <row r="107" spans="4:9" ht="20.100000000000001" customHeight="1" x14ac:dyDescent="0.25">
      <c r="D107" s="102" t="str">
        <v>w</v>
      </c>
      <c r="E107" s="103" t="str">
        <v>waste type</v>
      </c>
      <c r="F107" s="104"/>
      <c r="G107" s="105"/>
      <c r="H107" s="102" t="str">
        <v/>
      </c>
      <c r="I107" s="106" t="str">
        <v>Input</v>
      </c>
    </row>
    <row r="108" spans="4:9" ht="20.100000000000001" customHeight="1" x14ac:dyDescent="0.25">
      <c r="D108" s="102" t="str">
        <v>t</v>
      </c>
      <c r="E108" s="103" t="str">
        <v>treatment facility</v>
      </c>
      <c r="F108" s="104"/>
      <c r="G108" s="105"/>
      <c r="H108" s="102" t="str">
        <v/>
      </c>
      <c r="I108" s="106" t="str">
        <v>Input</v>
      </c>
    </row>
    <row r="109" spans="4:9" ht="20.100000000000001" customHeight="1" x14ac:dyDescent="0.25">
      <c r="D109" s="102" t="str">
        <v>g</v>
      </c>
      <c r="E109" s="103" t="str">
        <v>greenhouse gas</v>
      </c>
      <c r="F109" s="104"/>
      <c r="G109" s="105"/>
      <c r="H109" s="102" t="str">
        <v/>
      </c>
      <c r="I109" s="106" t="str">
        <v>Input</v>
      </c>
    </row>
    <row r="110" spans="4:9" ht="20.100000000000001" customHeight="1" x14ac:dyDescent="0.25">
      <c r="D110" s="102" t="str">
        <v>Q_volwt</v>
      </c>
      <c r="E110" s="103" t="str">
        <v>quantity of sold waste input as volume and converted to tonnes</v>
      </c>
      <c r="F110" s="104"/>
      <c r="G110" s="105"/>
      <c r="H110" s="102" t="str">
        <v>tonnes</v>
      </c>
      <c r="I110" s="107" t="str">
        <v>Calculated from 10.1.1.1 (2)</v>
      </c>
    </row>
    <row r="111" spans="4:9" ht="20.100000000000001" customHeight="1" x14ac:dyDescent="0.25">
      <c r="D111" s="102" t="str">
        <v>Q_masswt</v>
      </c>
      <c r="E111" s="103" t="str">
        <v>quantity of solid waste input as mass</v>
      </c>
      <c r="F111" s="104"/>
      <c r="G111" s="105"/>
      <c r="H111" s="102" t="str">
        <v>tonnes</v>
      </c>
      <c r="I111" s="106" t="str">
        <v>Input</v>
      </c>
    </row>
    <row r="112" spans="4:9" ht="20.100000000000001" customHeight="1" x14ac:dyDescent="0.25"/>
    <row r="113" spans="4:11" ht="20.100000000000001" customHeight="1" x14ac:dyDescent="0.25">
      <c r="D113" s="109" t="s">
        <v>844</v>
      </c>
    </row>
    <row r="114" spans="4:11" ht="20.100000000000001" customHeight="1" x14ac:dyDescent="0.25">
      <c r="D114" s="110" t="s">
        <v>845</v>
      </c>
    </row>
    <row r="115" spans="4:11" ht="20.100000000000001" customHeight="1" x14ac:dyDescent="0.25">
      <c r="D115" s="112" t="s">
        <v>837</v>
      </c>
      <c r="E115" s="112" t="s">
        <v>838</v>
      </c>
      <c r="F115" s="112"/>
      <c r="G115" s="112" t="s">
        <v>846</v>
      </c>
      <c r="H115" s="111" t="s">
        <v>847</v>
      </c>
      <c r="I115" s="111" t="s">
        <v>841</v>
      </c>
      <c r="J115" s="111" t="s">
        <v>848</v>
      </c>
      <c r="K115" s="111" t="s">
        <v>849</v>
      </c>
    </row>
    <row r="116" spans="4:11" ht="20.100000000000001" customHeight="1" x14ac:dyDescent="0.25">
      <c r="D116" s="102" t="str" cm="1">
        <f t="array" ref="D116:D149">Table_SourceData_WasteSolid_WasteTreatmentEFs[Treatment type t]</f>
        <v>Landfill</v>
      </c>
      <c r="E116" s="103" t="str" cm="1">
        <f t="array" ref="E116:E149">Table_SourceData_WasteSolid_WasteTreatmentEFs[Waste type w]</f>
        <v>Food waste (including animal carcasses, spoiled animal feed or crop)</v>
      </c>
      <c r="F116" s="16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2" t="str">
        <v>Landfill</v>
      </c>
      <c r="E117" s="103" t="str">
        <v>Paper and cardboard</v>
      </c>
      <c r="F117" s="16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2" t="str">
        <v>Landfill</v>
      </c>
      <c r="E118" s="103" t="str">
        <v>Green waste (including crop residues or prunings)</v>
      </c>
      <c r="F118" s="16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2" t="str">
        <v>Landfill</v>
      </c>
      <c r="E119" s="103" t="str">
        <v>Wood</v>
      </c>
      <c r="F119" s="16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2" t="str">
        <v>Landfill</v>
      </c>
      <c r="E120" s="103" t="str">
        <v>Textiles</v>
      </c>
      <c r="F120" s="16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2" t="str">
        <v>Landfill</v>
      </c>
      <c r="E121" s="103" t="str">
        <v>Sludge</v>
      </c>
      <c r="F121" s="16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2" t="str">
        <v>Landfill</v>
      </c>
      <c r="E122" s="103" t="str">
        <v>Rubber and leather</v>
      </c>
      <c r="F122" s="16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2" t="str">
        <v>Landfill</v>
      </c>
      <c r="E123" s="103" t="str">
        <v>Inert waste (including concrete, metal, plastic or glass)</v>
      </c>
      <c r="F123" s="16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2" t="str">
        <v>Landfill</v>
      </c>
      <c r="E124" s="103" t="str">
        <v>Municipal solid waste</v>
      </c>
      <c r="F124" s="16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2" t="str">
        <v>Landfill</v>
      </c>
      <c r="E125" s="103" t="str">
        <v>Commercial and industrial waste</v>
      </c>
      <c r="F125" s="16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2" t="str">
        <v>Landfill</v>
      </c>
      <c r="E126" s="103" t="str">
        <v>Construction and demolition waste</v>
      </c>
      <c r="F126" s="16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2" t="str">
        <v>Incineration</v>
      </c>
      <c r="E127" s="103" t="str">
        <v>Food waste, green waste, wood, sludge</v>
      </c>
      <c r="F127" s="167"/>
      <c r="G127" s="25" t="s">
        <v>560</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2" t="str">
        <v>Incineration</v>
      </c>
      <c r="E128" s="103" t="str">
        <v>Food waste (including animal carcasses, spoiled animal feed or crop)</v>
      </c>
      <c r="F128" s="16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850</v>
      </c>
      <c r="J128" s="25" t="s">
        <v>560</v>
      </c>
      <c r="K128" s="25" t="s">
        <v>560</v>
      </c>
    </row>
    <row r="129" spans="4:11" ht="20.100000000000001" customHeight="1" x14ac:dyDescent="0.25">
      <c r="D129" s="102" t="str">
        <v>Incineration</v>
      </c>
      <c r="E129" s="103" t="str">
        <v>Green waste (including crop residues or prunings)</v>
      </c>
      <c r="F129" s="16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850</v>
      </c>
      <c r="J129" s="25" t="s">
        <v>560</v>
      </c>
      <c r="K129" s="25" t="s">
        <v>560</v>
      </c>
    </row>
    <row r="130" spans="4:11" ht="20.100000000000001" customHeight="1" x14ac:dyDescent="0.25">
      <c r="D130" s="102" t="str">
        <v>Incineration</v>
      </c>
      <c r="E130" s="103" t="str">
        <v>Wood</v>
      </c>
      <c r="F130" s="16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850</v>
      </c>
      <c r="J130" s="25" t="s">
        <v>560</v>
      </c>
      <c r="K130" s="25" t="s">
        <v>560</v>
      </c>
    </row>
    <row r="131" spans="4:11" ht="20.100000000000001" customHeight="1" x14ac:dyDescent="0.25">
      <c r="D131" s="102" t="str">
        <v>Incineration</v>
      </c>
      <c r="E131" s="103" t="str">
        <v>Sludge</v>
      </c>
      <c r="F131" s="16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850</v>
      </c>
      <c r="J131" s="25" t="s">
        <v>560</v>
      </c>
      <c r="K131" s="25" t="s">
        <v>560</v>
      </c>
    </row>
    <row r="132" spans="4:11" ht="20.100000000000001" customHeight="1" x14ac:dyDescent="0.25">
      <c r="D132" s="102" t="str">
        <v>Incineration</v>
      </c>
      <c r="E132" s="103" t="str">
        <v>Paper and cardboard</v>
      </c>
      <c r="F132" s="16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2" t="str">
        <v>Incineration</v>
      </c>
      <c r="E133" s="103" t="str">
        <v>Textiles</v>
      </c>
      <c r="F133" s="16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2" t="str">
        <v>Incineration</v>
      </c>
      <c r="E134" s="103" t="str">
        <v>Rubber and leather</v>
      </c>
      <c r="F134" s="16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2" t="str">
        <v>Incineration</v>
      </c>
      <c r="E135" s="103" t="str">
        <v>Inert waste (including concrete, metal, plastic or glass)</v>
      </c>
      <c r="F135" s="16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2" t="str">
        <v>Incineration</v>
      </c>
      <c r="E136" s="103" t="str">
        <v>Municipal solid waste</v>
      </c>
      <c r="F136" s="105"/>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2" t="str">
        <v>Incineration</v>
      </c>
      <c r="E137" s="103" t="str">
        <v>Commercial and industrial waste</v>
      </c>
      <c r="F137" s="105"/>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2" t="str">
        <v>Composting</v>
      </c>
      <c r="E138" s="103" t="str">
        <v>All organic waste</v>
      </c>
      <c r="F138" s="105"/>
      <c r="G138" s="25" t="s">
        <v>560</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2" t="str">
        <v>Composting</v>
      </c>
      <c r="E139" s="103" t="str">
        <v>Food waste (including animal carcasses, spoiled animal feed or crop)</v>
      </c>
      <c r="F139" s="105"/>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850</v>
      </c>
      <c r="J139" s="25" t="s">
        <v>560</v>
      </c>
      <c r="K139" s="25" t="s">
        <v>560</v>
      </c>
    </row>
    <row r="140" spans="4:11" ht="20.100000000000001" customHeight="1" x14ac:dyDescent="0.25">
      <c r="D140" s="102" t="str">
        <v>Composting</v>
      </c>
      <c r="E140" s="103" t="str">
        <v>Green waste (including crop residues or prunings)</v>
      </c>
      <c r="F140" s="105"/>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850</v>
      </c>
      <c r="J140" s="25" t="s">
        <v>560</v>
      </c>
      <c r="K140" s="25" t="s">
        <v>560</v>
      </c>
    </row>
    <row r="141" spans="4:11" ht="20.100000000000001" customHeight="1" x14ac:dyDescent="0.25">
      <c r="D141" s="102" t="str">
        <v>Composting</v>
      </c>
      <c r="E141" s="103" t="str">
        <v>Wood</v>
      </c>
      <c r="F141" s="105"/>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850</v>
      </c>
      <c r="J141" s="25" t="s">
        <v>560</v>
      </c>
      <c r="K141" s="25" t="s">
        <v>560</v>
      </c>
    </row>
    <row r="142" spans="4:11" ht="20.100000000000001" customHeight="1" x14ac:dyDescent="0.25">
      <c r="D142" s="102" t="str">
        <v>Composting</v>
      </c>
      <c r="E142" s="103" t="str">
        <v>Sludge</v>
      </c>
      <c r="F142" s="105"/>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850</v>
      </c>
      <c r="J142" s="25" t="s">
        <v>560</v>
      </c>
      <c r="K142" s="25" t="s">
        <v>560</v>
      </c>
    </row>
    <row r="143" spans="4:11" ht="20.100000000000001" customHeight="1" x14ac:dyDescent="0.25">
      <c r="D143" s="102" t="str">
        <v>Composting</v>
      </c>
      <c r="E143" s="103" t="str">
        <v>Paper and cardboard</v>
      </c>
      <c r="F143" s="105"/>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850</v>
      </c>
      <c r="J143" s="25" t="s">
        <v>560</v>
      </c>
      <c r="K143" s="25" t="s">
        <v>560</v>
      </c>
    </row>
    <row r="144" spans="4:11" ht="20.100000000000001" customHeight="1" x14ac:dyDescent="0.25">
      <c r="D144" s="102" t="str">
        <v>Anaerobic digestion</v>
      </c>
      <c r="E144" s="103" t="str">
        <v>All organic waste</v>
      </c>
      <c r="F144" s="105"/>
      <c r="G144" s="25" t="s">
        <v>560</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2" t="str">
        <v>Anaerobic digestion</v>
      </c>
      <c r="E145" s="103" t="str">
        <v>Food waste (including animal carcasses, spoiled animal feed or crop)</v>
      </c>
      <c r="F145" s="105"/>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850</v>
      </c>
      <c r="J145" s="25" t="s">
        <v>560</v>
      </c>
      <c r="K145" s="25" t="s">
        <v>560</v>
      </c>
    </row>
    <row r="146" spans="4:11" ht="20.100000000000001" customHeight="1" x14ac:dyDescent="0.25">
      <c r="D146" s="102" t="str">
        <v>Anaerobic digestion</v>
      </c>
      <c r="E146" s="103" t="str">
        <v>Green waste (including crop residues or prunings)</v>
      </c>
      <c r="F146" s="105"/>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850</v>
      </c>
      <c r="J146" s="25" t="s">
        <v>560</v>
      </c>
      <c r="K146" s="25" t="s">
        <v>560</v>
      </c>
    </row>
    <row r="147" spans="4:11" ht="20.100000000000001" customHeight="1" x14ac:dyDescent="0.25">
      <c r="D147" s="102" t="str">
        <v>Anaerobic digestion</v>
      </c>
      <c r="E147" s="103" t="str">
        <v>Wood</v>
      </c>
      <c r="F147" s="105"/>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850</v>
      </c>
      <c r="J147" s="25" t="s">
        <v>560</v>
      </c>
      <c r="K147" s="25" t="s">
        <v>560</v>
      </c>
    </row>
    <row r="148" spans="4:11" ht="20.100000000000001" customHeight="1" x14ac:dyDescent="0.25">
      <c r="D148" s="102" t="str">
        <v>Anaerobic digestion</v>
      </c>
      <c r="E148" s="103" t="str">
        <v>Sludge</v>
      </c>
      <c r="F148" s="105"/>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850</v>
      </c>
      <c r="J148" s="25" t="s">
        <v>560</v>
      </c>
      <c r="K148" s="25" t="s">
        <v>560</v>
      </c>
    </row>
    <row r="149" spans="4:11" ht="20.100000000000001" customHeight="1" x14ac:dyDescent="0.25">
      <c r="D149" s="102" t="str">
        <v>Anaerobic digestion</v>
      </c>
      <c r="E149" s="103" t="str">
        <v>Paper and cardboard</v>
      </c>
      <c r="F149" s="105"/>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850</v>
      </c>
      <c r="J149" s="25" t="s">
        <v>560</v>
      </c>
      <c r="K149" s="25" t="s">
        <v>560</v>
      </c>
    </row>
    <row r="150" spans="4:11" ht="20.100000000000001" customHeight="1" x14ac:dyDescent="0.25"/>
    <row r="151" spans="4:11" ht="20.100000000000001" customHeight="1" x14ac:dyDescent="0.25">
      <c r="D151" s="114" t="s">
        <v>851</v>
      </c>
      <c r="E151" s="115">
        <f>SUM(K116:K149)</f>
        <v>438.82805000000002</v>
      </c>
      <c r="F151" s="116" t="str">
        <f>$E$103</f>
        <v>t CO2e</v>
      </c>
    </row>
    <row r="152" spans="4:11" ht="20.100000000000001" customHeight="1" x14ac:dyDescent="0.25"/>
    <row r="153" spans="4:11" ht="20.100000000000001" customHeight="1" x14ac:dyDescent="0.25"/>
    <row r="154" spans="4:11" ht="20.100000000000001" customHeight="1" x14ac:dyDescent="0.25">
      <c r="D154" s="109" t="s">
        <v>852</v>
      </c>
    </row>
    <row r="155" spans="4:11" ht="20.100000000000001" customHeight="1" x14ac:dyDescent="0.25">
      <c r="D155" s="110" t="s">
        <v>853</v>
      </c>
    </row>
    <row r="156" spans="4:11" ht="20.100000000000001" customHeight="1" x14ac:dyDescent="0.25">
      <c r="D156" s="112" t="s">
        <v>837</v>
      </c>
      <c r="E156" s="112" t="s">
        <v>838</v>
      </c>
      <c r="F156" s="112"/>
      <c r="G156" s="112" t="s">
        <v>846</v>
      </c>
      <c r="H156" s="111" t="s">
        <v>847</v>
      </c>
      <c r="I156" s="111" t="s">
        <v>841</v>
      </c>
      <c r="J156" s="111" t="s">
        <v>848</v>
      </c>
      <c r="K156" s="111" t="s">
        <v>849</v>
      </c>
    </row>
    <row r="157" spans="4:11" ht="20.100000000000001" customHeight="1" x14ac:dyDescent="0.25">
      <c r="D157" s="102" t="str" cm="1">
        <f t="array" ref="D157:D190">Table_SourceData_WasteSolid_WasteTreatmentEFs[Treatment type t]</f>
        <v>Landfill</v>
      </c>
      <c r="E157" s="103" t="str" cm="1">
        <f t="array" ref="E157:E190">Table_SourceData_WasteSolid_WasteTreatmentEFs[Waste type w]</f>
        <v>Food waste (including animal carcasses, spoiled animal feed or crop)</v>
      </c>
      <c r="F157" s="16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2" t="str">
        <v>Landfill</v>
      </c>
      <c r="E158" s="103" t="str">
        <v>Paper and cardboard</v>
      </c>
      <c r="F158" s="16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2" t="str">
        <v>Landfill</v>
      </c>
      <c r="E159" s="103" t="str">
        <v>Green waste (including crop residues or prunings)</v>
      </c>
      <c r="F159" s="16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2" t="str">
        <v>Landfill</v>
      </c>
      <c r="E160" s="103" t="str">
        <v>Wood</v>
      </c>
      <c r="F160" s="16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2" t="str">
        <v>Landfill</v>
      </c>
      <c r="E161" s="103" t="str">
        <v>Textiles</v>
      </c>
      <c r="F161" s="16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2" t="str">
        <v>Landfill</v>
      </c>
      <c r="E162" s="103" t="str">
        <v>Sludge</v>
      </c>
      <c r="F162" s="16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2" t="str">
        <v>Landfill</v>
      </c>
      <c r="E163" s="103" t="str">
        <v>Rubber and leather</v>
      </c>
      <c r="F163" s="16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2" t="str">
        <v>Landfill</v>
      </c>
      <c r="E164" s="103" t="str">
        <v>Inert waste (including concrete, metal, plastic or glass)</v>
      </c>
      <c r="F164" s="16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2" t="str">
        <v>Landfill</v>
      </c>
      <c r="E165" s="103" t="str">
        <v>Municipal solid waste</v>
      </c>
      <c r="F165" s="16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2" t="str">
        <v>Landfill</v>
      </c>
      <c r="E166" s="103" t="str">
        <v>Commercial and industrial waste</v>
      </c>
      <c r="F166" s="16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2" t="str">
        <v>Landfill</v>
      </c>
      <c r="E167" s="103" t="str">
        <v>Construction and demolition waste</v>
      </c>
      <c r="F167" s="16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2" t="str">
        <v>Incineration</v>
      </c>
      <c r="E168" s="103" t="str">
        <v>Food waste, green waste, wood, sludge</v>
      </c>
      <c r="F168" s="167"/>
      <c r="G168" s="25" t="s">
        <v>560</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2" t="str">
        <v>Incineration</v>
      </c>
      <c r="E169" s="103" t="str">
        <v>Food waste (including animal carcasses, spoiled animal feed or crop)</v>
      </c>
      <c r="F169" s="16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850</v>
      </c>
      <c r="J169" s="25" t="s">
        <v>560</v>
      </c>
      <c r="K169" s="25" t="s">
        <v>560</v>
      </c>
    </row>
    <row r="170" spans="4:11" ht="20.100000000000001" customHeight="1" x14ac:dyDescent="0.25">
      <c r="D170" s="102" t="str">
        <v>Incineration</v>
      </c>
      <c r="E170" s="103" t="str">
        <v>Green waste (including crop residues or prunings)</v>
      </c>
      <c r="F170" s="16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850</v>
      </c>
      <c r="J170" s="25" t="s">
        <v>560</v>
      </c>
      <c r="K170" s="25" t="s">
        <v>560</v>
      </c>
    </row>
    <row r="171" spans="4:11" ht="20.100000000000001" customHeight="1" x14ac:dyDescent="0.25">
      <c r="D171" s="102" t="str">
        <v>Incineration</v>
      </c>
      <c r="E171" s="103" t="str">
        <v>Wood</v>
      </c>
      <c r="F171" s="16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850</v>
      </c>
      <c r="J171" s="25" t="s">
        <v>560</v>
      </c>
      <c r="K171" s="25" t="s">
        <v>560</v>
      </c>
    </row>
    <row r="172" spans="4:11" ht="20.100000000000001" customHeight="1" x14ac:dyDescent="0.25">
      <c r="D172" s="102" t="str">
        <v>Incineration</v>
      </c>
      <c r="E172" s="103" t="str">
        <v>Sludge</v>
      </c>
      <c r="F172" s="16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850</v>
      </c>
      <c r="J172" s="25" t="s">
        <v>560</v>
      </c>
      <c r="K172" s="25" t="s">
        <v>560</v>
      </c>
    </row>
    <row r="173" spans="4:11" ht="20.100000000000001" customHeight="1" x14ac:dyDescent="0.25">
      <c r="D173" s="102" t="str">
        <v>Incineration</v>
      </c>
      <c r="E173" s="103" t="str">
        <v>Paper and cardboard</v>
      </c>
      <c r="F173" s="16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2" t="str">
        <v>Incineration</v>
      </c>
      <c r="E174" s="103" t="str">
        <v>Textiles</v>
      </c>
      <c r="F174" s="16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2" t="str">
        <v>Incineration</v>
      </c>
      <c r="E175" s="103" t="str">
        <v>Rubber and leather</v>
      </c>
      <c r="F175" s="16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2" t="str">
        <v>Incineration</v>
      </c>
      <c r="E176" s="103" t="str">
        <v>Inert waste (including concrete, metal, plastic or glass)</v>
      </c>
      <c r="F176" s="16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2" t="str">
        <v>Incineration</v>
      </c>
      <c r="E177" s="103" t="str">
        <v>Municipal solid waste</v>
      </c>
      <c r="F177" s="105"/>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2" t="str">
        <v>Incineration</v>
      </c>
      <c r="E178" s="103" t="str">
        <v>Commercial and industrial waste</v>
      </c>
      <c r="F178" s="105"/>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2" t="str">
        <v>Composting</v>
      </c>
      <c r="E179" s="103" t="str">
        <v>All organic waste</v>
      </c>
      <c r="F179" s="105"/>
      <c r="G179" s="25" t="s">
        <v>560</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2" t="str">
        <v>Composting</v>
      </c>
      <c r="E180" s="103" t="str">
        <v>Food waste (including animal carcasses, spoiled animal feed or crop)</v>
      </c>
      <c r="F180" s="105"/>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850</v>
      </c>
      <c r="J180" s="25" t="s">
        <v>560</v>
      </c>
      <c r="K180" s="25" t="s">
        <v>560</v>
      </c>
    </row>
    <row r="181" spans="4:11" ht="20.100000000000001" customHeight="1" x14ac:dyDescent="0.25">
      <c r="D181" s="102" t="str">
        <v>Composting</v>
      </c>
      <c r="E181" s="103" t="str">
        <v>Green waste (including crop residues or prunings)</v>
      </c>
      <c r="F181" s="105"/>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850</v>
      </c>
      <c r="J181" s="25" t="s">
        <v>560</v>
      </c>
      <c r="K181" s="25" t="s">
        <v>560</v>
      </c>
    </row>
    <row r="182" spans="4:11" ht="20.100000000000001" customHeight="1" x14ac:dyDescent="0.25">
      <c r="D182" s="102" t="str">
        <v>Composting</v>
      </c>
      <c r="E182" s="103" t="str">
        <v>Wood</v>
      </c>
      <c r="F182" s="105"/>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850</v>
      </c>
      <c r="J182" s="25" t="s">
        <v>560</v>
      </c>
      <c r="K182" s="25" t="s">
        <v>560</v>
      </c>
    </row>
    <row r="183" spans="4:11" ht="20.100000000000001" customHeight="1" x14ac:dyDescent="0.25">
      <c r="D183" s="102" t="str">
        <v>Composting</v>
      </c>
      <c r="E183" s="103" t="str">
        <v>Sludge</v>
      </c>
      <c r="F183" s="105"/>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850</v>
      </c>
      <c r="J183" s="25" t="s">
        <v>560</v>
      </c>
      <c r="K183" s="25" t="s">
        <v>560</v>
      </c>
    </row>
    <row r="184" spans="4:11" ht="20.100000000000001" customHeight="1" x14ac:dyDescent="0.25">
      <c r="D184" s="102" t="str">
        <v>Composting</v>
      </c>
      <c r="E184" s="103" t="str">
        <v>Paper and cardboard</v>
      </c>
      <c r="F184" s="105"/>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850</v>
      </c>
      <c r="J184" s="25" t="s">
        <v>560</v>
      </c>
      <c r="K184" s="25" t="s">
        <v>560</v>
      </c>
    </row>
    <row r="185" spans="4:11" ht="20.100000000000001" customHeight="1" x14ac:dyDescent="0.25">
      <c r="D185" s="102" t="str">
        <v>Anaerobic digestion</v>
      </c>
      <c r="E185" s="103" t="str">
        <v>All organic waste</v>
      </c>
      <c r="F185" s="105"/>
      <c r="G185" s="25" t="s">
        <v>560</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2" t="str">
        <v>Anaerobic digestion</v>
      </c>
      <c r="E186" s="103" t="str">
        <v>Food waste (including animal carcasses, spoiled animal feed or crop)</v>
      </c>
      <c r="F186" s="105"/>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850</v>
      </c>
      <c r="J186" s="25" t="s">
        <v>560</v>
      </c>
      <c r="K186" s="25" t="s">
        <v>560</v>
      </c>
    </row>
    <row r="187" spans="4:11" ht="20.100000000000001" customHeight="1" x14ac:dyDescent="0.25">
      <c r="D187" s="102" t="str">
        <v>Anaerobic digestion</v>
      </c>
      <c r="E187" s="103" t="str">
        <v>Green waste (including crop residues or prunings)</v>
      </c>
      <c r="F187" s="105"/>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850</v>
      </c>
      <c r="J187" s="25" t="s">
        <v>560</v>
      </c>
      <c r="K187" s="25" t="s">
        <v>560</v>
      </c>
    </row>
    <row r="188" spans="4:11" ht="20.100000000000001" customHeight="1" x14ac:dyDescent="0.25">
      <c r="D188" s="102" t="str">
        <v>Anaerobic digestion</v>
      </c>
      <c r="E188" s="103" t="str">
        <v>Wood</v>
      </c>
      <c r="F188" s="105"/>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850</v>
      </c>
      <c r="J188" s="25" t="s">
        <v>560</v>
      </c>
      <c r="K188" s="25" t="s">
        <v>560</v>
      </c>
    </row>
    <row r="189" spans="4:11" ht="20.100000000000001" customHeight="1" x14ac:dyDescent="0.25">
      <c r="D189" s="102" t="str">
        <v>Anaerobic digestion</v>
      </c>
      <c r="E189" s="103" t="str">
        <v>Sludge</v>
      </c>
      <c r="F189" s="105"/>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850</v>
      </c>
      <c r="J189" s="25" t="s">
        <v>560</v>
      </c>
      <c r="K189" s="25" t="s">
        <v>560</v>
      </c>
    </row>
    <row r="190" spans="4:11" ht="20.100000000000001" customHeight="1" x14ac:dyDescent="0.25">
      <c r="D190" s="102" t="str">
        <v>Anaerobic digestion</v>
      </c>
      <c r="E190" s="103" t="str">
        <v>Paper and cardboard</v>
      </c>
      <c r="F190" s="105"/>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850</v>
      </c>
      <c r="J190" s="25" t="s">
        <v>560</v>
      </c>
      <c r="K190" s="25" t="s">
        <v>560</v>
      </c>
    </row>
    <row r="191" spans="4:11" ht="20.100000000000001" customHeight="1" x14ac:dyDescent="0.25"/>
    <row r="192" spans="4:11" ht="20.100000000000001" customHeight="1" x14ac:dyDescent="0.25">
      <c r="D192" s="114" t="s">
        <v>851</v>
      </c>
      <c r="E192" s="115">
        <f>SUM(K157:K190)</f>
        <v>441.15000000000003</v>
      </c>
      <c r="F192" s="116"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7242A9CF-8152-43FA-A50D-FCB6C473068D}"/>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2BEC0-36C4-4815-A0C5-347AF892DA6E}">
  <sheetPr>
    <tabColor theme="2" tint="-0.499984740745262"/>
  </sheetPr>
  <dimension ref="A1:AI165"/>
  <sheetViews>
    <sheetView showGridLines="0" topLeftCell="A2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855</v>
      </c>
      <c r="K15" s="1" t="s">
        <v>856</v>
      </c>
      <c r="M15" s="1" t="s">
        <v>857</v>
      </c>
      <c r="O15" s="1" t="s">
        <v>858</v>
      </c>
    </row>
    <row r="16" spans="1:35" ht="20.100000000000001" customHeight="1" x14ac:dyDescent="0.25">
      <c r="A16" s="5" t="str">
        <f>HYPERLINK("#'Input - Fert Prod System'!A1", "Fert Prod System")</f>
        <v>Fert Prod System</v>
      </c>
      <c r="D16" s="30" t="s">
        <v>859</v>
      </c>
      <c r="E16" s="30" t="s">
        <v>860</v>
      </c>
      <c r="F16" s="30" t="s">
        <v>861</v>
      </c>
      <c r="G16" s="30" t="s">
        <v>862</v>
      </c>
      <c r="I16" s="30" t="s">
        <v>860</v>
      </c>
      <c r="K16" s="236" t="s">
        <v>860</v>
      </c>
      <c r="M16" s="236" t="s">
        <v>860</v>
      </c>
      <c r="O16" s="236" t="s">
        <v>860</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HYPERLINK("#'3.2.1.1-2 Enteric Methane'!A1", "3.2.1.1-2 Enteric methane")</f>
        <v>3.2.1.1-2 Enteric methane</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HYPERLINK("#'4.2.1.1-2 Methane'!A1", "4.2.1.1-2 Manure methane")</f>
        <v>4.2.1.1-2 Manure methane</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HYPERLINK("#'4.2.1.3-4 Soil direct N20'!A1", "4.2.1.3-4 Soil direct N2O")</f>
        <v>4.2.1.3-4 Soil direct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HYPERLINK("#'4.2.1.5-6 Soil Atmos Dep'!A1", "4.2.1.5-6 Soil atm. deposition")</f>
        <v>4.2.1.5-6 Soil atm. deposition</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HYPERLINK("#'4.2.1.7-8 Soil leach runoff'!A1", "4.2.1.7-8 Soil leach &amp; runoff")</f>
        <v>4.2.1.7-8 Soil leach &amp; runoff</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HYPERLINK("#'5.1.1.1-2 Inorganic fert N2O'!A1", "5.1.1.1-2 Inorganic fert N2O")</f>
        <v>5.1.1.1-2 Inorganic fert N2O</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HYPERLINK("#'5.1.1.3-4 Inorganic fert CO2'!A1", "5.1.1.3-4 Inorganic fert CO2")</f>
        <v>5.1.1.3-4 Inorganic fert CO2</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HYPERLINK("#'5.2.1.1-2 Organic Fert N2O'!A1", "5.2.1.1-2 Organic fert N2O")</f>
        <v>5.2.1.1-2 Organic fert N2O</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HYPERLINK("#'5.3.1.1-2 Lime CO2'!A1", "5.3.1.1-2 Lime CO2")</f>
        <v>5.3.1.1-2 Lime CO2</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HYPERLINK("#'5.4.1.1-4 Atmos deposition'!A1", "5.4.1.1-4 Atmos. deposition")</f>
        <v>5.4.1.1-4 Atmos. deposition</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HYPERLINK("#'5.5.1.1-2 Leaching and runoff'!A1", "5.5.1.1-2 Leaching &amp; runoff")</f>
        <v>5.5.1.1-2 Leaching &amp; runoff</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37"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HYPERLINK("#'6.2.1.1-2 Pasture residue N2O'!A1", "6.2.1.1-2 Pasture residue N2O")</f>
        <v>6.2.1.1-2 Pasture residue N2O</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37"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HYPERLINK("#'6.3.1.1-2 Leach runoff pasture'!A1", "6.3.1.1-2 Leach &amp; runoff (pasture)")</f>
        <v>6.3.1.1-2 Leach &amp; runoff (pasture)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37"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HYPERLINK("#'8.1.1.1-2 Transport fuel'!A1", "8.1.1.1-2 Transport fuel")</f>
        <v>8.1.1.1-2 Transport fuel</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37"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HYPERLINK("#'8.2.1.1-2 Stationary fuel'!A1", "8.2.1.1-2 Stationary fuel")</f>
        <v>8.2.1.1-2 Stationary fuel</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37"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HYPERLINK("#'14.1.1-2 Purchased electricity'!A1", "14.1.1-2 Purchased electricity")</f>
        <v>14.1.1-2 Purchased electricity</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37"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HYPERLINK("#'15 Scope 3'!A1", "15 Scope 3")</f>
        <v>15 Scope 3</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37"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HYPERLINK("#'Calcs - Manure sent off-site'!A1", "Calcs - Manure sent off-site")</f>
        <v>Calcs - Manure sent off-site</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37"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HYPERLINK("#'10.1.1-2 Solid waste treatment'!A1", "10.1.1-2 Solid waste treatment")</f>
        <v>10.1.1-2 Solid waste treatment</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37"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37"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37"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96" t="s">
        <v>1</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3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Pasture Beef'!A1", "Constants - Pasture Beef")</f>
        <v>Constants - Pasture Beef</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3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Ag Residue'!A1", "Constants - Ag residue")</f>
        <v>Constants - Ag residue</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3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2" t="str" cm="1">
        <f t="array" ref="D52">WasteSolid_SourceData.Waste_WasteVolumeToMassConversion_Title()</f>
        <v>Volume to mass conversion factor for various waste types</v>
      </c>
    </row>
    <row r="53" spans="1:7" ht="20.100000000000001" customHeight="1" x14ac:dyDescent="0.25">
      <c r="A53" s="5" t="str">
        <f>HYPERLINK("#'Constants - Fertiliser'!A1", "Constants - Fertiliser")</f>
        <v>Constants - Fertiliser</v>
      </c>
      <c r="D53" s="27" t="str" cm="1">
        <f t="array" ref="D53">WasteSolid_SourceData.Waste_WasteVolumeToMassConversion_Source()</f>
        <v>VEERG 2026: Table A.4.1.2</v>
      </c>
    </row>
    <row r="54" spans="1:7" ht="20.100000000000001" customHeight="1" x14ac:dyDescent="0.25">
      <c r="A54" s="5" t="str">
        <f>HYPERLINK("#'Constants - Fuel'!A1", "Constants - Fuel")</f>
        <v>Constants - Fuel</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Scope 3'!A1", "Constants - Scope 3")</f>
        <v>Constants - Scope 3</v>
      </c>
      <c r="D55" s="1" t="str" cm="1">
        <f t="array" ref="D55">WasteSolid_SourceData.Waste_WasteVolumeToMassConversion_Variable()</f>
        <v>VTMw</v>
      </c>
    </row>
    <row r="56" spans="1:7" ht="20.100000000000001" customHeight="1" x14ac:dyDescent="0.25">
      <c r="A56" s="5" t="str">
        <f>HYPERLINK("#'Constants - Common'!A1", "Constants - Common")</f>
        <v>Constants - Common</v>
      </c>
      <c r="D56" s="15" t="str" cm="1">
        <f t="array" ref="D56">WasteSolid_SourceData.Waste_WasteVolumeToMassConversion_Unit()</f>
        <v>t/m3</v>
      </c>
    </row>
    <row r="57" spans="1:7" ht="20.100000000000001" customHeight="1" x14ac:dyDescent="0.25">
      <c r="A57" s="5" t="str">
        <f>HYPERLINK("#'Acknowledgements'!A1", "Acknowledgements")</f>
        <v>Acknowledgements</v>
      </c>
      <c r="D57" s="30" t="s">
        <v>860</v>
      </c>
      <c r="E57" s="30" t="s">
        <v>863</v>
      </c>
    </row>
    <row r="58" spans="1:7" ht="20.100000000000001" customHeight="1" x14ac:dyDescent="0.25">
      <c r="A58" s="121" t="str">
        <f>HYPERLINK("#'Constants - Solid Waste'!A1", "Constants - Solid Waste")</f>
        <v>Constants - Solid Waste</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F708-8DE8-4C32-85A0-C7990B2F9D42}">
  <dimension ref="A1:AV58"/>
  <sheetViews>
    <sheetView showGridLines="0" tabSelected="1" workbookViewId="0" zoomScale="100" zoomScaleNormal="100">
      <selection activeCell="A57" sqref="A57"/>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1199</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0" t="s">
        <v>1200</v>
      </c>
      <c r="E5" s="54"/>
      <c r="F5" s="54"/>
      <c r="G5" s="54"/>
      <c r="H5" s="54"/>
      <c r="I5" s="54"/>
      <c r="J5" s="54"/>
      <c r="K5" s="54"/>
      <c r="L5" s="54"/>
      <c r="M5" s="54"/>
      <c r="N5" s="54"/>
      <c r="O5" s="55"/>
    </row>
    <row r="6" spans="1:42" ht="20.100000000000001" customHeight="1" x14ac:dyDescent="0.25">
      <c r="D6" s="272" t="s">
        <v>1201</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Farm Inputs'!A1", "Farm Inputs")</f>
        <v>Farm Inputs</v>
      </c>
    </row>
    <row r="21" spans="1:1" ht="20.100000000000001" customHeight="1" x14ac:dyDescent="0.25">
      <c r="A21" s="5" t="str">
        <f>HYPERLINK("#'Input - Freight'!A1", "Freight")</f>
        <v>Freight</v>
      </c>
    </row>
    <row r="22" spans="1:1" ht="20.100000000000001" customHeight="1" x14ac:dyDescent="0.25">
      <c r="A22" s="5" t="str">
        <f>HYPERLINK("#'Input - Manure sent off-site'!A1", "Manure sent off-site")</f>
        <v>Manure sent off-site</v>
      </c>
    </row>
    <row r="23" spans="1:1" ht="20.100000000000001" customHeight="1" x14ac:dyDescent="0.25">
      <c r="A23" s="5" t="str">
        <f>HYPERLINK("#'Input - Solid waste'!A1", "Solid waste")</f>
        <v>Solid waste</v>
      </c>
    </row>
    <row r="24" spans="1:1" ht="20.100000000000001" customHeight="1" x14ac:dyDescent="0.25"/>
    <row r="25" spans="1:1" ht="20.100000000000001" customHeight="1" x14ac:dyDescent="0.25"/>
    <row r="26" spans="1:1" ht="20.100000000000001" customHeight="1" x14ac:dyDescent="0.25">
      <c r="A26" s="6" t="s">
        <v>2</v>
      </c>
    </row>
    <row r="27" spans="1:1" ht="20.100000000000001" customHeight="1" x14ac:dyDescent="0.25">
      <c r="A27" s="5" t="str">
        <f>HYPERLINK("#'3.2.1.1-2 Enteric Methane'!A1", "3.2.1.1-2 Enteric methane")</f>
        <v>3.2.1.1-2 Enteric methane</v>
      </c>
    </row>
    <row r="28" spans="1:1" ht="20.100000000000001" customHeight="1" x14ac:dyDescent="0.25">
      <c r="A28" s="5" t="str">
        <f>HYPERLINK("#'4.2.1.1-2 Methane'!A1", "4.2.1.1-2 Manure methane")</f>
        <v>4.2.1.1-2 Manure methane</v>
      </c>
    </row>
    <row r="29" spans="1:1" ht="20.100000000000001" customHeight="1" x14ac:dyDescent="0.25">
      <c r="A29" s="5" t="str">
        <f>HYPERLINK("#'4.2.1.3-4 Soil direct N20'!A1", "4.2.1.3-4 Soil direct N2O")</f>
        <v>4.2.1.3-4 Soil direct N2O</v>
      </c>
    </row>
    <row r="30" spans="1:1" ht="20.100000000000001" customHeight="1" x14ac:dyDescent="0.25">
      <c r="A30" s="5" t="str">
        <f>HYPERLINK("#'4.2.1.5-6 Soil Atmos Dep'!A1", "4.2.1.5-6 Soil atm. deposition")</f>
        <v>4.2.1.5-6 Soil atm. deposition</v>
      </c>
    </row>
    <row r="31" spans="1:1" ht="20.100000000000001" customHeight="1" x14ac:dyDescent="0.25">
      <c r="A31" s="5" t="str">
        <f>HYPERLINK("#'4.2.1.7-8 Soil leach runoff'!A1", "4.2.1.7-8 Soil leach &amp; runoff")</f>
        <v>4.2.1.7-8 Soil leach &amp; runoff</v>
      </c>
    </row>
    <row r="32" spans="1:1" ht="20.100000000000001" customHeight="1" x14ac:dyDescent="0.25">
      <c r="A32" s="5" t="str">
        <f>HYPERLINK("#'5.1.1.1-2 Inorganic fert N2O'!A1", "5.1.1.1-2 Inorganic fert N2O")</f>
        <v>5.1.1.1-2 Inorganic fert N2O</v>
      </c>
    </row>
    <row r="33" spans="1:48" ht="20.100000000000001" customHeight="1" x14ac:dyDescent="0.25">
      <c r="A33" s="5" t="str">
        <f>HYPERLINK("#'5.1.1.3-4 Inorganic fert CO2'!A1", "5.1.1.3-4 Inorganic fert CO2")</f>
        <v>5.1.1.3-4 Inorganic fert CO2</v>
      </c>
    </row>
    <row r="34" spans="1:48" ht="20.100000000000001" customHeight="1" x14ac:dyDescent="0.25">
      <c r="A34" s="5" t="str">
        <f>HYPERLINK("#'5.2.1.1-2 Organic Fert N2O'!A1", "5.2.1.1-2 Organic fert N2O")</f>
        <v>5.2.1.1-2 Organic fert N2O</v>
      </c>
    </row>
    <row r="35" spans="1:48" ht="20.100000000000001" customHeight="1" x14ac:dyDescent="0.25">
      <c r="A35" s="5" t="str">
        <f>HYPERLINK("#'5.3.1.1-2 Lime CO2'!A1", "5.3.1.1-2 Lime CO2")</f>
        <v>5.3.1.1-2 Lime CO2</v>
      </c>
    </row>
    <row r="36" spans="1:48" ht="20.100000000000001" customHeight="1" x14ac:dyDescent="0.25">
      <c r="A36" s="5" t="str">
        <f>HYPERLINK("#'5.4.1.1-4 Atmos deposition'!A1", "5.4.1.1-4 Atmos. deposition")</f>
        <v>5.4.1.1-4 Atmos. deposition</v>
      </c>
    </row>
    <row r="37" spans="1:48" ht="20.100000000000001" customHeight="1" x14ac:dyDescent="0.25">
      <c r="A37" s="5" t="str">
        <f>HYPERLINK("#'5.5.1.1-2 Leaching and runoff'!A1", "5.5.1.1-2 Leaching &amp; runoff")</f>
        <v>5.5.1.1-2 Leaching &amp; runoff</v>
      </c>
      <c r="L37" s="1" t="s">
        <v>1202</v>
      </c>
    </row>
    <row r="38" spans="1:48" ht="20.100000000000001" customHeight="1" x14ac:dyDescent="0.25">
      <c r="A38" s="5" t="str">
        <f>HYPERLINK("#'6.2.1.1-2 Pasture residue N2O'!A1", "6.2.1.1-2 Pasture residue N2O")</f>
        <v>6.2.1.1-2 Pasture residue N2O</v>
      </c>
    </row>
    <row r="39" spans="1:48" ht="20.100000000000001" customHeight="1" x14ac:dyDescent="0.25">
      <c r="A39" s="5" t="str">
        <f>HYPERLINK("#'6.3.1.1-2 Leach runoff pasture'!A1", "6.3.1.1-2 Leach &amp; runoff (pasture)")</f>
        <v>6.3.1.1-2 Leach &amp; runoff (pasture)</v>
      </c>
    </row>
    <row r="40" spans="1:48" ht="20.100000000000001" customHeight="1" x14ac:dyDescent="0.25">
      <c r="A40" s="5" t="str">
        <f>HYPERLINK("#'8.1.1.1-2 Transport fuel'!A1", "8.1.1.1-2 Transport fuel")</f>
        <v>8.1.1.1-2 Transport fuel</v>
      </c>
    </row>
    <row r="41" spans="1:48" ht="20.100000000000001" customHeight="1" x14ac:dyDescent="0.25">
      <c r="A41" s="5" t="str">
        <f>HYPERLINK("#'8.2.1.1-2 Stationary fuel'!A1", "8.2.1.1-2 Stationary fuel")</f>
        <v>8.2.1.1-2 Stationary fuel</v>
      </c>
    </row>
    <row r="42" spans="1:48" ht="20.100000000000001" customHeight="1" x14ac:dyDescent="0.25">
      <c r="A42" s="5" t="str">
        <f>HYPERLINK("#'14.1.1-2 Purchased electricity'!A1", "14.1.1-2 Purchased electricity")</f>
        <v>14.1.1-2 Purchased electricity</v>
      </c>
    </row>
    <row r="43" spans="1:48" x14ac:dyDescent="0.25">
      <c r="A43" s="5" t="str">
        <f>HYPERLINK("#'15 Scope 3'!A1", "15 Scope 3")</f>
        <v>15 Scope 3</v>
      </c>
    </row>
    <row r="44" spans="1:48" x14ac:dyDescent="0.25">
      <c r="A44" s="5" t="str">
        <f>HYPERLINK("#'Calcs - Manure sent off-site'!A1", "Calcs - Manure sent off-site")</f>
        <v>Calcs - Manure sent off-site</v>
      </c>
    </row>
    <row r="45" spans="1:48" x14ac:dyDescent="0.25">
      <c r="A45" s="5" t="str">
        <f>HYPERLINK("#'10.1.1-2 Solid waste treatment'!A1", "10.1.1-2 Solid waste treatment")</f>
        <v>10.1.1-2 Solid waste treatment</v>
      </c>
      <c r="AV45" t="s">
        <v>1203</v>
      </c>
    </row>
    <row r="48" spans="1:48"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417</vt:i4>
      </vt:variant>
    </vt:vector>
  </HeadingPairs>
  <TitlesOfParts>
    <vt:vector size="464"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X_Cell_PastureBeef_CalculatedMMSAnaerobicLagoon</vt:lpstr>
      <vt:lpstr>X_Cell_PastureBeef_CalculatedMMSPastureRangeAndPaddock</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2026-07-31T03:57:38Z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