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69D2B73-E9C5-48BC-A437-CD123B63AB3B}" xr6:coauthVersionLast="47" xr6:coauthVersionMax="47" xr10:uidLastSave="{00000000-0000-0000-0000-000000000000}"/>
  <bookViews>
    <workbookView xWindow="3120" yWindow="3120" windowWidth="28800" windowHeight="15345" firstSheet="46" activeTab="50" xr2:uid="{992023F3-CAB7-4E5B-A348-08D563A0EF40}"/>
  </bookViews>
  <sheets>
    <sheet name="Home" sheetId="71" r:id="rId1"/>
    <sheet name="Results" sheetId="13" r:id="rId2"/>
    <sheet name="Input - Enterprise" sheetId="72" r:id="rId3"/>
    <sheet name="Input - Site" sheetId="75" r:id="rId4"/>
    <sheet name="Input - Dairy" sheetId="78" r:id="rId5"/>
    <sheet name="Input - Dairy (Enteric)" sheetId="8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7"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4.3.1.1-2 Methane" sheetId="79" r:id="rId40"/>
    <sheet name="4.3.1.3-4 Direct N20" sheetId="80" r:id="rId41"/>
    <sheet name="4.3.1.5 Atmos deposition" sheetId="81" r:id="rId42"/>
    <sheet name="4.3.1.6-7 Leaching and runoff" sheetId="82" r:id="rId43"/>
    <sheet name="4.3.1.8 Manure applied to soils" sheetId="83" r:id="rId44"/>
    <sheet name="4.3.1.9 Soil direct N2O" sheetId="84" r:id="rId45"/>
    <sheet name="4.3.1.10-11 Soil Atmos Dep" sheetId="85" r:id="rId46"/>
    <sheet name="4.3.1.12-13 Soil leach runoff" sheetId="86" r:id="rId47"/>
    <sheet name="3.3.1.1-2 Enteric Methane"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Dairy (Enteric)'!CommonLivestock_InputFunctions.LivestockMovement_ProportionalAverageLiveweightAddedDuringMonth(_xlpm.Month, _xlpm.LivestockClass, _xlpm.HeadAtStart) + 'Input - Dairy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Dairy (Enteric)'!CommonLivestock_InputFunctions.LivestockMovement_LiveweightGrownDuringMonthPerHead(_xlpm.LivestockClass,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Dairy (Enteric)'!CommonLivestock_InputFunctions.LivestockMovement_LiveweightGrownDuringMonthPerHead(_xlpm.LivestockClass,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Dairy (Enteric)'!CommonLivestock_InputFunctions.LivestockMovement_HeadRemainingAtMonthEnd(_xlpm.Month, _xlpm.LivestockClass, _xlpm.HeadAtStartOfMonth) * 'Input - Dairy (Enteric)'!CommonLivestock_InputFunctions.LivestockMovement_LiveweightGrownFromMonthStartPerHead(_xlpm.LivestockClass,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Dairy (Enteric)'!CommonLivestock_InputFunctions.LivestockMovement_LiveweightGrownDuringMonthPerHead(_xlpm.LivestockClass,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Dairy (Enteric)'!CommonLivestock_InputFunctions.LivestockMovement_ProportionHeadAddedDuringMonth(_xlpm.Month, _xlpm.LivestockClass, _xlpm.HeadAtStart) * 'Input - Dairy (Enteric)'!CommonLivestock_InputFunctions.LivestockMovement_AverageLiveweightAddedDuringMonth(_xlpm.Month,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Dairy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Dairy (Enteric)'!CommonLivestock_InputFunctions.LivestockMovement_HeadAtEndOfMonth(_xlpm.HeadAtStart,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Dairy (Enteric)'!CommonLivestock_InputFunctions.LivestockMovement_HeadRemainingAtMonthEnd(_xlpm.Month, _xlpm.LivestockClass, _xlpm.HeadAtStart) / 'Input - Dairy (Enteric)'!CommonLivestock_InputFunctions.LivestockMovement_HeadAtEndOfMonth(_xlpm.HeadAtStart,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Dairy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7">'3.3.1.1-2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7">'3.3.1.1-2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7">'3.3.1.1-2 Enteric Methane'!$D$114:$H$115</definedName>
    <definedName name="M1_Table_I_j">'4.3.1.1-2 Methane'!$D$113:$H$114</definedName>
    <definedName name="M1_Table_I_j_Consumer_1">'4.3.1.3-4 Direct N20'!$D$49:$H$50</definedName>
    <definedName name="M1_Table_I_j_k_l">#REF!</definedName>
    <definedName name="M1_Table_L_j">'4.3.1.3-4 Direct N20'!$D$64:$H$65</definedName>
    <definedName name="M1_Table_LWG_j" localSheetId="47">'3.3.1.1-2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A_j_k45">#REF!</definedName>
    <definedName name="M1_Table_MI_j" localSheetId="47">'3.3.1.1-2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7">'3.3.1.1-2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7">'3.3.1.1-2 Enteric Methane'!$D$44:$H$45</definedName>
    <definedName name="M1_Table_MS_j">'4.3.1.1-2 Methane'!$D$44:$H$45</definedName>
    <definedName name="M1_Table_NE_j">'4.3.1.3-4 Direct N20'!$D$145:$H$146</definedName>
    <definedName name="M1_Table_NR_j">'4.3.1.3-4 Direct N20'!$D$102:$H$103</definedName>
    <definedName name="M1_Table_qm_j" localSheetId="47">'3.3.1.1-2 Enteric Methane'!$D$23:$H$24</definedName>
    <definedName name="M1_Table_qm_j">'4.3.1.1-2 Methane'!$D$23:$H$24</definedName>
    <definedName name="M1_Table_SS_m">'4.3.1.1-2 Methane'!$D$161:$F$168</definedName>
    <definedName name="M1_Table_VS_j">'4.3.1.1-2 Methane'!$D$132:$H$133</definedName>
    <definedName name="M1_Table_VS_j_k_l">#REF!</definedName>
    <definedName name="M1_Table_W_j" localSheetId="47">'3.3.1.1-2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7">'3.3.1.1-2 Enteric Methane'!$M$164:$Q$165</definedName>
    <definedName name="M2_Table_D_j">'4.3.1.1-2 Methane'!$O$274:$S$275</definedName>
    <definedName name="M2_Table_D_j124">'4.3.1.3-4 Direct N20'!$N$170:$R$171</definedName>
    <definedName name="M2_Table_DMD_j" localSheetId="47">'3.3.1.1-2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7">'3.3.1.1-2 Enteric Methane'!$M$114:$Q$115</definedName>
    <definedName name="M2_Table_I_j">'4.3.1.1-2 Methane'!$O$113:$S$114</definedName>
    <definedName name="M2_Table_I_j_Consumer_1">'4.3.1.3-4 Direct N20'!$N$49:$R$50</definedName>
    <definedName name="M2_Table_I_j_k_l">#REF!</definedName>
    <definedName name="M2_Table_L_j">'4.3.1.3-4 Direct N20'!$N$64:$R$65</definedName>
    <definedName name="M2_Table_LWG_j" localSheetId="47">'3.3.1.1-2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7">'3.3.1.1-2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7">'3.3.1.1-2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7">'3.3.1.1-2 Enteric Methane'!$M$23:$Q$24</definedName>
    <definedName name="M2_Table_qm_j">'4.3.1.1-2 Methane'!$O$23:$S$24</definedName>
    <definedName name="M2_Table_SS_m">'4.3.1.1-2 Methane'!$O$161:$Q$168</definedName>
    <definedName name="M2_Table_VS_j">'4.3.1.1-2 Methane'!$O$132:$S$133</definedName>
    <definedName name="M2_Table_W_j" localSheetId="47">'3.3.1.1-2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7">'Constants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7">'Constants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7">'3.3.1.1-2 Enteric Methane'!$D$74:$H$75</definedName>
    <definedName name="Table_MP_j">'4.3.1.3-4 Direct N20'!$D$92:$H$93</definedName>
    <definedName name="Table_MP_j_Consumer_1">'4.3.1.1-2 Methane'!$D$73:$H$74</definedName>
    <definedName name="Table_MPW_manure_j35">'4.3.1.1-2 Methane'!$D$279:$H$280</definedName>
    <definedName name="Table_MR_j" localSheetId="47">'3.3.1.1-2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7">'3.3.1.1-2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20" l="1"/>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89"/>
  <c r="G160" i="89"/>
  <c r="F160" i="89"/>
  <c r="E160" i="89"/>
  <c r="D160" i="89"/>
  <c r="E51" i="84"/>
  <c r="P162" i="79"/>
  <c r="D9" i="87"/>
  <c r="O230" i="79" s="1"/>
  <c r="F627" i="116" a="1"/>
  <c r="F627" i="116" s="1"/>
  <c r="E627" i="116" a="1"/>
  <c r="E627" i="116" s="1"/>
  <c r="D627" i="116" a="1"/>
  <c r="D627" i="116" s="1"/>
  <c r="F609" i="116" a="1"/>
  <c r="F609" i="116" s="1"/>
  <c r="E609" i="116" a="1"/>
  <c r="E609" i="116" s="1"/>
  <c r="D609" i="116" a="1"/>
  <c r="D609" i="116" s="1"/>
  <c r="F490" i="116" a="1"/>
  <c r="F490" i="116" s="1"/>
  <c r="E490" i="116" a="1"/>
  <c r="E490" i="116" s="1"/>
  <c r="D490" i="116" a="1"/>
  <c r="D490" i="116" s="1"/>
  <c r="F448" i="116" a="1"/>
  <c r="F448" i="116" s="1"/>
  <c r="J448" i="116" s="1" a="1"/>
  <c r="J448" i="116" s="1"/>
  <c r="E448" i="116" a="1"/>
  <c r="E448" i="116" s="1"/>
  <c r="D448" i="116" a="1"/>
  <c r="D448" i="116" s="1"/>
  <c r="F430" i="116" a="1"/>
  <c r="F430" i="116" s="1"/>
  <c r="E430" i="116" a="1"/>
  <c r="E430" i="116" s="1"/>
  <c r="D430" i="116" a="1"/>
  <c r="D430" i="116" s="1"/>
  <c r="F399" i="116" a="1"/>
  <c r="F399" i="116" s="1"/>
  <c r="E399" i="116" a="1"/>
  <c r="E399" i="116" s="1"/>
  <c r="D399" i="116" a="1"/>
  <c r="D399" i="116" s="1"/>
  <c r="E367" i="116" a="1"/>
  <c r="E367" i="116" s="1"/>
  <c r="D367" i="116" a="1"/>
  <c r="D367" i="116" s="1"/>
  <c r="G336" i="116" a="1"/>
  <c r="G336" i="116" s="1"/>
  <c r="F336" i="116" a="1"/>
  <c r="F336" i="116" s="1"/>
  <c r="K336" i="116" s="1" a="1"/>
  <c r="K336" i="116" s="1"/>
  <c r="E336" i="116" a="1"/>
  <c r="E336" i="116" s="1"/>
  <c r="D336" i="116" a="1"/>
  <c r="D336" i="116" s="1"/>
  <c r="D305" i="116" a="1"/>
  <c r="D305" i="116" s="1"/>
  <c r="AD237" i="116" a="1"/>
  <c r="AD237" i="116" s="1"/>
  <c r="AC237" i="116" a="1"/>
  <c r="AC237" i="116" s="1"/>
  <c r="Z237" i="116" a="1"/>
  <c r="Z237" i="116" s="1"/>
  <c r="Y237" i="116" a="1"/>
  <c r="Y237" i="116" s="1"/>
  <c r="V237" i="116" a="1"/>
  <c r="V237" i="116" s="1"/>
  <c r="U237" i="116" a="1"/>
  <c r="R237" i="116" a="1"/>
  <c r="R237" i="116" s="1"/>
  <c r="Q237" i="116" a="1"/>
  <c r="Q237" i="116" s="1"/>
  <c r="D237" i="116" a="1"/>
  <c r="D237" i="116" s="1"/>
  <c r="D221" i="116" a="1"/>
  <c r="D221" i="116" s="1"/>
  <c r="AA119" i="116" a="1"/>
  <c r="AA119" i="116" s="1"/>
  <c r="Z119" i="116" a="1"/>
  <c r="Z119" i="116" s="1"/>
  <c r="Y119" i="116" a="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I119" i="116" s="1" a="1"/>
  <c r="I119" i="116" s="1"/>
  <c r="D119" i="116" a="1"/>
  <c r="D119" i="116" s="1"/>
  <c r="H42" i="116" a="1"/>
  <c r="H42" i="116" s="1"/>
  <c r="E42" i="116" a="1"/>
  <c r="E42" i="116" s="1"/>
  <c r="D42" i="116" a="1"/>
  <c r="D42" i="116" s="1"/>
  <c r="D32" i="103"/>
  <c r="D25" i="103"/>
  <c r="M39" i="102" a="1"/>
  <c r="M39" i="102" s="1"/>
  <c r="F39" i="102"/>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c r="H10" i="112" a="1"/>
  <c r="H10" i="112" s="1"/>
  <c r="D108" i="78"/>
  <c r="F27" i="119" a="1"/>
  <c r="F27" i="119" s="1"/>
  <c r="E27" i="119" a="1"/>
  <c r="E27" i="119" s="1"/>
  <c r="E28" i="86"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c r="E11" i="87" s="1"/>
  <c r="F15" i="119" a="1"/>
  <c r="E15" i="119" a="1"/>
  <c r="E15" i="119" s="1"/>
  <c r="D11" i="87" s="1"/>
  <c r="D15" i="119" a="1"/>
  <c r="D15" i="119" s="1"/>
  <c r="F14" i="119" a="1"/>
  <c r="F14" i="119" s="1"/>
  <c r="E10" i="87" s="1"/>
  <c r="E14" i="119" a="1"/>
  <c r="E14" i="119" s="1"/>
  <c r="D10" i="87" s="1"/>
  <c r="O231" i="79" s="1"/>
  <c r="D14" i="119" a="1"/>
  <c r="D14" i="119" s="1"/>
  <c r="F13" i="119" a="1"/>
  <c r="F13" i="119" s="1"/>
  <c r="E9" i="87" s="1"/>
  <c r="E13" i="119" a="1"/>
  <c r="E13" i="119" s="1"/>
  <c r="D13" i="119" a="1"/>
  <c r="D13" i="119" s="1"/>
  <c r="F12" i="119" a="1"/>
  <c r="F12" i="119" s="1"/>
  <c r="E12" i="119" a="1"/>
  <c r="E12" i="119" s="1"/>
  <c r="D12" i="119" a="1"/>
  <c r="D12" i="119" s="1"/>
  <c r="F11" i="119" a="1"/>
  <c r="F11" i="119" s="1"/>
  <c r="E11" i="119" a="1"/>
  <c r="E11" i="119" s="1"/>
  <c r="D11" i="119" a="1"/>
  <c r="D11" i="119" s="1"/>
  <c r="F10" i="119" a="1"/>
  <c r="F10" i="119" s="1"/>
  <c r="E8" i="87" s="1"/>
  <c r="E10" i="119" a="1"/>
  <c r="E10" i="119" s="1"/>
  <c r="D8" i="87" s="1"/>
  <c r="D103" i="78" s="1"/>
  <c r="E242" i="7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E300" i="116" s="1" a="1"/>
  <c r="E300" i="116" s="1"/>
  <c r="D236" i="118" a="1"/>
  <c r="D236" i="118" s="1"/>
  <c r="I235" i="118" a="1"/>
  <c r="I235" i="118" s="1"/>
  <c r="H235" i="118" a="1"/>
  <c r="H235" i="118" s="1"/>
  <c r="G235" i="118" a="1"/>
  <c r="G235" i="118" s="1"/>
  <c r="F235" i="118" a="1"/>
  <c r="F235" i="118" s="1"/>
  <c r="E235" i="118" a="1"/>
  <c r="E235" i="118" s="1"/>
  <c r="E302" i="116" s="1" a="1"/>
  <c r="E302" i="116"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6" i="116" s="1" a="1"/>
  <c r="G376" i="116" s="1"/>
  <c r="D213" i="118" a="1"/>
  <c r="D213" i="118" s="1"/>
  <c r="I209" i="118" a="1"/>
  <c r="I209" i="118" s="1"/>
  <c r="H209" i="118" a="1"/>
  <c r="H209" i="118" s="1"/>
  <c r="G209" i="118" a="1"/>
  <c r="G209" i="118" s="1"/>
  <c r="F209" i="118" a="1"/>
  <c r="F209" i="118" s="1"/>
  <c r="E209" i="118" a="1"/>
  <c r="E209" i="118" s="1"/>
  <c r="D125" i="113" s="1"/>
  <c r="D470" i="116" s="1"/>
  <c r="F470" i="116" s="1" a="1"/>
  <c r="F470" i="116" s="1"/>
  <c r="D209" i="118" a="1"/>
  <c r="D209" i="118" s="1"/>
  <c r="I208" i="118" a="1"/>
  <c r="I208" i="118" s="1"/>
  <c r="H208" i="118" a="1"/>
  <c r="H208" i="118" s="1"/>
  <c r="G208" i="118" a="1"/>
  <c r="G208" i="118" s="1"/>
  <c r="F208" i="118" a="1"/>
  <c r="F208" i="118" s="1"/>
  <c r="E208" i="118" a="1"/>
  <c r="E208" i="118" s="1"/>
  <c r="D124" i="113" s="1"/>
  <c r="D469" i="116" s="1"/>
  <c r="F469" i="116" s="1" a="1"/>
  <c r="F469" i="116" s="1"/>
  <c r="D208" i="118" a="1"/>
  <c r="D208" i="118" s="1"/>
  <c r="I207" i="118" a="1"/>
  <c r="I207" i="118" s="1"/>
  <c r="H207" i="118" a="1"/>
  <c r="H207" i="118" s="1"/>
  <c r="G207" i="118" a="1"/>
  <c r="G207" i="118" s="1"/>
  <c r="F207" i="118" a="1"/>
  <c r="F207" i="118" s="1"/>
  <c r="E207" i="118" a="1"/>
  <c r="E207" i="118" s="1"/>
  <c r="D123" i="113" s="1"/>
  <c r="D468" i="116" s="1"/>
  <c r="F468" i="116" s="1" a="1"/>
  <c r="F468" i="116" s="1"/>
  <c r="D207" i="118" a="1"/>
  <c r="D207" i="118" s="1"/>
  <c r="I206" i="118" a="1"/>
  <c r="I206" i="118" s="1"/>
  <c r="H206" i="118" a="1"/>
  <c r="H206" i="118" s="1"/>
  <c r="G206" i="118" a="1"/>
  <c r="G206" i="118" s="1"/>
  <c r="F206" i="118" a="1"/>
  <c r="F206" i="118" s="1"/>
  <c r="E206" i="118" a="1"/>
  <c r="E206" i="118" s="1"/>
  <c r="D130" i="113" s="1"/>
  <c r="D481" i="116" s="1"/>
  <c r="F481" i="116" s="1" a="1"/>
  <c r="F481" i="116" s="1"/>
  <c r="D206" i="118" a="1"/>
  <c r="D206" i="118" s="1"/>
  <c r="I205" i="118" a="1"/>
  <c r="I205" i="118" s="1"/>
  <c r="H205" i="118" a="1"/>
  <c r="H205" i="118" s="1"/>
  <c r="G205" i="118" a="1"/>
  <c r="G205" i="118" s="1"/>
  <c r="F205" i="118" a="1"/>
  <c r="F205" i="118" s="1"/>
  <c r="E205" i="118" a="1"/>
  <c r="E205" i="118" s="1"/>
  <c r="D122" i="113" s="1"/>
  <c r="D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F480" i="116" s="1" a="1"/>
  <c r="F480" i="116" s="1"/>
  <c r="D203" i="118" a="1"/>
  <c r="D203" i="118" s="1"/>
  <c r="I202" i="118" a="1"/>
  <c r="I202" i="118" s="1"/>
  <c r="H202" i="118" a="1"/>
  <c r="H202" i="118" s="1"/>
  <c r="G202" i="118" a="1"/>
  <c r="G202" i="118" s="1"/>
  <c r="F202" i="118" a="1"/>
  <c r="F202" i="118" s="1"/>
  <c r="E202" i="118" a="1"/>
  <c r="E202" i="118" s="1"/>
  <c r="D128" i="113" s="1"/>
  <c r="D479" i="116" s="1"/>
  <c r="F479" i="116" s="1" a="1"/>
  <c r="F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6" i="116" s="1" a="1"/>
  <c r="P126"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7" i="116" s="1" a="1"/>
  <c r="G457"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36" i="116" s="1" a="1"/>
  <c r="G436" i="116"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E39" i="116" s="1" a="1"/>
  <c r="E39" i="116" s="1"/>
  <c r="J50" i="116" s="1" a="1"/>
  <c r="J50" i="116" s="1"/>
  <c r="D34" i="118" a="1"/>
  <c r="D34" i="118" s="1"/>
  <c r="R85" i="117" a="1"/>
  <c r="R85" i="117" s="1"/>
  <c r="N85" i="117" a="1"/>
  <c r="N85" i="117" s="1"/>
  <c r="H85" i="117" a="1"/>
  <c r="H85" i="117" s="1"/>
  <c r="D85" i="117" a="1"/>
  <c r="D85" i="117" s="1"/>
  <c r="O83" i="117" a="1"/>
  <c r="O83" i="117" s="1"/>
  <c r="E83" i="117" a="1"/>
  <c r="E83" i="117" s="1"/>
  <c r="P90"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F74"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c r="N41" i="117" a="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P19" i="117" s="1"/>
  <c r="O10" i="117" a="1"/>
  <c r="O10" i="117" s="1"/>
  <c r="E10" i="117" a="1"/>
  <c r="E10" i="117" s="1"/>
  <c r="N6" i="117" a="1"/>
  <c r="N6" i="117" s="1"/>
  <c r="D6" i="117" a="1"/>
  <c r="D6" i="117" s="1"/>
  <c r="N5" i="117" a="1"/>
  <c r="N5" i="117" s="1"/>
  <c r="D5" i="117" a="1"/>
  <c r="D5" i="117" s="1"/>
  <c r="J636" i="116" a="1"/>
  <c r="J636" i="116" s="1"/>
  <c r="J634" i="116" a="1"/>
  <c r="J634" i="116" s="1"/>
  <c r="J633" i="116" a="1"/>
  <c r="J633" i="116" s="1"/>
  <c r="J630" i="116" a="1"/>
  <c r="J630" i="116" s="1"/>
  <c r="J629" i="116" a="1"/>
  <c r="J629" i="116" s="1"/>
  <c r="J618" i="116" a="1"/>
  <c r="J618" i="116" s="1"/>
  <c r="J617" i="116" a="1"/>
  <c r="J617" i="116" s="1"/>
  <c r="J616" i="116" a="1"/>
  <c r="J616" i="116" s="1"/>
  <c r="J613" i="116" a="1"/>
  <c r="J613" i="116" s="1"/>
  <c r="J612" i="116"/>
  <c r="J612" i="116" a="1"/>
  <c r="J611" i="116" a="1"/>
  <c r="J611"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c r="D539" i="116" a="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8" i="116" a="1"/>
  <c r="K498" i="116" s="1"/>
  <c r="K497" i="116" a="1"/>
  <c r="K497" i="116" s="1"/>
  <c r="K495" i="116" a="1"/>
  <c r="K495" i="116" s="1"/>
  <c r="K494" i="116" a="1"/>
  <c r="K494" i="116" s="1"/>
  <c r="K491" i="116" a="1"/>
  <c r="K491"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0" i="116" a="1"/>
  <c r="J450" i="116" s="1"/>
  <c r="J432" i="116" a="1"/>
  <c r="J432" i="116" s="1"/>
  <c r="J431" i="116" a="1"/>
  <c r="J431" i="116" s="1"/>
  <c r="G424" i="116" a="1"/>
  <c r="G424" i="116" s="1"/>
  <c r="D424" i="116" a="1"/>
  <c r="D424" i="116" s="1"/>
  <c r="E422" i="116" a="1"/>
  <c r="E422" i="116" s="1"/>
  <c r="E421" i="116" a="1"/>
  <c r="E421" i="116" s="1"/>
  <c r="D416" i="116" a="1"/>
  <c r="D416" i="116" s="1"/>
  <c r="D415" i="116" a="1"/>
  <c r="D415" i="116" s="1"/>
  <c r="J408" i="116" a="1"/>
  <c r="J408" i="116" s="1"/>
  <c r="K406" i="116"/>
  <c r="J406" i="116" a="1"/>
  <c r="J406" i="116" s="1"/>
  <c r="J404" i="116" a="1"/>
  <c r="J404" i="116" s="1"/>
  <c r="J403" i="116" a="1"/>
  <c r="J403" i="116" s="1"/>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K345" i="116" a="1"/>
  <c r="K345" i="116" s="1"/>
  <c r="L342" i="116"/>
  <c r="K342" i="116" a="1"/>
  <c r="K342" i="116" s="1"/>
  <c r="K341" i="116" a="1"/>
  <c r="K341" i="116" s="1"/>
  <c r="L340" i="116"/>
  <c r="K340" i="116" a="1"/>
  <c r="K340" i="116" s="1"/>
  <c r="L339" i="116"/>
  <c r="K339" i="116" a="1"/>
  <c r="K339" i="116" s="1"/>
  <c r="K338" i="116" a="1"/>
  <c r="K338" i="116" s="1"/>
  <c r="L343" i="116"/>
  <c r="K337" i="116" a="1"/>
  <c r="K337" i="116" s="1"/>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P237" i="116" a="1"/>
  <c r="P237" i="116" s="1"/>
  <c r="O237" i="116" a="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I121" i="116" a="1"/>
  <c r="I121" i="116" s="1"/>
  <c r="G106" i="116" a="1"/>
  <c r="G106" i="116" s="1"/>
  <c r="D106" i="116" a="1"/>
  <c r="D106" i="116" s="1"/>
  <c r="E104" i="116" a="1"/>
  <c r="E104" i="116" s="1"/>
  <c r="E103" i="116" a="1"/>
  <c r="E103" i="116" s="1"/>
  <c r="D99" i="116" a="1"/>
  <c r="D99" i="116" s="1"/>
  <c r="D98" i="116" a="1"/>
  <c r="D98" i="116" s="1"/>
  <c r="J79" i="116" a="1"/>
  <c r="J79" i="116" s="1"/>
  <c r="G13" i="116" a="1"/>
  <c r="G13" i="116" s="1"/>
  <c r="D13" i="116" a="1"/>
  <c r="D13" i="116" s="1"/>
  <c r="E11" i="116" a="1"/>
  <c r="E11" i="116" s="1"/>
  <c r="E10" i="116" a="1"/>
  <c r="E10" i="116" s="1"/>
  <c r="D6" i="116" a="1"/>
  <c r="D6" i="116" s="1"/>
  <c r="D5" i="116" a="1"/>
  <c r="D5" i="116" s="1"/>
  <c r="H102" i="113"/>
  <c r="H101" i="113"/>
  <c r="H100" i="113"/>
  <c r="H99" i="113"/>
  <c r="H98" i="113"/>
  <c r="H97" i="113"/>
  <c r="H96" i="113"/>
  <c r="H95" i="113"/>
  <c r="H94" i="113"/>
  <c r="H93" i="113"/>
  <c r="H20" i="113"/>
  <c r="L20" i="113" s="1"/>
  <c r="H19" i="113"/>
  <c r="R19" i="113" s="1"/>
  <c r="H18" i="113"/>
  <c r="R18" i="113" s="1"/>
  <c r="H17" i="113"/>
  <c r="O17" i="113" s="1"/>
  <c r="R16" i="113"/>
  <c r="O16" i="113"/>
  <c r="H16" i="113"/>
  <c r="L16" i="113" s="1"/>
  <c r="H15" i="113"/>
  <c r="L15" i="113" s="1"/>
  <c r="R14" i="113"/>
  <c r="O14" i="113"/>
  <c r="L14" i="113"/>
  <c r="H14" i="113"/>
  <c r="H13" i="113"/>
  <c r="R13" i="113" s="1"/>
  <c r="H12" i="113"/>
  <c r="L12" i="113" s="1"/>
  <c r="R11" i="113"/>
  <c r="O11" i="113"/>
  <c r="H11" i="113"/>
  <c r="L11" i="113" s="1"/>
  <c r="Q9" i="113" a="1"/>
  <c r="Q9" i="113" s="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M40" i="103" s="1" a="1"/>
  <c r="M40" i="103" s="1"/>
  <c r="G138" i="104"/>
  <c r="F32" i="102" s="1"/>
  <c r="E138" i="104"/>
  <c r="F39" i="103" s="1"/>
  <c r="G137" i="104"/>
  <c r="F31" i="102" s="1"/>
  <c r="E137" i="104"/>
  <c r="F38" i="103" s="1"/>
  <c r="D137" i="104"/>
  <c r="F31" i="103" s="1"/>
  <c r="G136" i="104"/>
  <c r="F30" i="102" s="1"/>
  <c r="E136" i="104"/>
  <c r="F37" i="103" s="1"/>
  <c r="M37" i="103" s="1" a="1"/>
  <c r="M37" i="103" s="1"/>
  <c r="D136" i="104"/>
  <c r="F30" i="103" s="1"/>
  <c r="G135" i="104"/>
  <c r="F29" i="102" s="1"/>
  <c r="E135" i="104"/>
  <c r="F36" i="103" s="1"/>
  <c r="M36" i="103" s="1" a="1"/>
  <c r="M36" i="103" s="1"/>
  <c r="D135" i="104"/>
  <c r="F29" i="103" s="1"/>
  <c r="G134" i="104"/>
  <c r="F28" i="102" s="1"/>
  <c r="E134" i="104"/>
  <c r="F35" i="103" s="1"/>
  <c r="D134" i="104"/>
  <c r="F28" i="103" s="1"/>
  <c r="G133" i="104"/>
  <c r="F27" i="102" s="1"/>
  <c r="F133" i="104"/>
  <c r="F36" i="102" s="1"/>
  <c r="E133" i="104"/>
  <c r="F34" i="103" s="1"/>
  <c r="D133" i="104"/>
  <c r="F27" i="103" s="1"/>
  <c r="I132" i="104"/>
  <c r="F38" i="102" s="1"/>
  <c r="M38" i="102" s="1" a="1"/>
  <c r="M38" i="102" s="1"/>
  <c r="G132" i="104"/>
  <c r="F26" i="102" s="1"/>
  <c r="M26" i="102" s="1" a="1"/>
  <c r="M26" i="102" s="1"/>
  <c r="F132" i="104"/>
  <c r="F35" i="102" s="1"/>
  <c r="E132" i="104"/>
  <c r="F33" i="103" s="1"/>
  <c r="D132" i="104"/>
  <c r="F26" i="103" s="1"/>
  <c r="M26" i="103" s="1" a="1"/>
  <c r="M26" i="103" s="1"/>
  <c r="I131" i="104"/>
  <c r="F37" i="102" s="1"/>
  <c r="H131" i="104"/>
  <c r="F33" i="102" s="1"/>
  <c r="G131" i="104"/>
  <c r="F25" i="102" s="1"/>
  <c r="F131" i="104"/>
  <c r="F34" i="102" s="1"/>
  <c r="E131" i="104"/>
  <c r="F32" i="103" s="1"/>
  <c r="D131" i="104"/>
  <c r="F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K74" i="104" a="1"/>
  <c r="K74" i="104" s="1"/>
  <c r="J74" i="104" a="1"/>
  <c r="J74" i="104" s="1"/>
  <c r="I74" i="104" a="1"/>
  <c r="I74" i="104" s="1"/>
  <c r="H74" i="104" a="1"/>
  <c r="H74" i="104" s="1"/>
  <c r="G74" i="104" a="1"/>
  <c r="G74" i="104" s="1"/>
  <c r="F74" i="104" a="1"/>
  <c r="F74" i="104" s="1"/>
  <c r="E74" i="104" a="1"/>
  <c r="E74" i="104" s="1"/>
  <c r="D74" i="104" a="1"/>
  <c r="D74" i="104" s="1"/>
  <c r="E36" i="103" s="1"/>
  <c r="K73" i="104" a="1"/>
  <c r="K73" i="104" s="1"/>
  <c r="J73" i="104" a="1"/>
  <c r="J73" i="104" s="1"/>
  <c r="I73" i="104" a="1"/>
  <c r="I73" i="104" s="1"/>
  <c r="H73" i="104" a="1"/>
  <c r="H73" i="104" s="1"/>
  <c r="G73" i="104" a="1"/>
  <c r="G73" i="104" s="1"/>
  <c r="F73" i="104" a="1"/>
  <c r="F73" i="104" s="1"/>
  <c r="E73" i="104" a="1"/>
  <c r="E73" i="104" s="1"/>
  <c r="D73" i="104" a="1"/>
  <c r="D73" i="104" s="1"/>
  <c r="E28" i="103"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34" i="103" s="1"/>
  <c r="I34"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E33" i="103" s="1"/>
  <c r="J33" i="103"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E25" i="103"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E33" i="102" s="1"/>
  <c r="D11" i="104" a="1"/>
  <c r="D11" i="104" s="1"/>
  <c r="L10" i="104" a="1"/>
  <c r="L10" i="104" s="1"/>
  <c r="K10" i="104" a="1"/>
  <c r="K10" i="104" s="1"/>
  <c r="J10" i="104" a="1"/>
  <c r="J10" i="104" s="1"/>
  <c r="I10" i="104" a="1"/>
  <c r="I10" i="104" s="1"/>
  <c r="H10" i="104" a="1"/>
  <c r="H10" i="104" s="1"/>
  <c r="G10" i="104" a="1"/>
  <c r="G10" i="104" s="1"/>
  <c r="F10" i="104" a="1"/>
  <c r="F10" i="104" s="1"/>
  <c r="E10" i="104" a="1"/>
  <c r="E10" i="104" s="1"/>
  <c r="D10" i="104" a="1"/>
  <c r="D10" i="104" s="1"/>
  <c r="D8" i="104" a="1"/>
  <c r="D8" i="104" s="1"/>
  <c r="D7" i="104" a="1"/>
  <c r="D7" i="104" s="1"/>
  <c r="D6" i="104" a="1"/>
  <c r="D6" i="104" s="1"/>
  <c r="D5" i="104" a="1"/>
  <c r="D5" i="104" s="1"/>
  <c r="D36" i="103"/>
  <c r="D29" i="103"/>
  <c r="P18" i="103"/>
  <c r="P17" i="103"/>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38" i="102"/>
  <c r="D60" i="102"/>
  <c r="D35" i="102"/>
  <c r="D48" i="102"/>
  <c r="D30"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5" i="99" s="1" a="1"/>
  <c r="I15" i="99" s="1"/>
  <c r="I14" i="99"/>
  <c r="G14" i="99" a="1"/>
  <c r="G14" i="99" s="1"/>
  <c r="D14" i="99" a="1"/>
  <c r="D14" i="99" s="1"/>
  <c r="E12" i="99" a="1"/>
  <c r="E12" i="99" s="1"/>
  <c r="F18" i="99" s="1"/>
  <c r="E11" i="99" a="1"/>
  <c r="E11" i="99" s="1"/>
  <c r="D7" i="99" a="1"/>
  <c r="D7" i="99" s="1"/>
  <c r="D6" i="99" a="1"/>
  <c r="D6" i="99" s="1"/>
  <c r="D5" i="99" a="1"/>
  <c r="D5" i="99" s="1"/>
  <c r="H48" i="98"/>
  <c r="E48" i="98"/>
  <c r="H47" i="98"/>
  <c r="E47" i="98"/>
  <c r="H46" i="98"/>
  <c r="E46" i="98"/>
  <c r="H39" i="98"/>
  <c r="H38" i="98"/>
  <c r="H37" i="98"/>
  <c r="E30" i="98"/>
  <c r="I37" i="98" s="1"/>
  <c r="E29"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H197" i="118"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F79"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I23" i="93" a="1"/>
  <c r="I23" i="93"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T54" i="91"/>
  <c r="U54" i="91" s="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A275" i="89"/>
  <c r="A217" i="89"/>
  <c r="O187" i="89" a="1"/>
  <c r="O187" i="89" s="1"/>
  <c r="F187" i="89" a="1"/>
  <c r="F187" i="89" s="1"/>
  <c r="M184" i="89" a="1"/>
  <c r="M184" i="89" s="1"/>
  <c r="D184" i="89" a="1"/>
  <c r="D184" i="89" s="1"/>
  <c r="A178" i="89"/>
  <c r="I155" i="89" a="1"/>
  <c r="I155" i="89" s="1"/>
  <c r="I154" i="89" a="1"/>
  <c r="I154" i="89" s="1"/>
  <c r="I153" i="89" a="1"/>
  <c r="I153" i="89" s="1"/>
  <c r="I152" i="89" a="1"/>
  <c r="I152" i="89" s="1"/>
  <c r="I151" i="89" a="1"/>
  <c r="I151" i="89" s="1"/>
  <c r="I150" i="89" a="1"/>
  <c r="I150" i="89" s="1"/>
  <c r="I149" i="89" a="1"/>
  <c r="I149" i="89" s="1"/>
  <c r="I148" i="89" a="1"/>
  <c r="I148" i="89" s="1"/>
  <c r="G148" i="89" a="1"/>
  <c r="F175" i="89" s="1"/>
  <c r="D148" i="89" a="1"/>
  <c r="D148" i="89" s="1"/>
  <c r="E146" i="89" a="1"/>
  <c r="E146" i="89" s="1"/>
  <c r="E145" i="89" a="1"/>
  <c r="E145" i="89" s="1"/>
  <c r="D138" i="89" a="1"/>
  <c r="D138" i="89" s="1"/>
  <c r="D137" i="89" a="1"/>
  <c r="D137" i="89" s="1"/>
  <c r="D136" i="89" a="1"/>
  <c r="D136" i="89" s="1"/>
  <c r="H127" i="89" a="1"/>
  <c r="H127" i="89" s="1"/>
  <c r="D127" i="89" a="1"/>
  <c r="D127" i="89" s="1"/>
  <c r="E125" i="89" a="1"/>
  <c r="E125" i="89" s="1"/>
  <c r="I132" i="89" s="1"/>
  <c r="E124" i="89" a="1"/>
  <c r="E124" i="89" s="1"/>
  <c r="D120" i="89" a="1"/>
  <c r="D120" i="89" s="1"/>
  <c r="D119" i="89" a="1"/>
  <c r="D119" i="89" s="1"/>
  <c r="I95" i="89" a="1"/>
  <c r="I95" i="89" s="1"/>
  <c r="I94" i="89" a="1"/>
  <c r="I94" i="89" s="1"/>
  <c r="I93" i="89" a="1"/>
  <c r="I93" i="89" s="1"/>
  <c r="I92" i="89" a="1"/>
  <c r="I92" i="89" s="1"/>
  <c r="G92" i="89" a="1"/>
  <c r="G92" i="89" s="1"/>
  <c r="D92" i="89" a="1"/>
  <c r="D92" i="89" s="1"/>
  <c r="E90" i="89" a="1"/>
  <c r="E90" i="89" s="1"/>
  <c r="E89" i="89" a="1"/>
  <c r="E89" i="89" s="1"/>
  <c r="D85" i="89" a="1"/>
  <c r="D85" i="89" s="1"/>
  <c r="D84" i="89" a="1"/>
  <c r="D84" i="89" s="1"/>
  <c r="I70" i="89" a="1"/>
  <c r="I70" i="89" s="1"/>
  <c r="I68" i="89"/>
  <c r="I67" i="89"/>
  <c r="I66" i="89" a="1"/>
  <c r="I66" i="89" s="1"/>
  <c r="I65" i="89" a="1"/>
  <c r="I65" i="89" s="1"/>
  <c r="I64" i="89"/>
  <c r="D75" i="89" s="1"/>
  <c r="G64" i="89" a="1"/>
  <c r="G64" i="89" s="1"/>
  <c r="D64" i="89" a="1"/>
  <c r="D64" i="89" s="1"/>
  <c r="E62" i="89" a="1"/>
  <c r="E62" i="89" s="1"/>
  <c r="E61" i="89" a="1"/>
  <c r="E61" i="89" s="1"/>
  <c r="D56" i="89" a="1"/>
  <c r="D56" i="89" s="1"/>
  <c r="D55" i="89" a="1"/>
  <c r="D55" i="89" s="1"/>
  <c r="D54" i="89" a="1"/>
  <c r="D54" i="89" s="1"/>
  <c r="I40" i="89"/>
  <c r="I38" i="89" a="1"/>
  <c r="I38" i="89" s="1"/>
  <c r="P37" i="89" a="1"/>
  <c r="P37" i="89" s="1"/>
  <c r="M37" i="89" a="1"/>
  <c r="M37" i="89" s="1"/>
  <c r="I37" i="89"/>
  <c r="D45" i="89" s="1"/>
  <c r="G37" i="89" a="1"/>
  <c r="G37" i="89" s="1"/>
  <c r="D37" i="89" a="1"/>
  <c r="D37" i="89" s="1"/>
  <c r="E35" i="89" a="1"/>
  <c r="E35" i="89" s="1"/>
  <c r="E34" i="89" a="1"/>
  <c r="E34" i="89" s="1"/>
  <c r="D30" i="89" a="1"/>
  <c r="D30" i="89" s="1"/>
  <c r="D29" i="89" a="1"/>
  <c r="D29" i="89" s="1"/>
  <c r="D28" i="89" a="1"/>
  <c r="D28" i="89" s="1"/>
  <c r="Q19" i="89"/>
  <c r="Q24" i="89" s="1" a="1"/>
  <c r="Q24" i="89" s="1"/>
  <c r="I14" i="89"/>
  <c r="G14" i="89" a="1"/>
  <c r="G14" i="89" s="1"/>
  <c r="D14" i="89" a="1"/>
  <c r="D14" i="89" s="1"/>
  <c r="E12" i="89" a="1"/>
  <c r="E12" i="89" s="1"/>
  <c r="E11" i="89" a="1"/>
  <c r="E11" i="89" s="1"/>
  <c r="D7" i="89" a="1"/>
  <c r="D7" i="89" s="1"/>
  <c r="D6" i="89" a="1"/>
  <c r="D6" i="89" s="1"/>
  <c r="D5" i="89" a="1"/>
  <c r="D5" i="89" s="1"/>
  <c r="F54" i="88"/>
  <c r="E54" i="88"/>
  <c r="F50" i="88"/>
  <c r="F41" i="88"/>
  <c r="E41" i="88"/>
  <c r="I40" i="88"/>
  <c r="H40" i="88"/>
  <c r="G40" i="88"/>
  <c r="F40" i="88"/>
  <c r="E40" i="88"/>
  <c r="I37" i="88"/>
  <c r="H37" i="88"/>
  <c r="G37" i="88"/>
  <c r="E36" i="88"/>
  <c r="D29" i="88"/>
  <c r="D28" i="88"/>
  <c r="D25" i="88"/>
  <c r="D24" i="88"/>
  <c r="D10" i="88"/>
  <c r="D233" i="87" a="1"/>
  <c r="D233" i="87" s="1"/>
  <c r="E54" i="78" s="1"/>
  <c r="D232" i="87" a="1"/>
  <c r="D232" i="87" s="1"/>
  <c r="D231" i="87" a="1"/>
  <c r="D231" i="87" s="1"/>
  <c r="D230" i="87" a="1"/>
  <c r="D230" i="87" s="1"/>
  <c r="D229" i="87" a="1"/>
  <c r="D229" i="87" s="1"/>
  <c r="D227" i="87" a="1"/>
  <c r="D227" i="87" s="1"/>
  <c r="D226" i="87" a="1"/>
  <c r="D226" i="87" s="1"/>
  <c r="D225" i="87" a="1"/>
  <c r="D225" i="87" s="1"/>
  <c r="D224" i="87" a="1"/>
  <c r="D224" i="87" s="1"/>
  <c r="D223" i="87" a="1"/>
  <c r="D223" i="87" s="1"/>
  <c r="D221" i="87" a="1"/>
  <c r="D221" i="87" s="1"/>
  <c r="I14" i="85" s="1"/>
  <c r="D220" i="87" a="1"/>
  <c r="D220" i="87" s="1"/>
  <c r="D219" i="87" a="1"/>
  <c r="D219" i="87" s="1"/>
  <c r="D218" i="87" a="1"/>
  <c r="D218" i="87" s="1"/>
  <c r="D217" i="87" a="1"/>
  <c r="D217" i="87" s="1"/>
  <c r="D215" i="87" a="1"/>
  <c r="D215" i="87" s="1"/>
  <c r="J15" i="82" s="1"/>
  <c r="A215" i="87"/>
  <c r="D214" i="87" a="1"/>
  <c r="D214" i="87" s="1"/>
  <c r="D213" i="87" a="1"/>
  <c r="D213" i="87" s="1"/>
  <c r="D212" i="87" a="1"/>
  <c r="D212" i="87" s="1"/>
  <c r="D211" i="87" a="1"/>
  <c r="D211" i="87" s="1"/>
  <c r="D209" i="87" a="1"/>
  <c r="D209" i="87" s="1"/>
  <c r="I15" i="86" s="1"/>
  <c r="D208" i="87" a="1"/>
  <c r="D208" i="87" s="1"/>
  <c r="D207" i="87" a="1"/>
  <c r="D207" i="87" s="1"/>
  <c r="D206" i="87" a="1"/>
  <c r="D206" i="87" s="1"/>
  <c r="D205" i="87" a="1"/>
  <c r="D205" i="87" s="1"/>
  <c r="D202" i="87" a="1"/>
  <c r="D202" i="87" s="1"/>
  <c r="I43" i="82" s="1"/>
  <c r="D201" i="87" a="1"/>
  <c r="D201" i="87" s="1"/>
  <c r="D200" i="87" a="1"/>
  <c r="D200" i="87" s="1"/>
  <c r="D199" i="87" a="1"/>
  <c r="D199" i="87" s="1"/>
  <c r="D198" i="87" a="1"/>
  <c r="D198" i="87" s="1"/>
  <c r="D195" i="87" a="1"/>
  <c r="D195" i="87" s="1"/>
  <c r="I221" i="79" s="1"/>
  <c r="D194" i="87" a="1"/>
  <c r="D194" i="87" s="1"/>
  <c r="D193" i="87" a="1"/>
  <c r="D193" i="87" s="1"/>
  <c r="D192" i="87" a="1"/>
  <c r="D192" i="87" s="1"/>
  <c r="D191" i="87" a="1"/>
  <c r="D191" i="87" s="1"/>
  <c r="D188" i="87" a="1"/>
  <c r="D188" i="87" s="1"/>
  <c r="I128" i="79" s="1"/>
  <c r="D187" i="87" a="1"/>
  <c r="D187" i="87" s="1"/>
  <c r="D186" i="87" a="1"/>
  <c r="D186" i="87" s="1"/>
  <c r="D185" i="87" a="1"/>
  <c r="D185" i="87" s="1"/>
  <c r="D184" i="87" a="1"/>
  <c r="D184" i="87" s="1"/>
  <c r="D181" i="87" a="1"/>
  <c r="D181" i="87" s="1"/>
  <c r="I67" i="79" s="1"/>
  <c r="D180" i="87" a="1"/>
  <c r="D180" i="87" s="1"/>
  <c r="D179" i="87" a="1"/>
  <c r="D179" i="87" s="1"/>
  <c r="D178" i="87" a="1"/>
  <c r="D178" i="87" s="1"/>
  <c r="D177" i="87" a="1"/>
  <c r="D177" i="87" s="1"/>
  <c r="D174" i="87" a="1"/>
  <c r="D174" i="87" s="1"/>
  <c r="I66" i="79" s="1"/>
  <c r="A174" i="87"/>
  <c r="D173" i="87" a="1"/>
  <c r="D173" i="87" s="1"/>
  <c r="D172" i="87" a="1"/>
  <c r="D172" i="87" s="1"/>
  <c r="D171" i="87" a="1"/>
  <c r="D171" i="87" s="1"/>
  <c r="D170" i="87" a="1"/>
  <c r="D170" i="87" s="1"/>
  <c r="D167" i="87" a="1"/>
  <c r="D167" i="87" s="1"/>
  <c r="I65" i="79" s="1"/>
  <c r="D166" i="87" a="1"/>
  <c r="D166" i="87" s="1"/>
  <c r="D165" i="87" a="1"/>
  <c r="D165" i="87" s="1"/>
  <c r="D164" i="87" a="1"/>
  <c r="D164" i="87" s="1"/>
  <c r="D163" i="87" a="1"/>
  <c r="D163" i="87" s="1"/>
  <c r="D160" i="87" a="1"/>
  <c r="D160" i="87" s="1"/>
  <c r="I40" i="78" s="1"/>
  <c r="S19" i="79" s="1"/>
  <c r="S24" i="79" s="1" a="1"/>
  <c r="S24" i="79" s="1"/>
  <c r="D159" i="87" a="1"/>
  <c r="D159" i="87" s="1"/>
  <c r="D158" i="87" a="1"/>
  <c r="D158" i="87" s="1"/>
  <c r="D157" i="87" a="1"/>
  <c r="D157" i="87" s="1"/>
  <c r="D156" i="87" a="1"/>
  <c r="D156" i="87" s="1"/>
  <c r="D153" i="87" a="1"/>
  <c r="D153" i="87" s="1"/>
  <c r="F37" i="88" s="1"/>
  <c r="D152" i="87" a="1"/>
  <c r="D152" i="87" s="1"/>
  <c r="D151" i="87" a="1"/>
  <c r="D151" i="87" s="1"/>
  <c r="D150" i="87" a="1"/>
  <c r="D150" i="87" s="1"/>
  <c r="D149" i="87" a="1"/>
  <c r="D149" i="87" s="1"/>
  <c r="F146" i="87" a="1"/>
  <c r="F146" i="87" s="1"/>
  <c r="E146" i="87" a="1"/>
  <c r="E146" i="87" s="1"/>
  <c r="D146" i="87" a="1"/>
  <c r="D146" i="87" s="1"/>
  <c r="F145" i="87" a="1"/>
  <c r="F145" i="87" s="1"/>
  <c r="E145" i="87" a="1"/>
  <c r="E145" i="87" s="1"/>
  <c r="D145" i="87" a="1"/>
  <c r="D145" i="87" s="1"/>
  <c r="F144" i="87" a="1"/>
  <c r="F144" i="87" s="1"/>
  <c r="E144" i="87" a="1"/>
  <c r="E144" i="87" s="1"/>
  <c r="D144" i="87" a="1"/>
  <c r="D144" i="87" s="1"/>
  <c r="F143" i="87" a="1"/>
  <c r="F143" i="87" s="1"/>
  <c r="E143" i="87" a="1"/>
  <c r="E143" i="87" s="1"/>
  <c r="D143" i="87" a="1"/>
  <c r="D143" i="87" s="1"/>
  <c r="F142" i="87" a="1"/>
  <c r="F142" i="87" s="1"/>
  <c r="E142" i="87" a="1"/>
  <c r="E142" i="87" s="1"/>
  <c r="D142" i="87" a="1"/>
  <c r="D142" i="87" s="1"/>
  <c r="D140" i="87" a="1"/>
  <c r="D140" i="87" s="1"/>
  <c r="D139" i="87" a="1"/>
  <c r="D139" i="87" s="1"/>
  <c r="D138" i="87" a="1"/>
  <c r="D138" i="87" s="1"/>
  <c r="D137" i="87" a="1"/>
  <c r="D137" i="87" s="1"/>
  <c r="D136" i="87" a="1"/>
  <c r="D136" i="87" s="1"/>
  <c r="F133" i="87" a="1"/>
  <c r="F133" i="87" s="1"/>
  <c r="E133" i="87" a="1"/>
  <c r="E133" i="87" s="1"/>
  <c r="D133" i="87" a="1"/>
  <c r="D133" i="87" s="1"/>
  <c r="F132" i="87" a="1"/>
  <c r="F132" i="87" s="1"/>
  <c r="E132" i="87" a="1"/>
  <c r="E132" i="87" s="1"/>
  <c r="D132" i="87" a="1"/>
  <c r="D132" i="87" s="1"/>
  <c r="F131" i="87" a="1"/>
  <c r="F131" i="87" s="1"/>
  <c r="E131" i="87" a="1"/>
  <c r="E131" i="87" s="1"/>
  <c r="D131" i="87" a="1"/>
  <c r="D131" i="87" s="1"/>
  <c r="F130" i="87" a="1"/>
  <c r="F130" i="87" s="1"/>
  <c r="E130" i="87" a="1"/>
  <c r="E130" i="87" s="1"/>
  <c r="D130" i="87" a="1"/>
  <c r="D130" i="87" s="1"/>
  <c r="F129" i="87" a="1"/>
  <c r="F129" i="87" s="1"/>
  <c r="E129" i="87" a="1"/>
  <c r="E129" i="87" s="1"/>
  <c r="D129" i="87" a="1"/>
  <c r="D129" i="87" s="1"/>
  <c r="D127" i="87" a="1"/>
  <c r="D127" i="87" s="1"/>
  <c r="D126" i="87" a="1"/>
  <c r="D126" i="87" s="1"/>
  <c r="D125" i="87" a="1"/>
  <c r="D125" i="87" s="1"/>
  <c r="D124" i="87" a="1"/>
  <c r="D124" i="87" s="1"/>
  <c r="D123" i="87" a="1"/>
  <c r="D123" i="87" s="1"/>
  <c r="G120" i="87" a="1"/>
  <c r="G120" i="87" s="1"/>
  <c r="F120" i="87" a="1"/>
  <c r="F120" i="87" s="1"/>
  <c r="E120" i="87" a="1"/>
  <c r="E120" i="87" s="1"/>
  <c r="D120" i="87" a="1"/>
  <c r="D120" i="87" s="1"/>
  <c r="G119" i="87" a="1"/>
  <c r="G119" i="87" s="1"/>
  <c r="F119" i="87" a="1"/>
  <c r="F119" i="87" s="1"/>
  <c r="E119" i="87" a="1"/>
  <c r="E119" i="87" s="1"/>
  <c r="D119" i="87" a="1"/>
  <c r="D119" i="87" s="1"/>
  <c r="G118" i="87" a="1"/>
  <c r="G118" i="87" s="1"/>
  <c r="F118" i="87" a="1"/>
  <c r="F118" i="87" s="1"/>
  <c r="E118" i="87" a="1"/>
  <c r="E118" i="87" s="1"/>
  <c r="D118" i="87" a="1"/>
  <c r="D118" i="87" s="1"/>
  <c r="G117" i="87" a="1"/>
  <c r="G117" i="87" s="1"/>
  <c r="F117" i="87" a="1"/>
  <c r="F117" i="87" s="1"/>
  <c r="E117" i="87" a="1"/>
  <c r="E117" i="87" s="1"/>
  <c r="D117" i="87" a="1"/>
  <c r="D117" i="87" s="1"/>
  <c r="D115" i="87" a="1"/>
  <c r="D115" i="87" s="1"/>
  <c r="D114" i="87" a="1"/>
  <c r="D114" i="87" s="1"/>
  <c r="D113" i="87" a="1"/>
  <c r="D113" i="87" s="1"/>
  <c r="D112" i="87" a="1"/>
  <c r="D112" i="87" s="1"/>
  <c r="E109" i="87" a="1"/>
  <c r="E109" i="87" s="1"/>
  <c r="D109" i="87" a="1"/>
  <c r="D109" i="87" s="1"/>
  <c r="E108" i="87" a="1"/>
  <c r="E108" i="87" s="1"/>
  <c r="D108" i="87" a="1"/>
  <c r="D108" i="87" s="1"/>
  <c r="D106" i="87" a="1"/>
  <c r="D106" i="87" s="1"/>
  <c r="D105" i="87" a="1"/>
  <c r="D105" i="87" s="1"/>
  <c r="D104" i="87" a="1"/>
  <c r="D104" i="87" s="1"/>
  <c r="D103" i="87" a="1"/>
  <c r="D103" i="87" s="1"/>
  <c r="E100" i="87" a="1"/>
  <c r="E100" i="87" s="1"/>
  <c r="E175" i="89" s="1"/>
  <c r="D100" i="87" a="1"/>
  <c r="D100" i="87" s="1"/>
  <c r="E99" i="87" a="1"/>
  <c r="E99" i="87" s="1"/>
  <c r="D175" i="89" s="1"/>
  <c r="D99" i="87" a="1"/>
  <c r="D99" i="87" s="1"/>
  <c r="D97" i="87" a="1"/>
  <c r="D97" i="87" s="1"/>
  <c r="D96" i="87" a="1"/>
  <c r="D96" i="87" s="1"/>
  <c r="D95" i="87" a="1"/>
  <c r="D95" i="87" s="1"/>
  <c r="D94" i="87" a="1"/>
  <c r="D94" i="87" s="1"/>
  <c r="G91" i="87" a="1"/>
  <c r="G91" i="87" s="1"/>
  <c r="F91" i="87" a="1"/>
  <c r="F91" i="87" s="1"/>
  <c r="E91" i="87" a="1"/>
  <c r="E91" i="87" s="1"/>
  <c r="D91" i="87" a="1"/>
  <c r="D91" i="87" s="1"/>
  <c r="G90" i="87" a="1"/>
  <c r="G90" i="87" s="1"/>
  <c r="F90" i="87" a="1"/>
  <c r="F90" i="87" s="1"/>
  <c r="E90" i="87" a="1"/>
  <c r="E90" i="87" s="1"/>
  <c r="D90" i="87" a="1"/>
  <c r="D90" i="87" s="1"/>
  <c r="G89" i="87" a="1"/>
  <c r="G89" i="87" s="1"/>
  <c r="F89" i="87" a="1"/>
  <c r="F89" i="87" s="1"/>
  <c r="E89" i="87" a="1"/>
  <c r="E89" i="87" s="1"/>
  <c r="D89" i="87" a="1"/>
  <c r="D89" i="87" s="1"/>
  <c r="G88" i="87" a="1"/>
  <c r="G88" i="87" s="1"/>
  <c r="F88" i="87" a="1"/>
  <c r="F88" i="87" s="1"/>
  <c r="E88" i="87" a="1"/>
  <c r="E88" i="87" s="1"/>
  <c r="D88" i="87" a="1"/>
  <c r="D88" i="87" s="1"/>
  <c r="G87" i="87" a="1"/>
  <c r="G87" i="87" s="1"/>
  <c r="F87" i="87" a="1"/>
  <c r="F87" i="87" s="1"/>
  <c r="E87" i="87" a="1"/>
  <c r="E87" i="87" s="1"/>
  <c r="D87" i="87" a="1"/>
  <c r="D87" i="87" s="1"/>
  <c r="D85" i="87" a="1"/>
  <c r="D85" i="87" s="1"/>
  <c r="D84" i="87" a="1"/>
  <c r="D84" i="87" s="1"/>
  <c r="D83" i="87" a="1"/>
  <c r="D83" i="87" s="1"/>
  <c r="D82" i="87" a="1"/>
  <c r="D82" i="87" s="1"/>
  <c r="D81" i="87" a="1"/>
  <c r="D81" i="87" s="1"/>
  <c r="M78" i="87" a="1"/>
  <c r="M78" i="87" s="1"/>
  <c r="L78" i="87" a="1"/>
  <c r="L78" i="87" s="1"/>
  <c r="K78" i="87" a="1"/>
  <c r="K78" i="87" s="1"/>
  <c r="J78" i="87" a="1"/>
  <c r="J78" i="87" s="1"/>
  <c r="I78" i="87" a="1"/>
  <c r="I78" i="87" s="1"/>
  <c r="H78" i="87" a="1"/>
  <c r="H78" i="87" s="1"/>
  <c r="G78" i="87" a="1"/>
  <c r="G78" i="87" s="1"/>
  <c r="F78" i="87" a="1"/>
  <c r="F78" i="87" s="1"/>
  <c r="E78" i="87" a="1"/>
  <c r="E78" i="87" s="1"/>
  <c r="D78" i="87" a="1"/>
  <c r="D78" i="87" s="1"/>
  <c r="M77" i="87" a="1"/>
  <c r="M77" i="87" s="1"/>
  <c r="L77" i="87" a="1"/>
  <c r="L77" i="87" s="1"/>
  <c r="K77" i="87" a="1"/>
  <c r="K77" i="87" s="1"/>
  <c r="J77" i="87" a="1"/>
  <c r="J77" i="87" s="1"/>
  <c r="I77" i="87" a="1"/>
  <c r="I77" i="87" s="1"/>
  <c r="H77" i="87" a="1"/>
  <c r="H77" i="87" s="1"/>
  <c r="G77" i="87" a="1"/>
  <c r="G77" i="87" s="1"/>
  <c r="F77" i="87" a="1"/>
  <c r="F77" i="87" s="1"/>
  <c r="E77" i="87" a="1"/>
  <c r="E77" i="87" s="1"/>
  <c r="D77" i="87" a="1"/>
  <c r="D77" i="87" s="1"/>
  <c r="M76" i="87" a="1"/>
  <c r="M76" i="87" s="1"/>
  <c r="L76" i="87" a="1"/>
  <c r="L76" i="87" s="1"/>
  <c r="K76" i="87" a="1"/>
  <c r="K76" i="87" s="1"/>
  <c r="J76" i="87" a="1"/>
  <c r="J76" i="87" s="1"/>
  <c r="I76" i="87" a="1"/>
  <c r="I76" i="87" s="1"/>
  <c r="H76" i="87" a="1"/>
  <c r="H76" i="87" s="1"/>
  <c r="G76" i="87" a="1"/>
  <c r="G76" i="87" s="1"/>
  <c r="F76" i="87" a="1"/>
  <c r="F76" i="87" s="1"/>
  <c r="E76" i="87" a="1"/>
  <c r="E76" i="87" s="1"/>
  <c r="D76" i="87" a="1"/>
  <c r="D76" i="87" s="1"/>
  <c r="M75" i="87" a="1"/>
  <c r="M75" i="87" s="1"/>
  <c r="L75" i="87" a="1"/>
  <c r="L75" i="87" s="1"/>
  <c r="K75" i="87" a="1"/>
  <c r="K75" i="87" s="1"/>
  <c r="J75" i="87" a="1"/>
  <c r="J75" i="87" s="1"/>
  <c r="I75" i="87" a="1"/>
  <c r="I75" i="87" s="1"/>
  <c r="H75" i="87" a="1"/>
  <c r="H75" i="87" s="1"/>
  <c r="G75" i="87" a="1"/>
  <c r="G75" i="87" s="1"/>
  <c r="F75" i="87" a="1"/>
  <c r="F75" i="87" s="1"/>
  <c r="E75" i="87" a="1"/>
  <c r="E75" i="87" s="1"/>
  <c r="D75" i="87" a="1"/>
  <c r="D75" i="87" s="1"/>
  <c r="M74" i="87" a="1"/>
  <c r="M74" i="87" s="1"/>
  <c r="L74" i="87" a="1"/>
  <c r="L74" i="87" s="1"/>
  <c r="K74" i="87" a="1"/>
  <c r="K74" i="87" s="1"/>
  <c r="J74" i="87" a="1"/>
  <c r="J74" i="87" s="1"/>
  <c r="I74" i="87" a="1"/>
  <c r="I74" i="87" s="1"/>
  <c r="H74" i="87" a="1"/>
  <c r="H74" i="87" s="1"/>
  <c r="G74" i="87" a="1"/>
  <c r="G74" i="87" s="1"/>
  <c r="F74" i="87" a="1"/>
  <c r="F74" i="87" s="1"/>
  <c r="E74" i="87" a="1"/>
  <c r="E74" i="87" s="1"/>
  <c r="D74" i="87" a="1"/>
  <c r="D74" i="87" s="1"/>
  <c r="M73" i="87" a="1"/>
  <c r="M73" i="87" s="1"/>
  <c r="L73" i="87" a="1"/>
  <c r="L73" i="87" s="1"/>
  <c r="K73" i="87" a="1"/>
  <c r="K73" i="87" s="1"/>
  <c r="J73" i="87" a="1"/>
  <c r="J73" i="87" s="1"/>
  <c r="I73" i="87" a="1"/>
  <c r="I73" i="87" s="1"/>
  <c r="H73" i="87" a="1"/>
  <c r="H73" i="87" s="1"/>
  <c r="G73" i="87" a="1"/>
  <c r="G73" i="87" s="1"/>
  <c r="F73" i="87" a="1"/>
  <c r="F73" i="87" s="1"/>
  <c r="E73" i="87" a="1"/>
  <c r="E73" i="87" s="1"/>
  <c r="D73" i="87" a="1"/>
  <c r="D73" i="87" s="1"/>
  <c r="D71" i="87" a="1"/>
  <c r="D71" i="87" s="1"/>
  <c r="D70" i="87" a="1"/>
  <c r="D70" i="87" s="1"/>
  <c r="D69" i="87" a="1"/>
  <c r="D69" i="87" s="1"/>
  <c r="D68" i="87" a="1"/>
  <c r="D68" i="87" s="1"/>
  <c r="D67" i="87" a="1"/>
  <c r="D67" i="87" s="1"/>
  <c r="G64" i="87" a="1"/>
  <c r="G64" i="87" s="1"/>
  <c r="H198" i="80" s="1"/>
  <c r="F64" i="87" a="1"/>
  <c r="F64" i="87" s="1"/>
  <c r="E64" i="87" a="1"/>
  <c r="E64" i="87" s="1"/>
  <c r="H280" i="79" s="1"/>
  <c r="D64" i="87" a="1"/>
  <c r="D64" i="87" s="1"/>
  <c r="G63" i="87" a="1"/>
  <c r="G63" i="87" s="1"/>
  <c r="F198" i="80" s="1"/>
  <c r="F63" i="87" a="1"/>
  <c r="F63" i="87" s="1"/>
  <c r="E63" i="87" a="1"/>
  <c r="E63" i="87" s="1"/>
  <c r="F280" i="79" s="1"/>
  <c r="D63" i="87" a="1"/>
  <c r="D63" i="87" s="1"/>
  <c r="D61" i="87" a="1"/>
  <c r="D61" i="87" s="1"/>
  <c r="D60" i="87" a="1"/>
  <c r="D60" i="87" s="1"/>
  <c r="D59" i="87" a="1"/>
  <c r="D59" i="87" s="1"/>
  <c r="D58" i="87" a="1"/>
  <c r="D58" i="87" s="1"/>
  <c r="H55" i="87" a="1"/>
  <c r="H55" i="87" s="1"/>
  <c r="H24" i="80" s="1" a="1"/>
  <c r="H24" i="80" s="1"/>
  <c r="G55" i="87" a="1"/>
  <c r="G55" i="87" s="1"/>
  <c r="G24" i="80" s="1" a="1"/>
  <c r="G24" i="80" s="1"/>
  <c r="F55" i="87" a="1"/>
  <c r="F55" i="87" s="1"/>
  <c r="F24" i="80" s="1" a="1"/>
  <c r="F24" i="80" s="1"/>
  <c r="E55" i="87" a="1"/>
  <c r="E55" i="87" s="1"/>
  <c r="E24" i="80" s="1" a="1"/>
  <c r="E24" i="80" s="1"/>
  <c r="D55" i="87" a="1"/>
  <c r="D55" i="87" s="1"/>
  <c r="D24" i="80" s="1" a="1"/>
  <c r="D24" i="80" s="1"/>
  <c r="D53" i="87" a="1"/>
  <c r="D53" i="87" s="1"/>
  <c r="D52" i="87" a="1"/>
  <c r="D52" i="87" s="1"/>
  <c r="D51" i="87" a="1"/>
  <c r="D51" i="87" s="1"/>
  <c r="D50" i="87" a="1"/>
  <c r="D50" i="87" s="1"/>
  <c r="H47" i="87" a="1"/>
  <c r="H47" i="87" s="1"/>
  <c r="I15" i="88" s="1" a="1"/>
  <c r="I15" i="88" s="1"/>
  <c r="H105" i="89" s="1"/>
  <c r="G47" i="87" a="1"/>
  <c r="G47" i="87" s="1"/>
  <c r="F47" i="87" a="1"/>
  <c r="F47" i="87" s="1"/>
  <c r="E47" i="87" a="1"/>
  <c r="E47" i="87" s="1"/>
  <c r="D47" i="87" a="1"/>
  <c r="D47" i="87" s="1"/>
  <c r="D45" i="87" a="1"/>
  <c r="D45" i="87" s="1"/>
  <c r="D44" i="87" a="1"/>
  <c r="D44" i="87" s="1"/>
  <c r="D43" i="87" a="1"/>
  <c r="D43" i="87" s="1"/>
  <c r="D42" i="87" a="1"/>
  <c r="D42" i="87" s="1"/>
  <c r="F39" i="87" a="1"/>
  <c r="F39" i="87" s="1"/>
  <c r="E39" i="87" a="1"/>
  <c r="E39" i="87" s="1"/>
  <c r="D39" i="87" a="1"/>
  <c r="D39" i="87" s="1"/>
  <c r="D37" i="87" a="1"/>
  <c r="D37" i="87" s="1"/>
  <c r="D36" i="87" a="1"/>
  <c r="D36" i="87" s="1"/>
  <c r="D35" i="87" a="1"/>
  <c r="D35" i="87" s="1"/>
  <c r="D34" i="87" a="1"/>
  <c r="D34" i="87" s="1"/>
  <c r="G31" i="87" a="1"/>
  <c r="G31" i="87" s="1"/>
  <c r="F31" i="87" a="1"/>
  <c r="F31" i="87" s="1"/>
  <c r="E31" i="87" a="1"/>
  <c r="E31" i="87" s="1"/>
  <c r="D31" i="87" a="1"/>
  <c r="D31" i="87" s="1"/>
  <c r="G30" i="87" a="1"/>
  <c r="G30" i="87" s="1"/>
  <c r="F30" i="87" a="1"/>
  <c r="F30" i="87" s="1"/>
  <c r="E30" i="87" a="1"/>
  <c r="E30" i="87" s="1"/>
  <c r="D30" i="87" a="1"/>
  <c r="D30" i="87" s="1"/>
  <c r="G29" i="87" a="1"/>
  <c r="G29" i="87" s="1"/>
  <c r="F29" i="87" a="1"/>
  <c r="F29" i="87" s="1"/>
  <c r="E29" i="87" a="1"/>
  <c r="E29" i="87" s="1"/>
  <c r="D29" i="87" a="1"/>
  <c r="D29" i="87" s="1"/>
  <c r="G28" i="87" a="1"/>
  <c r="G28" i="87" s="1"/>
  <c r="F28" i="87" a="1"/>
  <c r="F28" i="87" s="1"/>
  <c r="E28" i="87" a="1"/>
  <c r="E28" i="87" s="1"/>
  <c r="D28" i="87" a="1"/>
  <c r="D28" i="87" s="1"/>
  <c r="G27" i="87" a="1"/>
  <c r="G27" i="87" s="1"/>
  <c r="F27" i="87" a="1"/>
  <c r="F27" i="87" s="1"/>
  <c r="E27" i="87" a="1"/>
  <c r="E27" i="87" s="1"/>
  <c r="D27" i="87" a="1"/>
  <c r="D27" i="87" s="1"/>
  <c r="G26" i="87" a="1"/>
  <c r="G26" i="87" s="1"/>
  <c r="F26" i="87" a="1"/>
  <c r="F26" i="87" s="1"/>
  <c r="E26" i="87" a="1"/>
  <c r="E26" i="87" s="1"/>
  <c r="D26" i="87" a="1"/>
  <c r="D26" i="87" s="1"/>
  <c r="G25" i="87" a="1"/>
  <c r="G25" i="87" s="1"/>
  <c r="F25" i="87" a="1"/>
  <c r="F25" i="87" s="1"/>
  <c r="E25" i="87" a="1"/>
  <c r="E25" i="87" s="1"/>
  <c r="D25" i="87" a="1"/>
  <c r="D25" i="87" s="1"/>
  <c r="G24" i="87" a="1"/>
  <c r="G24" i="87" s="1"/>
  <c r="F24" i="87" a="1"/>
  <c r="F24" i="87" s="1"/>
  <c r="E24" i="87" a="1"/>
  <c r="E24" i="87" s="1"/>
  <c r="D24" i="87" a="1"/>
  <c r="D24" i="87" s="1"/>
  <c r="G23" i="87" a="1"/>
  <c r="G23" i="87" s="1"/>
  <c r="F23" i="87" a="1"/>
  <c r="F23" i="87" s="1"/>
  <c r="E23" i="87" a="1"/>
  <c r="E23" i="87" s="1"/>
  <c r="D23" i="87" a="1"/>
  <c r="D23" i="87" s="1"/>
  <c r="G22" i="87" a="1"/>
  <c r="G22" i="87" s="1"/>
  <c r="F22" i="87" a="1"/>
  <c r="F22" i="87" s="1"/>
  <c r="E22" i="87" a="1"/>
  <c r="E22" i="87" s="1"/>
  <c r="D22" i="87" a="1"/>
  <c r="D22" i="87" s="1"/>
  <c r="D20" i="87" a="1"/>
  <c r="D20" i="87" s="1"/>
  <c r="D19" i="87" a="1"/>
  <c r="D19" i="87" s="1"/>
  <c r="D18" i="87" a="1"/>
  <c r="D18" i="87" s="1"/>
  <c r="D17" i="87" a="1"/>
  <c r="D17" i="87" s="1"/>
  <c r="D16" i="87" a="1"/>
  <c r="D16" i="87" s="1"/>
  <c r="Q52" i="86" a="1"/>
  <c r="Q52" i="86" s="1"/>
  <c r="F52" i="86" a="1"/>
  <c r="F52" i="86" s="1"/>
  <c r="O49" i="86" a="1"/>
  <c r="O49" i="86" s="1"/>
  <c r="D49" i="86" a="1"/>
  <c r="D49" i="86" s="1"/>
  <c r="S43" i="86" a="1"/>
  <c r="S43" i="86" s="1"/>
  <c r="O43" i="86" a="1"/>
  <c r="O43" i="86" s="1"/>
  <c r="H43" i="86" a="1"/>
  <c r="H43" i="86" s="1"/>
  <c r="D43" i="86" a="1"/>
  <c r="D43" i="86" s="1"/>
  <c r="E41" i="86" a="1"/>
  <c r="E41" i="86" s="1"/>
  <c r="E40" i="86" a="1"/>
  <c r="E40" i="86" s="1"/>
  <c r="D36" i="86" a="1"/>
  <c r="D36" i="86" s="1"/>
  <c r="D35" i="86" a="1"/>
  <c r="D35" i="86" s="1"/>
  <c r="O28" i="86"/>
  <c r="D28" i="86"/>
  <c r="O23" i="86"/>
  <c r="D23" i="86"/>
  <c r="I18" i="86"/>
  <c r="I17" i="86"/>
  <c r="I16" i="86"/>
  <c r="I13" i="86" a="1"/>
  <c r="I13" i="86" s="1"/>
  <c r="G13" i="86" a="1"/>
  <c r="G13" i="86" s="1"/>
  <c r="D13" i="86" a="1"/>
  <c r="D13" i="86" s="1"/>
  <c r="E11" i="86" a="1"/>
  <c r="E11" i="86" s="1"/>
  <c r="E10" i="86" a="1"/>
  <c r="E10" i="86" s="1"/>
  <c r="D6" i="86" a="1"/>
  <c r="D6" i="86" s="1"/>
  <c r="D5" i="86" a="1"/>
  <c r="D5" i="86" s="1"/>
  <c r="Q50" i="85" a="1"/>
  <c r="Q50" i="85" s="1"/>
  <c r="F50" i="85" a="1"/>
  <c r="F50" i="85" s="1"/>
  <c r="O47" i="85" a="1"/>
  <c r="O47" i="85" s="1"/>
  <c r="D47" i="85" a="1"/>
  <c r="D47" i="85" s="1"/>
  <c r="I42" i="85"/>
  <c r="I41" i="85"/>
  <c r="G38" i="85" a="1"/>
  <c r="G38" i="85" s="1"/>
  <c r="D38" i="85" a="1"/>
  <c r="P38" i="85" s="1"/>
  <c r="E36" i="85" a="1"/>
  <c r="E36" i="85" s="1"/>
  <c r="E35" i="85" a="1"/>
  <c r="E35" i="85" s="1"/>
  <c r="D31" i="85" a="1"/>
  <c r="D31" i="85" s="1"/>
  <c r="D30" i="85" a="1"/>
  <c r="D30" i="85" s="1"/>
  <c r="O24" i="85"/>
  <c r="D24" i="85"/>
  <c r="O19" i="85"/>
  <c r="D19" i="85"/>
  <c r="I13" i="85" a="1"/>
  <c r="I13" i="85" s="1"/>
  <c r="G13" i="85" a="1"/>
  <c r="G13" i="85" s="1"/>
  <c r="D13" i="85" a="1"/>
  <c r="D13" i="85" s="1"/>
  <c r="E11" i="85" a="1"/>
  <c r="E11" i="85" s="1"/>
  <c r="E10" i="85" a="1"/>
  <c r="E10" i="85" s="1"/>
  <c r="D6" i="85" a="1"/>
  <c r="D6" i="85" s="1"/>
  <c r="D5" i="85" a="1"/>
  <c r="D5" i="85" s="1"/>
  <c r="Q58" i="84" a="1"/>
  <c r="Q58" i="84" s="1"/>
  <c r="F58" i="84" a="1"/>
  <c r="F58" i="84" s="1"/>
  <c r="O55" i="84" a="1"/>
  <c r="O55" i="84" s="1"/>
  <c r="D55" i="84" a="1"/>
  <c r="D55" i="84" s="1"/>
  <c r="O51" i="84"/>
  <c r="D51" i="84"/>
  <c r="J43" i="84" a="1"/>
  <c r="J43" i="84" s="1"/>
  <c r="H43" i="84" a="1"/>
  <c r="H43" i="84" s="1"/>
  <c r="D43" i="84" a="1"/>
  <c r="D43" i="84" s="1"/>
  <c r="E41" i="84" a="1"/>
  <c r="E41" i="84" s="1"/>
  <c r="Q53" i="84" s="1"/>
  <c r="E40" i="84" a="1"/>
  <c r="E40" i="84" s="1"/>
  <c r="D36" i="84" a="1"/>
  <c r="D36" i="84" s="1"/>
  <c r="D35" i="84" a="1"/>
  <c r="D35" i="84" s="1"/>
  <c r="O31" i="84"/>
  <c r="D31" i="84"/>
  <c r="O25" i="84"/>
  <c r="D25" i="84"/>
  <c r="I14" i="84" a="1"/>
  <c r="I14" i="84" s="1"/>
  <c r="I13" i="84" a="1"/>
  <c r="I13" i="84" s="1"/>
  <c r="G13" i="84" a="1"/>
  <c r="K25" i="84" s="1"/>
  <c r="D13" i="84" a="1"/>
  <c r="D13" i="84" s="1"/>
  <c r="E11" i="84" a="1"/>
  <c r="E11" i="84" s="1"/>
  <c r="E10" i="84" a="1"/>
  <c r="E10" i="84" s="1"/>
  <c r="D6" i="84" a="1"/>
  <c r="D6" i="84" s="1"/>
  <c r="D5" i="84" a="1"/>
  <c r="D5" i="84" s="1"/>
  <c r="O146" i="83"/>
  <c r="D146" i="83"/>
  <c r="O145" i="83"/>
  <c r="D145" i="83"/>
  <c r="P144" i="83"/>
  <c r="O144" i="83"/>
  <c r="E144" i="83"/>
  <c r="D144" i="83"/>
  <c r="P143" i="83"/>
  <c r="O143" i="83"/>
  <c r="E143" i="83"/>
  <c r="D143" i="83"/>
  <c r="O142" i="83"/>
  <c r="D142" i="83"/>
  <c r="O141" i="83"/>
  <c r="D141" i="83"/>
  <c r="O140" i="83"/>
  <c r="D140" i="83"/>
  <c r="O139" i="83"/>
  <c r="D139" i="83"/>
  <c r="F134" i="83"/>
  <c r="D134" i="83"/>
  <c r="F133" i="83"/>
  <c r="D133" i="83"/>
  <c r="F132" i="83"/>
  <c r="E132" i="83"/>
  <c r="D132" i="83"/>
  <c r="F131" i="83"/>
  <c r="E131" i="83"/>
  <c r="D131" i="83"/>
  <c r="F130" i="83"/>
  <c r="D130" i="83"/>
  <c r="F129" i="83"/>
  <c r="D129" i="83"/>
  <c r="F128" i="83"/>
  <c r="D128" i="83"/>
  <c r="F127" i="83"/>
  <c r="D127" i="83"/>
  <c r="O113" i="83"/>
  <c r="D113" i="83"/>
  <c r="O112" i="83"/>
  <c r="D112" i="83"/>
  <c r="P111" i="83"/>
  <c r="O111" i="83"/>
  <c r="E111" i="83"/>
  <c r="D111" i="83"/>
  <c r="P110" i="83"/>
  <c r="O110" i="83"/>
  <c r="E110" i="83"/>
  <c r="D110" i="83"/>
  <c r="O109" i="83"/>
  <c r="D109" i="83"/>
  <c r="O108" i="83"/>
  <c r="D108" i="83"/>
  <c r="O107" i="83"/>
  <c r="D107" i="83"/>
  <c r="O106" i="83"/>
  <c r="D106" i="83"/>
  <c r="I101" i="83" a="1"/>
  <c r="I101" i="83" s="1"/>
  <c r="I100" i="83" a="1"/>
  <c r="I100" i="83" s="1"/>
  <c r="I99" i="83" a="1"/>
  <c r="I99" i="83" s="1"/>
  <c r="I98" i="83" a="1"/>
  <c r="I98" i="83" s="1"/>
  <c r="I97" i="83" a="1"/>
  <c r="I97" i="83" s="1"/>
  <c r="G97" i="83" a="1"/>
  <c r="G127" i="83" s="1"/>
  <c r="D97" i="83" a="1"/>
  <c r="D97" i="83" s="1"/>
  <c r="E95" i="83" a="1"/>
  <c r="E95" i="83" s="1"/>
  <c r="Q148" i="83" s="1"/>
  <c r="E94" i="83" a="1"/>
  <c r="E94" i="83" s="1"/>
  <c r="D90" i="83" a="1"/>
  <c r="D90" i="83" s="1"/>
  <c r="D89" i="83" a="1"/>
  <c r="D89" i="83" s="1"/>
  <c r="O83" i="83"/>
  <c r="D83" i="83"/>
  <c r="O82" i="83"/>
  <c r="D82" i="83"/>
  <c r="P81" i="83"/>
  <c r="O81" i="83"/>
  <c r="E81" i="83"/>
  <c r="D81" i="83"/>
  <c r="P80" i="83"/>
  <c r="O80" i="83"/>
  <c r="E80" i="83"/>
  <c r="D80" i="83"/>
  <c r="O79" i="83"/>
  <c r="D79" i="83"/>
  <c r="O78" i="83"/>
  <c r="D78" i="83"/>
  <c r="O77" i="83"/>
  <c r="D77" i="83"/>
  <c r="O76" i="83"/>
  <c r="D76" i="83"/>
  <c r="F71" i="83"/>
  <c r="D71" i="83"/>
  <c r="D70" i="83"/>
  <c r="E69" i="83"/>
  <c r="D69" i="83"/>
  <c r="F68" i="83"/>
  <c r="E68" i="83"/>
  <c r="D68" i="83"/>
  <c r="D67" i="83"/>
  <c r="F66" i="83"/>
  <c r="D66" i="83"/>
  <c r="F65" i="83"/>
  <c r="D65" i="83"/>
  <c r="D64" i="83"/>
  <c r="O59" i="83"/>
  <c r="D59" i="83"/>
  <c r="O58" i="83"/>
  <c r="D58" i="83"/>
  <c r="P57" i="83"/>
  <c r="O57" i="83"/>
  <c r="E57" i="83"/>
  <c r="D57" i="83"/>
  <c r="P56" i="83"/>
  <c r="O56" i="83"/>
  <c r="E56" i="83"/>
  <c r="D56" i="83"/>
  <c r="O55" i="83"/>
  <c r="D55" i="83"/>
  <c r="O54" i="83"/>
  <c r="D54" i="83"/>
  <c r="O53" i="83"/>
  <c r="D53" i="83"/>
  <c r="O52" i="83"/>
  <c r="D52" i="83"/>
  <c r="O47" i="83"/>
  <c r="D47" i="83"/>
  <c r="O46" i="83"/>
  <c r="D46" i="83"/>
  <c r="P45" i="83"/>
  <c r="O45" i="83"/>
  <c r="E45" i="83"/>
  <c r="D45" i="83"/>
  <c r="P44" i="83"/>
  <c r="O44" i="83"/>
  <c r="E44" i="83"/>
  <c r="D44" i="83"/>
  <c r="O43" i="83"/>
  <c r="D43" i="83"/>
  <c r="O42" i="83"/>
  <c r="D42" i="83"/>
  <c r="O41" i="83"/>
  <c r="D41" i="83"/>
  <c r="O40" i="83"/>
  <c r="D40" i="83"/>
  <c r="I17" i="83" a="1"/>
  <c r="I17" i="83" s="1"/>
  <c r="I16" i="83" a="1"/>
  <c r="I16" i="83" s="1"/>
  <c r="I15" i="83" a="1"/>
  <c r="I15" i="83" s="1"/>
  <c r="I14" i="83" a="1"/>
  <c r="I14" i="83" s="1"/>
  <c r="I13" i="83" a="1"/>
  <c r="I13" i="83" s="1"/>
  <c r="G13" i="83" a="1"/>
  <c r="G64" i="83" s="1"/>
  <c r="D13" i="83" a="1"/>
  <c r="D13" i="83" s="1"/>
  <c r="E11" i="83" a="1"/>
  <c r="E11" i="83" s="1"/>
  <c r="E10" i="83" a="1"/>
  <c r="E10" i="83" s="1"/>
  <c r="D6" i="83" a="1"/>
  <c r="D6" i="83" s="1"/>
  <c r="D119" i="83" s="1"/>
  <c r="D5" i="83" a="1"/>
  <c r="D5" i="83" s="1"/>
  <c r="Q57" i="82" a="1"/>
  <c r="Q57" i="82" s="1"/>
  <c r="F57" i="82" a="1"/>
  <c r="F57" i="82" s="1"/>
  <c r="O54" i="82" a="1"/>
  <c r="O54" i="82" s="1"/>
  <c r="D54" i="82" a="1"/>
  <c r="D54" i="82" s="1"/>
  <c r="O50" i="82"/>
  <c r="D50" i="82"/>
  <c r="O49" i="82"/>
  <c r="D49" i="82"/>
  <c r="I42" i="82" a="1"/>
  <c r="I42" i="82" s="1"/>
  <c r="G42" i="82" a="1"/>
  <c r="G42" i="82" s="1"/>
  <c r="D42" i="82" a="1"/>
  <c r="D42" i="82" s="1"/>
  <c r="E40" i="82" a="1"/>
  <c r="E40" i="82" s="1"/>
  <c r="H39" i="82" a="1"/>
  <c r="H39" i="82" s="1"/>
  <c r="E39" i="82" a="1"/>
  <c r="E39" i="82" s="1"/>
  <c r="D35" i="82" a="1"/>
  <c r="D35" i="82" s="1"/>
  <c r="D34" i="82" a="1"/>
  <c r="D34" i="82" s="1"/>
  <c r="O30" i="82"/>
  <c r="D30" i="82"/>
  <c r="O29" i="82"/>
  <c r="D29" i="82"/>
  <c r="O24" i="82"/>
  <c r="D24" i="82"/>
  <c r="O23" i="82"/>
  <c r="D23" i="82"/>
  <c r="J18" i="82"/>
  <c r="J17" i="82"/>
  <c r="J16" i="82"/>
  <c r="J13" i="82" a="1"/>
  <c r="J13" i="82" s="1"/>
  <c r="H13" i="82" a="1"/>
  <c r="H13" i="82" s="1"/>
  <c r="K23" i="82" s="1"/>
  <c r="D13" i="82" a="1"/>
  <c r="D13" i="82" s="1"/>
  <c r="E11" i="82" a="1"/>
  <c r="E11" i="82" s="1"/>
  <c r="E10" i="82" a="1"/>
  <c r="E10" i="82" s="1"/>
  <c r="D6" i="82" a="1"/>
  <c r="D6" i="82" s="1"/>
  <c r="D5" i="82" a="1"/>
  <c r="D5" i="82" s="1"/>
  <c r="Q73" i="81" a="1"/>
  <c r="Q73" i="81" s="1"/>
  <c r="F73" i="81" a="1"/>
  <c r="F73" i="81" s="1"/>
  <c r="O70" i="81" a="1"/>
  <c r="O70" i="81" s="1"/>
  <c r="D70" i="81" a="1"/>
  <c r="D70" i="81" s="1"/>
  <c r="I65" i="81"/>
  <c r="I64" i="81"/>
  <c r="G61" i="81" a="1"/>
  <c r="G61" i="81" s="1"/>
  <c r="D61" i="81" a="1"/>
  <c r="P61" i="81" s="1"/>
  <c r="E59" i="81" a="1"/>
  <c r="E59" i="81" s="1"/>
  <c r="E58" i="81" a="1"/>
  <c r="E58" i="81" s="1"/>
  <c r="D54" i="81" a="1"/>
  <c r="D54" i="81" s="1"/>
  <c r="D53" i="81" a="1"/>
  <c r="D53" i="81" s="1"/>
  <c r="O47" i="81"/>
  <c r="D47" i="81"/>
  <c r="O46" i="81"/>
  <c r="D46" i="81"/>
  <c r="P45" i="81"/>
  <c r="O45" i="81"/>
  <c r="E45" i="81"/>
  <c r="D45" i="81"/>
  <c r="P44" i="81"/>
  <c r="O44" i="81"/>
  <c r="E44" i="81"/>
  <c r="D44" i="81"/>
  <c r="O43" i="81"/>
  <c r="D43" i="81"/>
  <c r="O42" i="81"/>
  <c r="D42" i="81"/>
  <c r="O41" i="81"/>
  <c r="D41" i="81"/>
  <c r="O40" i="81"/>
  <c r="D40" i="81"/>
  <c r="O26" i="81"/>
  <c r="D26" i="81"/>
  <c r="O25" i="81"/>
  <c r="D25" i="81"/>
  <c r="P24" i="81"/>
  <c r="O24" i="81"/>
  <c r="E24" i="81"/>
  <c r="D24" i="81"/>
  <c r="P23" i="81"/>
  <c r="O23" i="81"/>
  <c r="E23" i="81"/>
  <c r="D23" i="81"/>
  <c r="O22" i="81"/>
  <c r="D22" i="81"/>
  <c r="O21" i="81"/>
  <c r="D21" i="81"/>
  <c r="O20" i="81"/>
  <c r="D20" i="81"/>
  <c r="O19" i="81"/>
  <c r="D19" i="81"/>
  <c r="I14" i="81" a="1"/>
  <c r="I14" i="81" s="1"/>
  <c r="I13" i="81" a="1"/>
  <c r="I13" i="81" s="1"/>
  <c r="G13" i="81" a="1"/>
  <c r="F31" i="81" s="1"/>
  <c r="D13" i="81" a="1"/>
  <c r="D13" i="81" s="1"/>
  <c r="E11" i="81" a="1"/>
  <c r="E11" i="81" s="1"/>
  <c r="E10" i="81" a="1"/>
  <c r="E10" i="81" s="1"/>
  <c r="D6" i="81" a="1"/>
  <c r="D6" i="81" s="1"/>
  <c r="D5" i="81" a="1"/>
  <c r="D5" i="81" s="1"/>
  <c r="P292" i="80" a="1"/>
  <c r="P292" i="80" s="1"/>
  <c r="F292" i="80" a="1"/>
  <c r="F292" i="80" s="1"/>
  <c r="N289" i="80" a="1"/>
  <c r="N289" i="80" s="1"/>
  <c r="D289" i="80" a="1"/>
  <c r="D289" i="80" s="1"/>
  <c r="N285" i="80"/>
  <c r="D285" i="80"/>
  <c r="A285" i="80"/>
  <c r="N284" i="80"/>
  <c r="D284" i="80"/>
  <c r="O283" i="80"/>
  <c r="N283" i="80"/>
  <c r="E283" i="80"/>
  <c r="D283" i="80"/>
  <c r="O282" i="80"/>
  <c r="N282" i="80"/>
  <c r="E282" i="80"/>
  <c r="D282" i="80"/>
  <c r="N281" i="80"/>
  <c r="D281" i="80"/>
  <c r="N280" i="80"/>
  <c r="D280" i="80"/>
  <c r="N279" i="80"/>
  <c r="D279" i="80"/>
  <c r="N278" i="80"/>
  <c r="D278" i="80"/>
  <c r="I263" i="80" a="1"/>
  <c r="I263" i="80" s="1"/>
  <c r="I262" i="80" a="1"/>
  <c r="I262" i="80" s="1"/>
  <c r="G262" i="80" a="1"/>
  <c r="G262" i="80" s="1"/>
  <c r="D262" i="80" a="1"/>
  <c r="D262" i="80" s="1"/>
  <c r="E260" i="80" a="1"/>
  <c r="E260" i="80" s="1"/>
  <c r="E259" i="80" a="1"/>
  <c r="E259" i="80" s="1"/>
  <c r="D255" i="80" a="1"/>
  <c r="D255" i="80" s="1"/>
  <c r="D254" i="80" a="1"/>
  <c r="D254" i="80" s="1"/>
  <c r="N250" i="80"/>
  <c r="D250" i="80"/>
  <c r="N249" i="80"/>
  <c r="D249" i="80"/>
  <c r="O248" i="80"/>
  <c r="N248" i="80"/>
  <c r="E248" i="80"/>
  <c r="D248" i="80"/>
  <c r="O247" i="80"/>
  <c r="N247" i="80"/>
  <c r="E247" i="80"/>
  <c r="D247" i="80"/>
  <c r="N246" i="80"/>
  <c r="D246" i="80"/>
  <c r="N245" i="80"/>
  <c r="D245" i="80"/>
  <c r="A245" i="80"/>
  <c r="N244" i="80"/>
  <c r="D244" i="80"/>
  <c r="N243" i="80"/>
  <c r="D243" i="80"/>
  <c r="N238" i="80"/>
  <c r="D238" i="80"/>
  <c r="N237" i="80"/>
  <c r="D237" i="80"/>
  <c r="O236" i="80"/>
  <c r="N236" i="80"/>
  <c r="E236" i="80"/>
  <c r="D236" i="80"/>
  <c r="O235" i="80"/>
  <c r="N235" i="80"/>
  <c r="E235" i="80"/>
  <c r="D235" i="80"/>
  <c r="N234" i="80"/>
  <c r="D234" i="80"/>
  <c r="N233" i="80"/>
  <c r="D233" i="80"/>
  <c r="N232" i="80"/>
  <c r="D232" i="80"/>
  <c r="N231" i="80"/>
  <c r="D231" i="80"/>
  <c r="J226" i="80" a="1"/>
  <c r="J226" i="80" s="1"/>
  <c r="I226" i="80" a="1"/>
  <c r="I226" i="80" s="1"/>
  <c r="J225" i="80" a="1"/>
  <c r="J225" i="80" s="1"/>
  <c r="I225" i="80" a="1"/>
  <c r="I225" i="80" s="1"/>
  <c r="G225" i="80" a="1"/>
  <c r="G225" i="80" s="1"/>
  <c r="D225" i="80" a="1"/>
  <c r="D225" i="80" s="1"/>
  <c r="E223" i="80" a="1"/>
  <c r="E223" i="80" s="1"/>
  <c r="E222" i="80" a="1"/>
  <c r="E222" i="80" s="1"/>
  <c r="D218" i="80" a="1"/>
  <c r="D218" i="80" s="1"/>
  <c r="D217" i="80" a="1"/>
  <c r="D217" i="80" s="1"/>
  <c r="A208" i="80"/>
  <c r="I193" i="80" a="1"/>
  <c r="I193" i="80" s="1"/>
  <c r="I192" i="80" a="1"/>
  <c r="I192" i="80" s="1"/>
  <c r="I191" i="80" a="1"/>
  <c r="I191" i="80" s="1"/>
  <c r="I190" i="80" a="1"/>
  <c r="I190" i="80" s="1"/>
  <c r="I189" i="80" a="1"/>
  <c r="I189" i="80" s="1"/>
  <c r="G189" i="80" a="1"/>
  <c r="G189" i="80" s="1"/>
  <c r="D189" i="80" a="1"/>
  <c r="D189" i="80" s="1"/>
  <c r="E187" i="80" a="1"/>
  <c r="E187" i="80" s="1"/>
  <c r="S213" i="80" s="1"/>
  <c r="E186" i="80" a="1"/>
  <c r="E186" i="80" s="1"/>
  <c r="D182" i="80" a="1"/>
  <c r="D182" i="80" s="1"/>
  <c r="D181" i="80" a="1"/>
  <c r="D181" i="80" s="1"/>
  <c r="D180" i="80" a="1"/>
  <c r="D180" i="80" s="1"/>
  <c r="A171" i="80"/>
  <c r="H166" i="80"/>
  <c r="G166" i="80"/>
  <c r="F166" i="80"/>
  <c r="E166" i="80"/>
  <c r="D166" i="80"/>
  <c r="I161" i="80" a="1"/>
  <c r="I161" i="80" s="1"/>
  <c r="I160" i="80" a="1"/>
  <c r="I160" i="80" s="1"/>
  <c r="I159" i="80" a="1"/>
  <c r="I159" i="80" s="1"/>
  <c r="G159" i="80" a="1"/>
  <c r="G159" i="80" s="1"/>
  <c r="I166" i="80" s="1"/>
  <c r="D159" i="80" a="1"/>
  <c r="D159" i="80" s="1"/>
  <c r="E157" i="80" a="1"/>
  <c r="E157" i="80" s="1"/>
  <c r="S176" i="80" s="1"/>
  <c r="E156" i="80" a="1"/>
  <c r="E156" i="80" s="1"/>
  <c r="D152" i="80" a="1"/>
  <c r="D152" i="80" s="1"/>
  <c r="D151" i="80" a="1"/>
  <c r="D151" i="80" s="1"/>
  <c r="D150" i="80" a="1"/>
  <c r="D150" i="80" s="1"/>
  <c r="I141" i="80" a="1"/>
  <c r="I141" i="80" s="1"/>
  <c r="I140" i="80" a="1"/>
  <c r="I140" i="80" s="1"/>
  <c r="I139" i="80" a="1"/>
  <c r="I139" i="80" s="1"/>
  <c r="G139" i="80" a="1"/>
  <c r="G139" i="80" s="1"/>
  <c r="D139" i="80" a="1"/>
  <c r="D139" i="80" s="1"/>
  <c r="E137" i="80" a="1"/>
  <c r="E137" i="80" s="1"/>
  <c r="E136" i="80" a="1"/>
  <c r="E136" i="80" s="1"/>
  <c r="D131" i="80" a="1"/>
  <c r="D131" i="80" s="1"/>
  <c r="D130" i="80" a="1"/>
  <c r="D130" i="80" s="1"/>
  <c r="H116" i="80" a="1"/>
  <c r="H116" i="80" s="1"/>
  <c r="H115" i="80" a="1"/>
  <c r="H115" i="80" s="1"/>
  <c r="D115" i="80" a="1"/>
  <c r="D115" i="80" s="1"/>
  <c r="E113" i="80" a="1"/>
  <c r="E113" i="80" s="1"/>
  <c r="E112" i="80" a="1"/>
  <c r="E112" i="80" s="1"/>
  <c r="D108" i="80" a="1"/>
  <c r="D108" i="80" s="1"/>
  <c r="D107" i="80" a="1"/>
  <c r="D107" i="80" s="1"/>
  <c r="I83" i="80" a="1"/>
  <c r="I83" i="80" s="1"/>
  <c r="I82" i="80" a="1"/>
  <c r="I82" i="80" s="1"/>
  <c r="I81" i="80" a="1"/>
  <c r="I81" i="80" s="1"/>
  <c r="I80" i="80" a="1"/>
  <c r="I80" i="80" s="1"/>
  <c r="I79" i="80" a="1"/>
  <c r="I79" i="80" s="1"/>
  <c r="I78" i="80"/>
  <c r="G78" i="80" a="1"/>
  <c r="G78" i="80" s="1"/>
  <c r="D78" i="80" a="1"/>
  <c r="D78" i="80" s="1"/>
  <c r="E76" i="80" a="1"/>
  <c r="E76" i="80" s="1"/>
  <c r="S103" i="80" s="1"/>
  <c r="E75" i="80" a="1"/>
  <c r="E75" i="80" s="1"/>
  <c r="D71" i="80" a="1"/>
  <c r="D71" i="80" s="1"/>
  <c r="D70" i="80" a="1"/>
  <c r="D70" i="80" s="1"/>
  <c r="D69" i="80" a="1"/>
  <c r="D69" i="80" s="1"/>
  <c r="I45" i="80" a="1"/>
  <c r="I45" i="80" s="1"/>
  <c r="I44" i="80" a="1"/>
  <c r="I44" i="80" s="1"/>
  <c r="I43" i="80" a="1"/>
  <c r="I43" i="80" s="1"/>
  <c r="I42" i="80" a="1"/>
  <c r="I42" i="80" s="1"/>
  <c r="G42" i="80" a="1"/>
  <c r="G42" i="80" s="1"/>
  <c r="I50" i="80" s="1"/>
  <c r="D42" i="80" a="1"/>
  <c r="D42" i="80" s="1"/>
  <c r="E40" i="80" a="1"/>
  <c r="E40" i="80" s="1"/>
  <c r="E39" i="80" a="1"/>
  <c r="E39" i="80" s="1"/>
  <c r="D34" i="80" a="1"/>
  <c r="D34" i="80" s="1"/>
  <c r="D33" i="80" a="1"/>
  <c r="D33" i="80" s="1"/>
  <c r="H14" i="80" a="1"/>
  <c r="H14" i="80" s="1"/>
  <c r="H13" i="80" a="1"/>
  <c r="H13" i="80" s="1"/>
  <c r="F13" i="80" a="1"/>
  <c r="F13" i="80" s="1"/>
  <c r="D13" i="80" a="1"/>
  <c r="D13" i="80" s="1"/>
  <c r="E11" i="80" a="1"/>
  <c r="E11" i="80" s="1"/>
  <c r="E10" i="80" a="1"/>
  <c r="E10" i="80" s="1"/>
  <c r="D6" i="80" a="1"/>
  <c r="D6" i="80" s="1"/>
  <c r="D5" i="80" a="1"/>
  <c r="D5" i="80" s="1"/>
  <c r="Q305" i="79" a="1"/>
  <c r="Q305" i="79" s="1"/>
  <c r="F305" i="79" a="1"/>
  <c r="F305" i="79" s="1"/>
  <c r="O302" i="79" a="1"/>
  <c r="O302" i="79" s="1"/>
  <c r="D302" i="79" a="1"/>
  <c r="D302" i="79" s="1"/>
  <c r="O298" i="79"/>
  <c r="D298" i="79"/>
  <c r="O297" i="79"/>
  <c r="D297" i="79"/>
  <c r="P296" i="79"/>
  <c r="O296" i="79"/>
  <c r="E296" i="79"/>
  <c r="D296" i="79"/>
  <c r="P295" i="79"/>
  <c r="O295" i="79"/>
  <c r="E295" i="79"/>
  <c r="D295" i="79"/>
  <c r="O294" i="79"/>
  <c r="D294" i="79"/>
  <c r="O293" i="79"/>
  <c r="D293" i="79"/>
  <c r="O292" i="79"/>
  <c r="D292" i="79"/>
  <c r="O291" i="79"/>
  <c r="D291" i="79"/>
  <c r="O290" i="79"/>
  <c r="D290" i="79"/>
  <c r="A275" i="79"/>
  <c r="H270" i="79"/>
  <c r="G270" i="79"/>
  <c r="F270" i="79"/>
  <c r="E270" i="79"/>
  <c r="D270" i="79"/>
  <c r="J265" i="79" a="1"/>
  <c r="J265" i="79" s="1"/>
  <c r="J264" i="79" a="1"/>
  <c r="J264" i="79" s="1"/>
  <c r="J263" i="79" a="1"/>
  <c r="J263" i="79" s="1"/>
  <c r="J262" i="79" a="1"/>
  <c r="J262" i="79" s="1"/>
  <c r="J261" i="79" a="1"/>
  <c r="J261" i="79" s="1"/>
  <c r="J260" i="79" a="1"/>
  <c r="J260" i="79" s="1"/>
  <c r="J259" i="79" a="1"/>
  <c r="J259" i="79" s="1"/>
  <c r="J258" i="79" a="1"/>
  <c r="J258" i="79" s="1"/>
  <c r="H258" i="79" a="1"/>
  <c r="H258" i="79" s="1"/>
  <c r="D258" i="79" a="1"/>
  <c r="D258" i="79" s="1"/>
  <c r="E256" i="79" a="1"/>
  <c r="E256" i="79" s="1"/>
  <c r="E255" i="79" a="1"/>
  <c r="E255" i="79" s="1"/>
  <c r="D251" i="79" a="1"/>
  <c r="D251" i="79" s="1"/>
  <c r="D250" i="79" a="1"/>
  <c r="D250" i="79" s="1"/>
  <c r="D249" i="79" a="1"/>
  <c r="D249" i="79" s="1"/>
  <c r="O245" i="79"/>
  <c r="D245" i="79"/>
  <c r="O244" i="79"/>
  <c r="D244" i="79"/>
  <c r="P243" i="79"/>
  <c r="O243" i="79"/>
  <c r="E243" i="79"/>
  <c r="D243" i="79"/>
  <c r="P242" i="79"/>
  <c r="O242" i="79"/>
  <c r="D242" i="79"/>
  <c r="O241" i="79"/>
  <c r="D241" i="79"/>
  <c r="O240" i="79"/>
  <c r="D240" i="79"/>
  <c r="O239" i="79"/>
  <c r="D239" i="79"/>
  <c r="O238" i="79"/>
  <c r="D238" i="79"/>
  <c r="O237" i="79"/>
  <c r="D237" i="79"/>
  <c r="T223" i="79"/>
  <c r="T220" i="79" a="1"/>
  <c r="T220" i="79" s="1"/>
  <c r="I220" i="79" a="1"/>
  <c r="I220" i="79" s="1"/>
  <c r="J219" i="79" a="1"/>
  <c r="J219" i="79" s="1"/>
  <c r="I219" i="79" a="1"/>
  <c r="I219" i="79" s="1"/>
  <c r="R218" i="79" a="1"/>
  <c r="R218" i="79" s="1"/>
  <c r="O218" i="79" a="1"/>
  <c r="O218" i="79" s="1"/>
  <c r="I218" i="79" a="1"/>
  <c r="I218" i="79" s="1"/>
  <c r="G218" i="79" a="1"/>
  <c r="G218" i="79" s="1"/>
  <c r="D218" i="79" a="1"/>
  <c r="D218" i="79" s="1"/>
  <c r="A217" i="79"/>
  <c r="E216" i="79" a="1"/>
  <c r="E216" i="79" s="1"/>
  <c r="E215" i="79" a="1"/>
  <c r="E215" i="79" s="1"/>
  <c r="D211" i="79" a="1"/>
  <c r="D211" i="79" s="1"/>
  <c r="D210" i="79" a="1"/>
  <c r="D210" i="79" s="1"/>
  <c r="O206" i="79"/>
  <c r="D206" i="79"/>
  <c r="O205" i="79"/>
  <c r="D205" i="79"/>
  <c r="O200" i="79"/>
  <c r="D200" i="79"/>
  <c r="O199" i="79"/>
  <c r="D199" i="79"/>
  <c r="I194" i="79" a="1"/>
  <c r="I194" i="79" s="1"/>
  <c r="I193" i="79" a="1"/>
  <c r="I193" i="79" s="1"/>
  <c r="I192" i="79" a="1"/>
  <c r="I192" i="79" s="1"/>
  <c r="G192" i="79" a="1"/>
  <c r="G192" i="79" s="1"/>
  <c r="D192" i="79" a="1"/>
  <c r="D192" i="79" s="1"/>
  <c r="E190" i="79" a="1"/>
  <c r="E190" i="79" s="1"/>
  <c r="E189" i="79" a="1"/>
  <c r="E189" i="79" s="1"/>
  <c r="D185" i="79" a="1"/>
  <c r="D185" i="79" s="1"/>
  <c r="D184" i="79" a="1"/>
  <c r="D184" i="79" s="1"/>
  <c r="D183" i="79" a="1"/>
  <c r="D183" i="79" s="1"/>
  <c r="O179" i="79"/>
  <c r="D179" i="79"/>
  <c r="P178" i="79"/>
  <c r="O178" i="79"/>
  <c r="E178" i="79"/>
  <c r="D178" i="79"/>
  <c r="A178" i="79"/>
  <c r="P177" i="79"/>
  <c r="O177" i="79"/>
  <c r="E177" i="79"/>
  <c r="D177" i="79"/>
  <c r="O176" i="79"/>
  <c r="D176" i="79"/>
  <c r="O175" i="79"/>
  <c r="D175" i="79"/>
  <c r="O174" i="79"/>
  <c r="D174" i="79"/>
  <c r="O173" i="79"/>
  <c r="D173" i="79"/>
  <c r="Q168" i="79"/>
  <c r="O168" i="79"/>
  <c r="F168" i="79"/>
  <c r="D168" i="79"/>
  <c r="P167" i="79"/>
  <c r="O167" i="79"/>
  <c r="E167" i="79"/>
  <c r="D167" i="79"/>
  <c r="Q166" i="79"/>
  <c r="P166" i="79"/>
  <c r="O166" i="79"/>
  <c r="F166" i="79"/>
  <c r="E166" i="79"/>
  <c r="D166" i="79"/>
  <c r="Q165" i="79"/>
  <c r="O165" i="79"/>
  <c r="D165" i="79"/>
  <c r="Q164" i="79"/>
  <c r="O164" i="79"/>
  <c r="F164" i="79"/>
  <c r="D164" i="79"/>
  <c r="Q163" i="79"/>
  <c r="O163" i="79"/>
  <c r="D163" i="79"/>
  <c r="O162" i="79"/>
  <c r="D162" i="79"/>
  <c r="O157" i="79"/>
  <c r="D157" i="79"/>
  <c r="P156" i="79"/>
  <c r="O156" i="79"/>
  <c r="E156" i="79"/>
  <c r="D156" i="79"/>
  <c r="P155" i="79"/>
  <c r="O155" i="79"/>
  <c r="E155" i="79"/>
  <c r="D155" i="79"/>
  <c r="O154" i="79"/>
  <c r="D154" i="79"/>
  <c r="O153" i="79"/>
  <c r="D153" i="79"/>
  <c r="O152" i="79"/>
  <c r="D152" i="79"/>
  <c r="O151" i="79"/>
  <c r="D151" i="79"/>
  <c r="I146" i="79" a="1"/>
  <c r="I146" i="79" s="1"/>
  <c r="I145" i="79" a="1"/>
  <c r="I145" i="79" s="1"/>
  <c r="G145" i="79" a="1"/>
  <c r="G145" i="79" s="1"/>
  <c r="K151" i="79" s="1"/>
  <c r="D145" i="79" a="1"/>
  <c r="D145" i="79" s="1"/>
  <c r="E143" i="79" a="1"/>
  <c r="E143" i="79" s="1"/>
  <c r="E142" i="79" a="1"/>
  <c r="E142" i="79" s="1"/>
  <c r="D138" i="79" a="1"/>
  <c r="D138" i="79" s="1"/>
  <c r="D137" i="79" a="1"/>
  <c r="D137" i="79" s="1"/>
  <c r="I127" i="79" a="1"/>
  <c r="I127" i="79" s="1"/>
  <c r="I126" i="79" a="1"/>
  <c r="I126" i="79" s="1"/>
  <c r="G126" i="79" a="1"/>
  <c r="G126" i="79" s="1"/>
  <c r="D126" i="79" a="1"/>
  <c r="D126" i="79" s="1"/>
  <c r="E124" i="79" a="1"/>
  <c r="E124" i="79" s="1"/>
  <c r="T133" i="79" s="1"/>
  <c r="E123" i="79" a="1"/>
  <c r="E123" i="79" s="1"/>
  <c r="D119" i="79" a="1"/>
  <c r="D119" i="79" s="1"/>
  <c r="D118" i="79" a="1"/>
  <c r="D118" i="79" s="1"/>
  <c r="I94" i="79" a="1"/>
  <c r="I94" i="79" s="1"/>
  <c r="I93" i="79" a="1"/>
  <c r="I93" i="79" s="1"/>
  <c r="I92" i="79" a="1"/>
  <c r="I92" i="79" s="1"/>
  <c r="I91" i="79" a="1"/>
  <c r="I91" i="79" s="1"/>
  <c r="G91" i="79" a="1"/>
  <c r="G91" i="79" s="1"/>
  <c r="D91" i="79" a="1"/>
  <c r="D91" i="79" s="1"/>
  <c r="E89" i="79" a="1"/>
  <c r="E89" i="79" s="1"/>
  <c r="E88" i="79" a="1"/>
  <c r="E88" i="79" s="1"/>
  <c r="D84" i="79" a="1"/>
  <c r="D84" i="79" s="1"/>
  <c r="D83" i="79" a="1"/>
  <c r="D83" i="79" s="1"/>
  <c r="I68" i="79" a="1"/>
  <c r="I68" i="79" s="1"/>
  <c r="I64" i="79" a="1"/>
  <c r="I64" i="79" s="1"/>
  <c r="I63" i="79" a="1"/>
  <c r="I63" i="79" s="1"/>
  <c r="I62" i="79"/>
  <c r="D74" i="79" s="1"/>
  <c r="D93" i="80" s="1"/>
  <c r="G62" i="79" a="1"/>
  <c r="G62" i="79" s="1"/>
  <c r="D62" i="79" a="1"/>
  <c r="D62" i="79" s="1"/>
  <c r="E60" i="79" a="1"/>
  <c r="E60" i="79" s="1"/>
  <c r="E59" i="79" a="1"/>
  <c r="E59" i="79" s="1"/>
  <c r="D55" i="79" a="1"/>
  <c r="D55" i="79" s="1"/>
  <c r="D54" i="79" a="1"/>
  <c r="D54" i="79" s="1"/>
  <c r="I40" i="79"/>
  <c r="I38" i="79" a="1"/>
  <c r="I38" i="79" s="1"/>
  <c r="R37" i="79" a="1"/>
  <c r="R37" i="79" s="1"/>
  <c r="O37" i="79" a="1"/>
  <c r="O37" i="79" s="1"/>
  <c r="I37" i="79"/>
  <c r="D45" i="79" s="1"/>
  <c r="G37" i="79" a="1"/>
  <c r="I45" i="79" s="1"/>
  <c r="D37" i="79" a="1"/>
  <c r="D37" i="79" s="1"/>
  <c r="E35" i="79" a="1"/>
  <c r="E35" i="79" s="1"/>
  <c r="E34" i="79" a="1"/>
  <c r="E34" i="79" s="1"/>
  <c r="D30" i="79" a="1"/>
  <c r="D30" i="79" s="1"/>
  <c r="D29" i="79" a="1"/>
  <c r="D29" i="79" s="1"/>
  <c r="D28" i="79" a="1"/>
  <c r="D28" i="79" s="1"/>
  <c r="I14" i="79"/>
  <c r="G14" i="79" a="1"/>
  <c r="G14" i="79" s="1"/>
  <c r="D14" i="79" a="1"/>
  <c r="D14" i="79" s="1"/>
  <c r="E12" i="79" a="1"/>
  <c r="E12" i="79" s="1"/>
  <c r="E11" i="79" a="1"/>
  <c r="E11" i="79" s="1"/>
  <c r="D7" i="79" a="1"/>
  <c r="D7" i="79" s="1"/>
  <c r="D6" i="79" a="1"/>
  <c r="D6" i="79" s="1"/>
  <c r="D5" i="79" a="1"/>
  <c r="D5" i="79" s="1"/>
  <c r="N118" i="78"/>
  <c r="E116" i="78"/>
  <c r="E115" i="78"/>
  <c r="N113" i="78"/>
  <c r="F70" i="83" s="1"/>
  <c r="E111" i="78"/>
  <c r="Q167" i="79" s="1"/>
  <c r="D111" i="78"/>
  <c r="E110" i="78"/>
  <c r="F167" i="79" s="1"/>
  <c r="D110" i="78"/>
  <c r="D109" i="78"/>
  <c r="N108" i="78"/>
  <c r="F69" i="83" s="1"/>
  <c r="E106" i="78"/>
  <c r="D106" i="78"/>
  <c r="E105" i="78"/>
  <c r="N103" i="78"/>
  <c r="D105" i="78"/>
  <c r="D99" i="78"/>
  <c r="I96" i="78"/>
  <c r="H96" i="78"/>
  <c r="G96" i="78"/>
  <c r="F96" i="78"/>
  <c r="E96" i="78"/>
  <c r="N94" i="78"/>
  <c r="F67" i="83" s="1"/>
  <c r="E91" i="78"/>
  <c r="F165" i="79" s="1"/>
  <c r="N89" i="78"/>
  <c r="E86" i="78"/>
  <c r="N84" i="78"/>
  <c r="E81" i="78"/>
  <c r="F163" i="79" s="1"/>
  <c r="N79" i="78"/>
  <c r="F64" i="83" s="1"/>
  <c r="D75" i="78"/>
  <c r="F50" i="78"/>
  <c r="D29" i="78"/>
  <c r="D28" i="78"/>
  <c r="D25" i="78"/>
  <c r="D24" i="78"/>
  <c r="D10" i="78"/>
  <c r="I16" i="77"/>
  <c r="I15" i="77"/>
  <c r="I14" i="77"/>
  <c r="I13" i="77"/>
  <c r="I12" i="77"/>
  <c r="I11" i="77"/>
  <c r="I10" i="77"/>
  <c r="I9" i="77"/>
  <c r="I8" i="77"/>
  <c r="I7" i="77"/>
  <c r="E290" i="116" a="1"/>
  <c r="E418" i="116" a="1"/>
  <c r="E7" i="96" a="1"/>
  <c r="E7" i="91" a="1"/>
  <c r="E91" i="83" a="1"/>
  <c r="E212" i="79" a="1"/>
  <c r="E258" i="116" a="1"/>
  <c r="E30" i="110" a="1"/>
  <c r="E594" i="116" a="1"/>
  <c r="N60" i="91" a="1"/>
  <c r="E49" i="96" a="1"/>
  <c r="E86" i="89" a="1"/>
  <c r="E7" i="82" a="1"/>
  <c r="E186" i="79" a="1"/>
  <c r="O26" i="117" a="1"/>
  <c r="E323" i="116" a="1"/>
  <c r="E7" i="110" a="1"/>
  <c r="E83" i="96"/>
  <c r="E121" i="89" a="1"/>
  <c r="E36" i="82" a="1"/>
  <c r="E56" i="79" a="1"/>
  <c r="E151" i="116" a="1"/>
  <c r="E7" i="86" a="1"/>
  <c r="E85" i="79" a="1"/>
  <c r="E61" i="117" a="1"/>
  <c r="E540" i="116"/>
  <c r="E7" i="103" a="1"/>
  <c r="E38" i="93" a="1"/>
  <c r="E7" i="85" a="1"/>
  <c r="E109" i="80" a="1"/>
  <c r="O7" i="117"/>
  <c r="E7" i="102" a="1"/>
  <c r="E7" i="92" a="1"/>
  <c r="E183" i="80" a="1"/>
  <c r="E8" i="99"/>
  <c r="E219" i="80" a="1"/>
  <c r="E7" i="117"/>
  <c r="E7" i="116" a="1"/>
  <c r="E7" i="109" a="1"/>
  <c r="E90" i="95" a="1"/>
  <c r="E139" i="89" a="1"/>
  <c r="E7" i="81" a="1"/>
  <c r="E31" i="79" a="1"/>
  <c r="L8" i="103" a="1"/>
  <c r="E256" i="80" a="1"/>
  <c r="E100" i="116" a="1"/>
  <c r="E37" i="84" a="1"/>
  <c r="E26" i="117" a="1"/>
  <c r="E188" i="116" a="1"/>
  <c r="O27" i="109"/>
  <c r="E7" i="95" a="1"/>
  <c r="E57" i="89" a="1"/>
  <c r="E55" i="81"/>
  <c r="E252" i="79" a="1"/>
  <c r="E523" i="116"/>
  <c r="E7" i="84" a="1"/>
  <c r="O42" i="117"/>
  <c r="E174" i="116" a="1"/>
  <c r="E27" i="109"/>
  <c r="E118" i="95" a="1"/>
  <c r="E31" i="89" a="1"/>
  <c r="E72" i="80" a="1"/>
  <c r="E139" i="79" a="1"/>
  <c r="E385" i="116" a="1"/>
  <c r="E43" i="95" a="1"/>
  <c r="E35" i="80" a="1"/>
  <c r="E42" i="117"/>
  <c r="E7" i="106" a="1"/>
  <c r="E8" i="89" a="1"/>
  <c r="E8" i="79" a="1"/>
  <c r="O61" i="117" a="1"/>
  <c r="E203" i="116" a="1"/>
  <c r="E99" i="106" a="1"/>
  <c r="E7" i="94" a="1"/>
  <c r="E37" i="86"/>
  <c r="E7" i="80" a="1"/>
  <c r="E120" i="79" a="1"/>
  <c r="O79" i="117"/>
  <c r="E7" i="93" a="1"/>
  <c r="E79" i="117"/>
  <c r="E43" i="92" a="1"/>
  <c r="L7" i="102" a="1"/>
  <c r="E153" i="80" a="1"/>
  <c r="E355" i="116" a="1"/>
  <c r="E32" i="85"/>
  <c r="E561" i="116" a="1"/>
  <c r="E7" i="83" a="1"/>
  <c r="E508" i="116"/>
  <c r="E25" i="99"/>
  <c r="E42" i="91" a="1"/>
  <c r="E132" i="80" a="1"/>
  <c r="L38" i="103" l="1" a="1"/>
  <c r="L38" i="103" s="1"/>
  <c r="M38" i="103" a="1"/>
  <c r="M38" i="103" s="1"/>
  <c r="D56" i="113"/>
  <c r="D136" i="116" s="1"/>
  <c r="F136" i="116" s="1" a="1"/>
  <c r="F136" i="116" s="1"/>
  <c r="D139" i="116"/>
  <c r="F139" i="116" s="1" a="1"/>
  <c r="F139" i="116" s="1"/>
  <c r="I139" i="116" s="1" a="1"/>
  <c r="I139" i="116" s="1"/>
  <c r="D137" i="116"/>
  <c r="F137" i="116" s="1" a="1"/>
  <c r="F137" i="116" s="1"/>
  <c r="D138" i="116"/>
  <c r="F138" i="116" s="1" a="1"/>
  <c r="F138" i="116" s="1"/>
  <c r="J39" i="103"/>
  <c r="I39" i="103"/>
  <c r="G39" i="103"/>
  <c r="H39" i="103"/>
  <c r="M36" i="102" a="1"/>
  <c r="M36" i="102" s="1"/>
  <c r="L36" i="102" a="1"/>
  <c r="L36" i="102" s="1"/>
  <c r="M39" i="103" a="1"/>
  <c r="M39" i="103" s="1"/>
  <c r="L39" i="103" a="1"/>
  <c r="L39" i="103" s="1"/>
  <c r="F35" i="83"/>
  <c r="F31" i="83"/>
  <c r="F32" i="83"/>
  <c r="F34" i="83"/>
  <c r="F33" i="83"/>
  <c r="E69" i="78"/>
  <c r="F64" i="78"/>
  <c r="I68" i="78"/>
  <c r="U25" i="84" s="1"/>
  <c r="E64" i="78"/>
  <c r="H68" i="78"/>
  <c r="T25" i="84" s="1"/>
  <c r="I63" i="78"/>
  <c r="J25" i="84" s="1"/>
  <c r="G68" i="78"/>
  <c r="S25" i="84" s="1"/>
  <c r="H63" i="78"/>
  <c r="I25" i="84" s="1"/>
  <c r="F68" i="78"/>
  <c r="R25" i="84" s="1"/>
  <c r="G63" i="78"/>
  <c r="H25" i="84" s="1"/>
  <c r="I70" i="78"/>
  <c r="E68" i="78"/>
  <c r="F63" i="78"/>
  <c r="G25" i="84" s="1"/>
  <c r="H70" i="78"/>
  <c r="I65" i="78"/>
  <c r="E63" i="78"/>
  <c r="G70" i="78"/>
  <c r="H65" i="78"/>
  <c r="F70" i="78"/>
  <c r="G65" i="78"/>
  <c r="E70" i="78"/>
  <c r="F65" i="78"/>
  <c r="I69" i="78"/>
  <c r="E65" i="78"/>
  <c r="H69" i="78"/>
  <c r="I64" i="78"/>
  <c r="G69" i="78"/>
  <c r="H64" i="78"/>
  <c r="F69" i="78"/>
  <c r="G64" i="78"/>
  <c r="M25" i="103" a="1"/>
  <c r="M25" i="103" s="1"/>
  <c r="L25" i="103" a="1"/>
  <c r="L25" i="103" s="1"/>
  <c r="M32" i="102" a="1"/>
  <c r="M32" i="102" s="1"/>
  <c r="I175" i="118"/>
  <c r="H195" i="118"/>
  <c r="I69" i="89"/>
  <c r="E109" i="95"/>
  <c r="E72" i="96"/>
  <c r="I174" i="118"/>
  <c r="H194" i="118"/>
  <c r="M32" i="103" a="1"/>
  <c r="M32" i="103" s="1"/>
  <c r="L32" i="103" a="1"/>
  <c r="L32" i="103" s="1"/>
  <c r="M28" i="103" a="1"/>
  <c r="M28" i="103" s="1"/>
  <c r="E106" i="95"/>
  <c r="E69" i="96"/>
  <c r="E15" i="88" a="1"/>
  <c r="E15" i="88" s="1"/>
  <c r="D105" i="89" s="1"/>
  <c r="E15" i="78" a="1"/>
  <c r="E15" i="78" s="1"/>
  <c r="E19" i="88" a="1"/>
  <c r="E19" i="88" s="1"/>
  <c r="M105" i="89" s="1"/>
  <c r="E19" i="78" a="1"/>
  <c r="E19" i="78" s="1"/>
  <c r="G36" i="88"/>
  <c r="G41" i="88"/>
  <c r="L34" i="102" a="1"/>
  <c r="L34" i="102" s="1"/>
  <c r="M34" i="102" a="1"/>
  <c r="M34" i="102" s="1"/>
  <c r="M35" i="103" a="1"/>
  <c r="M35" i="103" s="1"/>
  <c r="E74" i="96"/>
  <c r="E111" i="95"/>
  <c r="E269" i="80" a="1"/>
  <c r="E269" i="80" s="1"/>
  <c r="E22" i="83" a="1"/>
  <c r="E22" i="83" s="1"/>
  <c r="F36" i="88"/>
  <c r="E75" i="96"/>
  <c r="E112" i="95"/>
  <c r="F112" i="95" s="1" a="1"/>
  <c r="F112" i="95" s="1"/>
  <c r="E144" i="95" s="1"/>
  <c r="J91" i="96"/>
  <c r="J87" i="117"/>
  <c r="E31" i="83" a="1"/>
  <c r="E31" i="83" s="1"/>
  <c r="E31" i="81" a="1"/>
  <c r="E31" i="81" s="1"/>
  <c r="D19" i="92" a="1"/>
  <c r="P22" i="90"/>
  <c r="P21" i="90"/>
  <c r="D19" i="95" a="1"/>
  <c r="D58" i="92" a="1"/>
  <c r="D58" i="92" s="1"/>
  <c r="D19" i="91" a="1"/>
  <c r="D23" i="96" a="1"/>
  <c r="D23" i="96" s="1"/>
  <c r="D59" i="95" a="1"/>
  <c r="D59" i="95" s="1"/>
  <c r="D60" i="91" a="1"/>
  <c r="D60" i="91" s="1"/>
  <c r="P20" i="90"/>
  <c r="O50" i="91" s="1" a="1"/>
  <c r="G183" i="118"/>
  <c r="F15" i="88" a="1"/>
  <c r="F15" i="88" s="1"/>
  <c r="E105" i="89" s="1"/>
  <c r="F15" i="78" a="1"/>
  <c r="F15" i="78" s="1"/>
  <c r="F19" i="88" a="1"/>
  <c r="F19" i="88" s="1"/>
  <c r="N105" i="89" s="1"/>
  <c r="F19" i="78" a="1"/>
  <c r="F19" i="78" s="1"/>
  <c r="D31" i="83" a="1"/>
  <c r="D31" i="83" s="1"/>
  <c r="D22" i="83" a="1"/>
  <c r="D22" i="83" s="1"/>
  <c r="D31" i="81" a="1"/>
  <c r="D31" i="81" s="1"/>
  <c r="D269" i="80" a="1"/>
  <c r="D269" i="80" s="1"/>
  <c r="H36" i="88"/>
  <c r="H41" i="88"/>
  <c r="K25" i="103"/>
  <c r="J25" i="103"/>
  <c r="H25" i="103"/>
  <c r="I25" i="103"/>
  <c r="G25" i="103"/>
  <c r="M25" i="102" a="1"/>
  <c r="M25" i="102" s="1"/>
  <c r="L25" i="102" a="1"/>
  <c r="L25" i="102" s="1"/>
  <c r="M28" i="102" a="1"/>
  <c r="M28" i="102" s="1"/>
  <c r="G15" i="88" a="1"/>
  <c r="G15" i="88" s="1"/>
  <c r="F105" i="89" s="1"/>
  <c r="G15" i="78" a="1"/>
  <c r="G15" i="78" s="1"/>
  <c r="G19" i="88" a="1"/>
  <c r="G19" i="88" s="1"/>
  <c r="O105" i="89" s="1"/>
  <c r="G19" i="78" a="1"/>
  <c r="G19" i="78" s="1"/>
  <c r="I36" i="88"/>
  <c r="I41" i="88"/>
  <c r="G175" i="118"/>
  <c r="AA245" i="116" s="1" a="1"/>
  <c r="AA245" i="116" s="1"/>
  <c r="G176" i="118"/>
  <c r="G177" i="118"/>
  <c r="G174" i="118"/>
  <c r="W245" i="116" s="1" a="1"/>
  <c r="W245" i="116" s="1"/>
  <c r="M33" i="102" a="1"/>
  <c r="M33" i="102" s="1"/>
  <c r="M29" i="103" a="1"/>
  <c r="M29" i="103" s="1"/>
  <c r="L29" i="103" a="1"/>
  <c r="L29" i="103" s="1"/>
  <c r="E71" i="96"/>
  <c r="E108" i="95"/>
  <c r="F108" i="95" s="1" a="1"/>
  <c r="F108" i="95" s="1"/>
  <c r="E140" i="95" s="1"/>
  <c r="H15" i="88" a="1"/>
  <c r="H15" i="88" s="1"/>
  <c r="G105" i="89" s="1"/>
  <c r="H15" i="78" a="1"/>
  <c r="H15" i="78" s="1"/>
  <c r="H19" i="88" a="1"/>
  <c r="H19" i="88" s="1"/>
  <c r="P105" i="89" s="1"/>
  <c r="H19" i="78" a="1"/>
  <c r="H19" i="78" s="1"/>
  <c r="D110" i="89"/>
  <c r="D109" i="79"/>
  <c r="D55" i="80"/>
  <c r="E37" i="88"/>
  <c r="I97" i="95"/>
  <c r="I33" i="117"/>
  <c r="I36" i="103"/>
  <c r="H36" i="103"/>
  <c r="K36" i="103"/>
  <c r="J36" i="103"/>
  <c r="G36" i="103"/>
  <c r="M37" i="102" a="1"/>
  <c r="M37" i="102" s="1"/>
  <c r="L37" i="102" a="1"/>
  <c r="L37" i="102" s="1"/>
  <c r="E20" i="108"/>
  <c r="T14" i="109"/>
  <c r="G197" i="118"/>
  <c r="G194" i="118"/>
  <c r="G196" i="118"/>
  <c r="G195" i="118"/>
  <c r="I14" i="88" a="1"/>
  <c r="I14" i="88" s="1"/>
  <c r="H100" i="89" s="1"/>
  <c r="I14" i="78" a="1"/>
  <c r="I14" i="78" s="1"/>
  <c r="I18" i="88" a="1"/>
  <c r="I18" i="88" s="1"/>
  <c r="Q100" i="89" s="1"/>
  <c r="I18" i="78" a="1"/>
  <c r="I18" i="78" s="1"/>
  <c r="I24" i="88" a="1"/>
  <c r="I24" i="88" s="1"/>
  <c r="H165" i="89" s="1"/>
  <c r="G25" i="78" a="1"/>
  <c r="G25" i="78" s="1"/>
  <c r="H24" i="88" a="1"/>
  <c r="H24" i="88" s="1"/>
  <c r="G165" i="89" s="1"/>
  <c r="F25" i="78" a="1"/>
  <c r="F25" i="78" s="1"/>
  <c r="G24" i="88" a="1"/>
  <c r="G24" i="88" s="1"/>
  <c r="F165" i="89" s="1"/>
  <c r="E25" i="78" a="1"/>
  <c r="E25" i="78" s="1"/>
  <c r="F24" i="88" a="1"/>
  <c r="F24" i="88" s="1"/>
  <c r="E165" i="89" s="1"/>
  <c r="I24" i="78" a="1"/>
  <c r="I24" i="78" s="1"/>
  <c r="I28" i="88" a="1"/>
  <c r="I28" i="88" s="1"/>
  <c r="E24" i="88" a="1"/>
  <c r="E24" i="88" s="1"/>
  <c r="D165" i="89" s="1"/>
  <c r="H24" i="78" a="1"/>
  <c r="H24" i="78" s="1"/>
  <c r="H28" i="88" a="1"/>
  <c r="H28" i="88" s="1"/>
  <c r="G24" i="78" a="1"/>
  <c r="G24" i="78" s="1"/>
  <c r="G28" i="88" a="1"/>
  <c r="G28" i="88" s="1"/>
  <c r="F24" i="78" a="1"/>
  <c r="F24" i="78" s="1"/>
  <c r="F28" i="88" a="1"/>
  <c r="F28" i="88" s="1"/>
  <c r="I28" i="78" a="1"/>
  <c r="I28" i="78" s="1"/>
  <c r="E24" i="78" a="1"/>
  <c r="E24" i="78" s="1"/>
  <c r="E28" i="88" a="1"/>
  <c r="E28" i="88" s="1"/>
  <c r="H28" i="78" a="1"/>
  <c r="H28" i="78" s="1"/>
  <c r="I25" i="88" a="1"/>
  <c r="I25" i="88" s="1"/>
  <c r="G28" i="78" a="1"/>
  <c r="G28" i="78" s="1"/>
  <c r="H25" i="88" a="1"/>
  <c r="H25" i="88" s="1"/>
  <c r="F28" i="78" a="1"/>
  <c r="F28" i="78" s="1"/>
  <c r="G25" i="88" a="1"/>
  <c r="G25" i="88" s="1"/>
  <c r="E28" i="78" a="1"/>
  <c r="E28" i="78" s="1"/>
  <c r="F25" i="88" a="1"/>
  <c r="F25" i="88" s="1"/>
  <c r="I25" i="78" a="1"/>
  <c r="I25" i="78" s="1"/>
  <c r="E25" i="88" a="1"/>
  <c r="E25" i="88" s="1"/>
  <c r="D170" i="89" s="1"/>
  <c r="H25" i="78" a="1"/>
  <c r="H25" i="78" s="1"/>
  <c r="E73" i="96"/>
  <c r="E110" i="95"/>
  <c r="F110" i="95" s="1" a="1"/>
  <c r="F110" i="95" s="1"/>
  <c r="E142" i="95" s="1"/>
  <c r="E53" i="88"/>
  <c r="H196" i="118"/>
  <c r="I176" i="118"/>
  <c r="G40" i="103"/>
  <c r="I40" i="103"/>
  <c r="H40" i="103"/>
  <c r="J40" i="103"/>
  <c r="M29" i="102" a="1"/>
  <c r="M29" i="102" s="1"/>
  <c r="D94" i="78"/>
  <c r="O232" i="79"/>
  <c r="D232" i="79"/>
  <c r="D118" i="78"/>
  <c r="E18" i="88"/>
  <c r="M100" i="89" s="1"/>
  <c r="H9" i="112" a="1"/>
  <c r="H9" i="112" s="1"/>
  <c r="G18" i="78"/>
  <c r="H8" i="112" a="1"/>
  <c r="H8" i="112" s="1"/>
  <c r="F18" i="78"/>
  <c r="H7" i="112" a="1"/>
  <c r="H7" i="112" s="1"/>
  <c r="E18" i="78"/>
  <c r="G14" i="88"/>
  <c r="F100" i="89" s="1"/>
  <c r="F14" i="88"/>
  <c r="E100" i="89" s="1"/>
  <c r="E14" i="88"/>
  <c r="D100" i="89" s="1"/>
  <c r="G14" i="78"/>
  <c r="G18" i="88"/>
  <c r="O100" i="89" s="1"/>
  <c r="F14" i="78"/>
  <c r="F18" i="88"/>
  <c r="N100" i="89" s="1"/>
  <c r="E14" i="78"/>
  <c r="M33" i="103" a="1"/>
  <c r="M33" i="103" s="1"/>
  <c r="L33" i="103" a="1"/>
  <c r="L33" i="103" s="1"/>
  <c r="M30" i="103" a="1"/>
  <c r="M30" i="103" s="1"/>
  <c r="H18" i="78" a="1"/>
  <c r="H18" i="78" s="1"/>
  <c r="H14" i="88" a="1"/>
  <c r="H14" i="88" s="1"/>
  <c r="G100" i="89" s="1"/>
  <c r="H14" i="78" a="1"/>
  <c r="H14" i="78" s="1"/>
  <c r="H18" i="88" a="1"/>
  <c r="H18" i="88" s="1"/>
  <c r="P100" i="89" s="1"/>
  <c r="R16" i="90" a="1"/>
  <c r="R16" i="90" s="1"/>
  <c r="U15" i="90" a="1"/>
  <c r="U15" i="90" s="1"/>
  <c r="X14" i="90"/>
  <c r="Q16" i="90" a="1"/>
  <c r="Q16" i="90" s="1"/>
  <c r="M16" i="90" a="1"/>
  <c r="M16" i="90" s="1"/>
  <c r="P15" i="90" a="1"/>
  <c r="P15" i="90" s="1"/>
  <c r="S14" i="90" a="1"/>
  <c r="S14" i="90" s="1"/>
  <c r="L16" i="90" a="1"/>
  <c r="L16" i="90" s="1"/>
  <c r="T16" i="90" a="1"/>
  <c r="T16" i="90" s="1"/>
  <c r="W15" i="90"/>
  <c r="G15" i="90"/>
  <c r="L14" i="90" a="1"/>
  <c r="L14" i="90" s="1"/>
  <c r="O13" i="90" a="1"/>
  <c r="O13" i="90" s="1"/>
  <c r="R12" i="90" a="1"/>
  <c r="R12" i="90" s="1"/>
  <c r="S16" i="90" a="1"/>
  <c r="S16" i="90" s="1"/>
  <c r="F15" i="90"/>
  <c r="K14" i="90" a="1"/>
  <c r="K14" i="90" s="1"/>
  <c r="N13" i="90" a="1"/>
  <c r="N13" i="90" s="1"/>
  <c r="Q12" i="90" a="1"/>
  <c r="Q12" i="90" s="1"/>
  <c r="U16" i="90" a="1"/>
  <c r="U16" i="90" s="1"/>
  <c r="N15" i="90" a="1"/>
  <c r="N15" i="90" s="1"/>
  <c r="M14" i="90" a="1"/>
  <c r="M14" i="90" s="1"/>
  <c r="L13" i="90" a="1"/>
  <c r="L13" i="90" s="1"/>
  <c r="M12" i="90" a="1"/>
  <c r="M12" i="90" s="1"/>
  <c r="V221" i="116" s="1" a="1"/>
  <c r="V221" i="116" s="1"/>
  <c r="P16" i="90" a="1"/>
  <c r="P16" i="90" s="1"/>
  <c r="M15" i="90" a="1"/>
  <c r="M15" i="90" s="1"/>
  <c r="J14" i="90" a="1"/>
  <c r="J14" i="90" s="1"/>
  <c r="K13" i="90" a="1"/>
  <c r="K13" i="90" s="1"/>
  <c r="L12" i="90" a="1"/>
  <c r="L12" i="90" s="1"/>
  <c r="O16" i="90" a="1"/>
  <c r="O16" i="90" s="1"/>
  <c r="L15" i="90" a="1"/>
  <c r="L15" i="90" s="1"/>
  <c r="G14" i="90"/>
  <c r="J13" i="90" a="1"/>
  <c r="J13" i="90" s="1"/>
  <c r="K12" i="90" a="1"/>
  <c r="K12" i="90" s="1"/>
  <c r="N16" i="90" a="1"/>
  <c r="N16" i="90" s="1"/>
  <c r="K15" i="90" a="1"/>
  <c r="K15" i="90" s="1"/>
  <c r="F14" i="90"/>
  <c r="G13" i="90"/>
  <c r="J12" i="90" a="1"/>
  <c r="J12" i="90" s="1"/>
  <c r="K16" i="90" a="1"/>
  <c r="K16" i="90" s="1"/>
  <c r="J15" i="90" a="1"/>
  <c r="J15" i="90" s="1"/>
  <c r="X13" i="90"/>
  <c r="F13" i="90"/>
  <c r="G12" i="90"/>
  <c r="V12" i="90" s="1"/>
  <c r="J16" i="90" a="1"/>
  <c r="J16" i="90" s="1"/>
  <c r="W14" i="90"/>
  <c r="W13" i="90"/>
  <c r="X12" i="90"/>
  <c r="F12" i="90"/>
  <c r="G16" i="90"/>
  <c r="W12" i="90"/>
  <c r="F16" i="90"/>
  <c r="U14" i="90" a="1"/>
  <c r="U14" i="90" s="1"/>
  <c r="U13" i="90" a="1"/>
  <c r="U13" i="90" s="1"/>
  <c r="X15" i="90"/>
  <c r="T14" i="90" a="1"/>
  <c r="T14" i="90" s="1"/>
  <c r="T13" i="90" a="1"/>
  <c r="T13" i="90" s="1"/>
  <c r="U12" i="90" a="1"/>
  <c r="U12" i="90" s="1"/>
  <c r="AL221" i="116" s="1" a="1"/>
  <c r="AL221" i="116" s="1"/>
  <c r="T15" i="90" a="1"/>
  <c r="T15" i="90" s="1"/>
  <c r="R14" i="90" a="1"/>
  <c r="R14" i="90" s="1"/>
  <c r="S13" i="90" a="1"/>
  <c r="S13" i="90" s="1"/>
  <c r="T12" i="90" a="1"/>
  <c r="T12" i="90" s="1"/>
  <c r="S15" i="90" a="1"/>
  <c r="S15" i="90" s="1"/>
  <c r="Q14" i="90" a="1"/>
  <c r="Q14" i="90" s="1"/>
  <c r="R13" i="90" a="1"/>
  <c r="R13" i="90" s="1"/>
  <c r="S12" i="90" a="1"/>
  <c r="S12" i="90" s="1"/>
  <c r="X16" i="90"/>
  <c r="R15" i="90" a="1"/>
  <c r="R15" i="90" s="1"/>
  <c r="P14" i="90" a="1"/>
  <c r="P14" i="90" s="1"/>
  <c r="Q13" i="90" a="1"/>
  <c r="Q13" i="90" s="1"/>
  <c r="P12" i="90" a="1"/>
  <c r="P12" i="90" s="1"/>
  <c r="AC221" i="116" s="1" a="1"/>
  <c r="W16" i="90"/>
  <c r="Q15" i="90" a="1"/>
  <c r="Q15" i="90" s="1"/>
  <c r="O14" i="90" a="1"/>
  <c r="O14" i="90" s="1"/>
  <c r="P13" i="90" a="1"/>
  <c r="P13" i="90" s="1"/>
  <c r="O12" i="90" a="1"/>
  <c r="O12" i="90" s="1"/>
  <c r="O15" i="90" a="1"/>
  <c r="O15" i="90" s="1"/>
  <c r="N14" i="90" a="1"/>
  <c r="N14" i="90" s="1"/>
  <c r="M13" i="90" a="1"/>
  <c r="M13" i="90" s="1"/>
  <c r="N12" i="90" a="1"/>
  <c r="N12" i="90" s="1"/>
  <c r="E22" i="72"/>
  <c r="F55" i="80"/>
  <c r="H110" i="89"/>
  <c r="E55" i="80"/>
  <c r="G109" i="79"/>
  <c r="H55" i="80"/>
  <c r="G55" i="80"/>
  <c r="E110" i="89"/>
  <c r="H109" i="79"/>
  <c r="F109" i="79"/>
  <c r="E109" i="79"/>
  <c r="G110" i="89"/>
  <c r="F110" i="89"/>
  <c r="F53" i="88"/>
  <c r="E105" i="95"/>
  <c r="E68" i="96"/>
  <c r="M35" i="102" a="1"/>
  <c r="M35" i="102" s="1"/>
  <c r="L35" i="102" a="1"/>
  <c r="L35" i="102" s="1"/>
  <c r="D51" i="113"/>
  <c r="D162" i="116" s="1"/>
  <c r="F162" i="116" s="1" a="1"/>
  <c r="F162" i="116" s="1"/>
  <c r="D164" i="116"/>
  <c r="F164" i="116" s="1" a="1"/>
  <c r="F164" i="116" s="1"/>
  <c r="G164" i="116" s="1" a="1"/>
  <c r="G164" i="116" s="1"/>
  <c r="D163" i="116"/>
  <c r="F163" i="116" s="1" a="1"/>
  <c r="F163" i="116" s="1"/>
  <c r="M30" i="102" a="1"/>
  <c r="M30" i="102" s="1"/>
  <c r="L30" i="102" a="1"/>
  <c r="L30" i="102" s="1"/>
  <c r="E107" i="95"/>
  <c r="E70" i="96"/>
  <c r="I15" i="96"/>
  <c r="I69" i="117"/>
  <c r="J167" i="106" a="1"/>
  <c r="J167" i="106" s="1"/>
  <c r="D59" i="106" a="1"/>
  <c r="J178" i="106" a="1"/>
  <c r="J178" i="106" s="1"/>
  <c r="E35" i="103"/>
  <c r="I26" i="116" a="1"/>
  <c r="I26" i="116" s="1"/>
  <c r="P123" i="116" a="1"/>
  <c r="P123" i="116" s="1"/>
  <c r="G373" i="116" a="1"/>
  <c r="G373" i="116" s="1"/>
  <c r="G439" i="116" a="1"/>
  <c r="G439" i="116" s="1"/>
  <c r="J159" i="106" a="1"/>
  <c r="J159" i="106" s="1"/>
  <c r="H35" i="102" a="1"/>
  <c r="H35" i="102" s="1"/>
  <c r="I32" i="102" a="1"/>
  <c r="I32" i="102" s="1"/>
  <c r="H29" i="102" a="1"/>
  <c r="H29" i="102" s="1"/>
  <c r="K39" i="102" a="1"/>
  <c r="K39" i="102" s="1"/>
  <c r="G35" i="102" a="1"/>
  <c r="G35" i="102" s="1"/>
  <c r="H32" i="102" a="1"/>
  <c r="H32" i="102" s="1"/>
  <c r="G29" i="102" a="1"/>
  <c r="G29" i="102" s="1"/>
  <c r="K27" i="102" a="1"/>
  <c r="K27" i="102" s="1"/>
  <c r="G39" i="102" a="1"/>
  <c r="G39" i="102" s="1"/>
  <c r="K37" i="102" a="1"/>
  <c r="K37" i="102" s="1"/>
  <c r="H36" i="102" a="1"/>
  <c r="H36" i="102" s="1"/>
  <c r="H33" i="102" a="1"/>
  <c r="H33" i="102" s="1"/>
  <c r="H30" i="102" a="1"/>
  <c r="H30" i="102" s="1"/>
  <c r="G27" i="102" a="1"/>
  <c r="G27" i="102" s="1"/>
  <c r="K25" i="102" a="1"/>
  <c r="K25" i="102" s="1"/>
  <c r="G36" i="102" a="1"/>
  <c r="G36" i="102" s="1"/>
  <c r="K34" i="102" a="1"/>
  <c r="K34" i="102" s="1"/>
  <c r="G33" i="102" a="1"/>
  <c r="G33" i="102" s="1"/>
  <c r="G30" i="102" a="1"/>
  <c r="G30" i="102" s="1"/>
  <c r="K28" i="102" a="1"/>
  <c r="K28" i="102" s="1"/>
  <c r="J25" i="102" a="1"/>
  <c r="J25" i="102" s="1"/>
  <c r="I34" i="102" a="1"/>
  <c r="I34" i="102" s="1"/>
  <c r="J31" i="102" a="1"/>
  <c r="J31" i="102" s="1"/>
  <c r="I28" i="102" a="1"/>
  <c r="I28" i="102" s="1"/>
  <c r="H25" i="102" a="1"/>
  <c r="H25" i="102" s="1"/>
  <c r="N25" i="102" s="1" a="1"/>
  <c r="N25" i="102" s="1"/>
  <c r="E37" i="102"/>
  <c r="J37" i="102" s="1" a="1"/>
  <c r="J37" i="102" s="1"/>
  <c r="J35" i="102" a="1"/>
  <c r="J35" i="102" s="1"/>
  <c r="K32" i="102" a="1"/>
  <c r="K32" i="102" s="1"/>
  <c r="J29" i="102" a="1"/>
  <c r="J29" i="102" s="1"/>
  <c r="I35" i="102" a="1"/>
  <c r="I35" i="102" s="1"/>
  <c r="J32" i="102" a="1"/>
  <c r="J32" i="102" s="1"/>
  <c r="I29" i="102" a="1"/>
  <c r="I29" i="102" s="1"/>
  <c r="I17" i="107"/>
  <c r="E59" i="106" a="1"/>
  <c r="E116" i="106" a="1"/>
  <c r="E116" i="106" s="1"/>
  <c r="D113" i="78"/>
  <c r="E29" i="103"/>
  <c r="E32" i="103"/>
  <c r="I27" i="116" a="1"/>
  <c r="I27" i="116" s="1"/>
  <c r="E301" i="116" a="1"/>
  <c r="E301" i="116" s="1"/>
  <c r="E173" i="79"/>
  <c r="L19" i="113"/>
  <c r="H27" i="102" a="1"/>
  <c r="H27" i="102" s="1"/>
  <c r="I30" i="102" a="1"/>
  <c r="I30" i="102" s="1"/>
  <c r="I33" i="102" a="1"/>
  <c r="I33" i="102" s="1"/>
  <c r="L38" i="102" a="1"/>
  <c r="L38" i="102" s="1"/>
  <c r="E26" i="103"/>
  <c r="I28" i="116" a="1"/>
  <c r="I28" i="116" s="1"/>
  <c r="D229" i="79"/>
  <c r="P31" i="84"/>
  <c r="O19" i="113"/>
  <c r="I27" i="102" a="1"/>
  <c r="I27" i="102" s="1"/>
  <c r="J30" i="102" a="1"/>
  <c r="J30" i="102" s="1"/>
  <c r="J33" i="102" a="1"/>
  <c r="J33" i="102" s="1"/>
  <c r="I36" i="102" a="1"/>
  <c r="I36" i="102" s="1"/>
  <c r="O229" i="79"/>
  <c r="D21" i="106" a="1"/>
  <c r="M31" i="103" a="1"/>
  <c r="M31" i="103" s="1"/>
  <c r="L31" i="103" a="1"/>
  <c r="L31" i="103" s="1"/>
  <c r="J27" i="102" a="1"/>
  <c r="J27" i="102" s="1"/>
  <c r="K30" i="102" a="1"/>
  <c r="K30" i="102" s="1"/>
  <c r="K33" i="102" a="1"/>
  <c r="K33" i="102" s="1"/>
  <c r="J36" i="102" a="1"/>
  <c r="J36" i="102" s="1"/>
  <c r="G449" i="116" a="1"/>
  <c r="G449" i="116" s="1"/>
  <c r="H449" i="116" s="1" a="1"/>
  <c r="H449" i="116" s="1"/>
  <c r="D230" i="79"/>
  <c r="E21" i="106" a="1"/>
  <c r="K28" i="103"/>
  <c r="I28" i="103"/>
  <c r="M27" i="103" a="1"/>
  <c r="M27" i="103" s="1"/>
  <c r="I19" i="78" a="1"/>
  <c r="I19" i="78" s="1"/>
  <c r="E25" i="102"/>
  <c r="G31" i="102" a="1"/>
  <c r="G31" i="102" s="1"/>
  <c r="K36" i="102" a="1"/>
  <c r="K36" i="102" s="1"/>
  <c r="H39" i="102" a="1"/>
  <c r="H39" i="102" s="1"/>
  <c r="L26" i="103" a="1"/>
  <c r="L26" i="103" s="1"/>
  <c r="Y119" i="116"/>
  <c r="AB126" i="116" a="1"/>
  <c r="AB126" i="116" s="1"/>
  <c r="U237" i="116"/>
  <c r="G450" i="116" a="1"/>
  <c r="G450" i="116" s="1"/>
  <c r="D231" i="79"/>
  <c r="K39" i="103" a="1"/>
  <c r="K39" i="103" s="1"/>
  <c r="M34" i="103" a="1"/>
  <c r="M34" i="103" s="1"/>
  <c r="L34" i="103" a="1"/>
  <c r="L34" i="103" s="1"/>
  <c r="M31" i="102" a="1"/>
  <c r="M31" i="102" s="1"/>
  <c r="L31" i="102" a="1"/>
  <c r="L31" i="102" s="1"/>
  <c r="J16" i="109" a="1"/>
  <c r="J16" i="109" s="1"/>
  <c r="J18" i="109" a="1"/>
  <c r="J18" i="109" s="1"/>
  <c r="F367" i="116" a="1"/>
  <c r="F367" i="116" s="1"/>
  <c r="D270" i="116" a="1"/>
  <c r="G28" i="102" a="1"/>
  <c r="G28" i="102" s="1"/>
  <c r="H31" i="102" a="1"/>
  <c r="H31" i="102" s="1"/>
  <c r="I39" i="102" a="1"/>
  <c r="I39" i="102" s="1"/>
  <c r="E27" i="103"/>
  <c r="G451" i="116" a="1"/>
  <c r="G451" i="116" s="1"/>
  <c r="H451" i="116" s="1" a="1"/>
  <c r="H451" i="116" s="1"/>
  <c r="P19" i="85"/>
  <c r="E37" i="103"/>
  <c r="E30" i="103"/>
  <c r="I530" i="116" a="1"/>
  <c r="I530" i="116" s="1"/>
  <c r="G25" i="102" a="1"/>
  <c r="G25" i="102" s="1"/>
  <c r="H28" i="102" a="1"/>
  <c r="H28" i="102" s="1"/>
  <c r="I31" i="102" a="1"/>
  <c r="I31" i="102" s="1"/>
  <c r="G34" i="102" a="1"/>
  <c r="G34" i="102" s="1"/>
  <c r="J39" i="102" a="1"/>
  <c r="J39" i="102" s="1"/>
  <c r="I33" i="103"/>
  <c r="G453" i="116" a="1"/>
  <c r="G453" i="116" s="1"/>
  <c r="H453" i="116" s="1" a="1"/>
  <c r="H453" i="116" s="1"/>
  <c r="E24" i="85"/>
  <c r="M27" i="102" a="1"/>
  <c r="M27" i="102" s="1"/>
  <c r="K90" i="118"/>
  <c r="M89" i="118" s="1"/>
  <c r="P127" i="116" a="1"/>
  <c r="P127" i="116" s="1"/>
  <c r="P120" i="116" a="1"/>
  <c r="P120" i="116" s="1"/>
  <c r="P122" i="116" a="1"/>
  <c r="P122" i="116" s="1"/>
  <c r="P125" i="116" a="1"/>
  <c r="P125" i="116" s="1"/>
  <c r="P124" i="116" a="1"/>
  <c r="P124" i="116" s="1"/>
  <c r="P119" i="116" a="1"/>
  <c r="P119" i="116" s="1"/>
  <c r="F467" i="116" a="1"/>
  <c r="F467" i="116" s="1"/>
  <c r="I467" i="116" s="1" a="1"/>
  <c r="I467" i="116" s="1"/>
  <c r="I19" i="88" a="1"/>
  <c r="I19" i="88" s="1"/>
  <c r="Q105" i="89" s="1"/>
  <c r="I25" i="102" a="1"/>
  <c r="I25" i="102" s="1"/>
  <c r="J28" i="102" a="1"/>
  <c r="J28" i="102" s="1"/>
  <c r="K31" i="102" a="1"/>
  <c r="K31" i="102" s="1"/>
  <c r="H34" i="102" a="1"/>
  <c r="H34" i="102" s="1"/>
  <c r="G430" i="116" a="1"/>
  <c r="G430" i="116" s="1"/>
  <c r="G456" i="116" a="1"/>
  <c r="G456" i="116" s="1"/>
  <c r="E237" i="79"/>
  <c r="P24" i="85"/>
  <c r="H33" i="103"/>
  <c r="G33" i="103"/>
  <c r="E38" i="103"/>
  <c r="E31" i="103"/>
  <c r="I15" i="78" a="1"/>
  <c r="I15" i="78" s="1"/>
  <c r="D79" i="78"/>
  <c r="J34" i="102" a="1"/>
  <c r="J34" i="102" s="1"/>
  <c r="H37" i="102" a="1"/>
  <c r="H37" i="102" s="1"/>
  <c r="K33" i="103"/>
  <c r="L36" i="103" a="1"/>
  <c r="L36" i="103" s="1"/>
  <c r="P121" i="116" a="1"/>
  <c r="P121" i="116" s="1"/>
  <c r="P128" i="116" a="1"/>
  <c r="P128" i="116" s="1"/>
  <c r="W243" i="116" a="1"/>
  <c r="W243" i="116" s="1"/>
  <c r="G431" i="116" a="1"/>
  <c r="G431" i="116" s="1"/>
  <c r="P290" i="79"/>
  <c r="P23" i="86"/>
  <c r="G375" i="116" a="1"/>
  <c r="G375" i="116" s="1"/>
  <c r="G368" i="116" a="1"/>
  <c r="G368" i="116" s="1"/>
  <c r="G367" i="116" a="1"/>
  <c r="G367" i="116" s="1"/>
  <c r="D84" i="78"/>
  <c r="I37" i="102" a="1"/>
  <c r="I37" i="102" s="1"/>
  <c r="G34" i="103"/>
  <c r="G432" i="116" a="1"/>
  <c r="G432" i="116" s="1"/>
  <c r="H432" i="116" s="1" a="1"/>
  <c r="H432" i="116" s="1"/>
  <c r="D157" i="106" a="1"/>
  <c r="D157" i="106" s="1"/>
  <c r="J157" i="106" s="1" a="1"/>
  <c r="J157" i="106" s="1"/>
  <c r="E25" i="84"/>
  <c r="P237" i="79"/>
  <c r="P173" i="79"/>
  <c r="E19" i="85"/>
  <c r="P151" i="79"/>
  <c r="E151" i="79"/>
  <c r="P51" i="84"/>
  <c r="E23" i="86"/>
  <c r="E31" i="84"/>
  <c r="E290" i="79"/>
  <c r="O228" i="79"/>
  <c r="P25" i="84"/>
  <c r="D228" i="79"/>
  <c r="D89" i="78"/>
  <c r="E26" i="102"/>
  <c r="J26" i="102" s="1" a="1"/>
  <c r="J26" i="102" s="1"/>
  <c r="G32" i="102" a="1"/>
  <c r="G32" i="102" s="1"/>
  <c r="G28" i="103"/>
  <c r="H34" i="103"/>
  <c r="G369" i="116" a="1"/>
  <c r="G369" i="116" s="1"/>
  <c r="G434" i="116" a="1"/>
  <c r="G434" i="116" s="1"/>
  <c r="H434" i="116" s="1" a="1"/>
  <c r="H434" i="116" s="1"/>
  <c r="I177" i="118"/>
  <c r="P28" i="86"/>
  <c r="E157" i="106" a="1"/>
  <c r="E157" i="106" s="1"/>
  <c r="I30" i="116" a="1"/>
  <c r="I30" i="116" s="1"/>
  <c r="J30" i="116" s="1" a="1"/>
  <c r="J30" i="116" s="1"/>
  <c r="I29" i="116" a="1"/>
  <c r="I29" i="116" s="1"/>
  <c r="M29" i="116" s="1" a="1"/>
  <c r="M29" i="116" s="1"/>
  <c r="E76" i="116" a="1"/>
  <c r="E76" i="116" s="1"/>
  <c r="I25" i="116" a="1"/>
  <c r="I25" i="116" s="1"/>
  <c r="J25" i="116" s="1" a="1"/>
  <c r="J25" i="116" s="1"/>
  <c r="E58" i="116" a="1"/>
  <c r="E58" i="116" s="1"/>
  <c r="G67" i="116" s="1" a="1"/>
  <c r="G67" i="116" s="1"/>
  <c r="I24" i="116" a="1"/>
  <c r="I24" i="116" s="1"/>
  <c r="I32" i="116" a="1"/>
  <c r="I32" i="116" s="1"/>
  <c r="I31" i="116" a="1"/>
  <c r="I31" i="116" s="1"/>
  <c r="G455" i="116" a="1"/>
  <c r="G455" i="116" s="1"/>
  <c r="G454" i="116" a="1"/>
  <c r="G454" i="116" s="1"/>
  <c r="G448" i="116" a="1"/>
  <c r="G448" i="116" s="1"/>
  <c r="I21" i="101"/>
  <c r="L39" i="102" s="1" a="1"/>
  <c r="L39" i="102" s="1"/>
  <c r="Q39" i="102" s="1" a="1"/>
  <c r="Q39" i="102" s="1"/>
  <c r="K29" i="102" a="1"/>
  <c r="K29" i="102" s="1"/>
  <c r="H28" i="103"/>
  <c r="AE244" i="116" a="1"/>
  <c r="AE244" i="116" s="1"/>
  <c r="G370" i="116" a="1"/>
  <c r="G370" i="116" s="1"/>
  <c r="G437" i="116" a="1"/>
  <c r="G437" i="116" s="1"/>
  <c r="D116" i="106" a="1"/>
  <c r="D116" i="106" s="1"/>
  <c r="J116" i="106" s="1" a="1"/>
  <c r="J116" i="106" s="1"/>
  <c r="J34" i="103"/>
  <c r="K35" i="102" a="1"/>
  <c r="K35" i="102" s="1"/>
  <c r="E38" i="102"/>
  <c r="J38" i="102" s="1" a="1"/>
  <c r="J38" i="102" s="1"/>
  <c r="J28" i="103"/>
  <c r="K34" i="103"/>
  <c r="I23" i="116" a="1"/>
  <c r="I23" i="116" s="1"/>
  <c r="AB122" i="116" a="1"/>
  <c r="AB122" i="116" s="1"/>
  <c r="G371" i="116" a="1"/>
  <c r="G371" i="116" s="1"/>
  <c r="G438" i="116" a="1"/>
  <c r="G438" i="116" s="1"/>
  <c r="E162" i="79"/>
  <c r="S240" i="116" a="1"/>
  <c r="S240" i="116" s="1"/>
  <c r="AA243" i="116" a="1"/>
  <c r="AA243" i="116" s="1"/>
  <c r="G372" i="116" a="1"/>
  <c r="G372" i="116" s="1"/>
  <c r="G433" i="116" a="1"/>
  <c r="G433" i="116" s="1"/>
  <c r="H433" i="116" s="1" a="1"/>
  <c r="H433" i="116" s="1"/>
  <c r="G452" i="116" a="1"/>
  <c r="G452" i="116" s="1"/>
  <c r="G374" i="116" a="1"/>
  <c r="G374" i="116" s="1"/>
  <c r="G435" i="116" a="1"/>
  <c r="G435" i="116" s="1"/>
  <c r="H435" i="116" s="1" a="1"/>
  <c r="H435" i="116" s="1"/>
  <c r="I19" i="101"/>
  <c r="X123" i="116" a="1"/>
  <c r="X123" i="116" s="1"/>
  <c r="AA238" i="116" a="1"/>
  <c r="AA238" i="116" s="1"/>
  <c r="K40" i="103" a="1"/>
  <c r="K40" i="103" s="1"/>
  <c r="J17" i="109" a="1"/>
  <c r="J17" i="109" s="1"/>
  <c r="J14" i="109" a="1"/>
  <c r="J14" i="109" s="1"/>
  <c r="J15" i="109" a="1"/>
  <c r="J15" i="109" s="1"/>
  <c r="J627" i="116" a="1"/>
  <c r="J627" i="116" s="1"/>
  <c r="J609" i="116" a="1"/>
  <c r="J609" i="116" s="1"/>
  <c r="E35" i="117" a="1"/>
  <c r="E35" i="117" s="1"/>
  <c r="I48" i="117" s="1"/>
  <c r="P74" i="117"/>
  <c r="O35" i="117" a="1"/>
  <c r="O35" i="117" s="1"/>
  <c r="S48" i="117" s="1"/>
  <c r="F131" i="116"/>
  <c r="F144" i="116"/>
  <c r="F142" i="116"/>
  <c r="G479" i="116" a="1"/>
  <c r="G479" i="116" s="1"/>
  <c r="F296" i="116"/>
  <c r="G481" i="116" a="1"/>
  <c r="G481" i="116" s="1"/>
  <c r="E61" i="117"/>
  <c r="O61" i="117"/>
  <c r="E26" i="117"/>
  <c r="O26" i="117"/>
  <c r="F94" i="116"/>
  <c r="F34" i="116"/>
  <c r="P55" i="117"/>
  <c r="F55" i="117"/>
  <c r="G466" i="116" a="1"/>
  <c r="G466" i="116" s="1"/>
  <c r="G480" i="116" a="1"/>
  <c r="G480" i="116" s="1"/>
  <c r="G69" i="116" a="1"/>
  <c r="G69" i="116" s="1"/>
  <c r="G468" i="116" a="1"/>
  <c r="G468" i="116" s="1"/>
  <c r="F19" i="117"/>
  <c r="E533" i="116" a="1"/>
  <c r="E533" i="116" s="1"/>
  <c r="F90" i="117"/>
  <c r="I469" i="116" a="1"/>
  <c r="I469" i="116" s="1"/>
  <c r="J49" i="116" a="1"/>
  <c r="J49" i="116" s="1"/>
  <c r="G470" i="116" a="1"/>
  <c r="G470" i="116" s="1"/>
  <c r="E418" i="116"/>
  <c r="E100" i="116"/>
  <c r="E355" i="116"/>
  <c r="E151" i="116"/>
  <c r="E203" i="116"/>
  <c r="E385" i="116"/>
  <c r="E174" i="116"/>
  <c r="E188" i="116"/>
  <c r="E7" i="116"/>
  <c r="E323" i="116"/>
  <c r="E258" i="116"/>
  <c r="E290" i="116"/>
  <c r="E561" i="116"/>
  <c r="E594" i="116"/>
  <c r="J86" i="116" a="1"/>
  <c r="J86" i="116" s="1"/>
  <c r="J85" i="116" a="1"/>
  <c r="J85" i="116" s="1"/>
  <c r="J88" i="116" a="1"/>
  <c r="J88" i="116" s="1"/>
  <c r="J81" i="116" a="1"/>
  <c r="J81" i="116" s="1"/>
  <c r="J87" i="116" a="1"/>
  <c r="J87" i="116" s="1"/>
  <c r="G138" i="116" a="1"/>
  <c r="G138" i="116" s="1"/>
  <c r="G83" i="116" a="1"/>
  <c r="G83" i="116" s="1"/>
  <c r="G139" i="116" a="1"/>
  <c r="G139" i="116" s="1"/>
  <c r="E167" i="116"/>
  <c r="F484" i="116"/>
  <c r="F473" i="116"/>
  <c r="F317" i="116"/>
  <c r="F501" i="116"/>
  <c r="F378" i="116"/>
  <c r="F348" i="116"/>
  <c r="F249" i="116"/>
  <c r="F483" i="116"/>
  <c r="F472" i="116"/>
  <c r="F460" i="116"/>
  <c r="F442" i="116"/>
  <c r="F411" i="116"/>
  <c r="F316" i="116"/>
  <c r="F533" i="116"/>
  <c r="F347" i="116"/>
  <c r="F518" i="116"/>
  <c r="F283" i="116"/>
  <c r="J26" i="116" a="1"/>
  <c r="J26" i="116" s="1"/>
  <c r="J46" i="116" a="1"/>
  <c r="J46" i="116" s="1"/>
  <c r="J62" i="116" a="1"/>
  <c r="J62" i="116" s="1"/>
  <c r="G66" i="116" a="1"/>
  <c r="G66" i="116" s="1"/>
  <c r="J69" i="116" a="1"/>
  <c r="J69" i="116" s="1"/>
  <c r="G81" i="116" a="1"/>
  <c r="G81" i="116" s="1"/>
  <c r="J84" i="116" a="1"/>
  <c r="J84" i="116" s="1"/>
  <c r="G88" i="116" a="1"/>
  <c r="G88" i="116" s="1"/>
  <c r="I120" i="116" a="1"/>
  <c r="I120" i="116" s="1"/>
  <c r="I138" i="116" a="1"/>
  <c r="I138" i="116" s="1"/>
  <c r="F284" i="116"/>
  <c r="J375" i="116" a="1"/>
  <c r="J375" i="116" s="1"/>
  <c r="H368" i="116" a="1"/>
  <c r="H368" i="116" s="1"/>
  <c r="H370" i="116" a="1"/>
  <c r="H370" i="116" s="1"/>
  <c r="H374" i="116" a="1"/>
  <c r="H374" i="116" s="1"/>
  <c r="J373" i="116" a="1"/>
  <c r="J373" i="116" s="1"/>
  <c r="H371" i="116" a="1"/>
  <c r="H371" i="116" s="1"/>
  <c r="F441" i="116"/>
  <c r="F166" i="116"/>
  <c r="J372" i="116" a="1"/>
  <c r="J372" i="116" s="1"/>
  <c r="H372" i="116" a="1"/>
  <c r="H372" i="116" s="1"/>
  <c r="H376" i="116" a="1"/>
  <c r="H376" i="116" s="1"/>
  <c r="H369" i="116" a="1"/>
  <c r="H369" i="116" s="1"/>
  <c r="I480" i="116" a="1"/>
  <c r="I480" i="116" s="1"/>
  <c r="E484" i="116" s="1"/>
  <c r="M24" i="116" a="1"/>
  <c r="M24" i="116" s="1"/>
  <c r="M26" i="116" a="1"/>
  <c r="M26" i="116" s="1"/>
  <c r="J43" i="116" a="1"/>
  <c r="J43" i="116" s="1"/>
  <c r="G63" i="116" a="1"/>
  <c r="G63" i="116" s="1"/>
  <c r="J66" i="116" a="1"/>
  <c r="J66" i="116" s="1"/>
  <c r="G70" i="116" a="1"/>
  <c r="G70" i="116" s="1"/>
  <c r="G85" i="116" a="1"/>
  <c r="G85" i="116" s="1"/>
  <c r="G163" i="116" a="1"/>
  <c r="G163" i="116" s="1"/>
  <c r="H448" i="116" a="1"/>
  <c r="H448" i="116" s="1"/>
  <c r="H452" i="116" a="1"/>
  <c r="H452" i="116" s="1"/>
  <c r="F130" i="116"/>
  <c r="F145" i="116"/>
  <c r="F167" i="116"/>
  <c r="J451" i="116" a="1"/>
  <c r="J451" i="116" s="1"/>
  <c r="J453" i="116" a="1"/>
  <c r="J453" i="116" s="1"/>
  <c r="J452" i="116" a="1"/>
  <c r="J452" i="116" s="1"/>
  <c r="J31" i="116" a="1"/>
  <c r="J31" i="116" s="1"/>
  <c r="J47" i="116" a="1"/>
  <c r="J47" i="116" s="1"/>
  <c r="J63" i="116" a="1"/>
  <c r="J63" i="116" s="1"/>
  <c r="G79" i="116" a="1"/>
  <c r="G79" i="116" s="1"/>
  <c r="G82" i="116" a="1"/>
  <c r="G82" i="116" s="1"/>
  <c r="G137" i="116" a="1"/>
  <c r="G137" i="116" s="1"/>
  <c r="F248" i="116"/>
  <c r="J376" i="116" a="1"/>
  <c r="J376" i="116" s="1"/>
  <c r="F555" i="116"/>
  <c r="F90" i="116"/>
  <c r="F251" i="116"/>
  <c r="F379" i="116"/>
  <c r="M31" i="116" a="1"/>
  <c r="M31" i="116" s="1"/>
  <c r="J44" i="116" a="1"/>
  <c r="J44" i="116" s="1"/>
  <c r="J51" i="116" a="1"/>
  <c r="J51" i="116" s="1"/>
  <c r="J82" i="116" a="1"/>
  <c r="J82" i="116" s="1"/>
  <c r="G86" i="116" a="1"/>
  <c r="G86" i="116" s="1"/>
  <c r="F252" i="116"/>
  <c r="J401" i="116" a="1"/>
  <c r="J401" i="116" s="1"/>
  <c r="J405" i="116" a="1"/>
  <c r="J405" i="116" s="1"/>
  <c r="J400" i="116" a="1"/>
  <c r="J400" i="116" s="1"/>
  <c r="J399" i="116" a="1"/>
  <c r="J399" i="116" s="1"/>
  <c r="J407" i="116" a="1"/>
  <c r="J407" i="116" s="1"/>
  <c r="J27" i="116" a="1"/>
  <c r="J27" i="116" s="1"/>
  <c r="F35" i="116"/>
  <c r="F72" i="116"/>
  <c r="F91" i="116"/>
  <c r="F642" i="116"/>
  <c r="F641" i="116"/>
  <c r="F639" i="116"/>
  <c r="F620" i="116"/>
  <c r="L337" i="116"/>
  <c r="L341" i="116"/>
  <c r="L336" i="116"/>
  <c r="K405" i="116"/>
  <c r="K400" i="116"/>
  <c r="K404" i="116"/>
  <c r="K403" i="116"/>
  <c r="K402" i="116"/>
  <c r="K401" i="116"/>
  <c r="K407" i="116"/>
  <c r="J48" i="116" a="1"/>
  <c r="J48" i="116" s="1"/>
  <c r="J64" i="116" a="1"/>
  <c r="J64" i="116" s="1"/>
  <c r="G68" i="116" a="1"/>
  <c r="G68" i="116" s="1"/>
  <c r="G162" i="116" a="1"/>
  <c r="G162" i="116" s="1"/>
  <c r="L344" i="116"/>
  <c r="K399" i="116"/>
  <c r="H431" i="116" a="1"/>
  <c r="H431" i="116" s="1"/>
  <c r="H430" i="116" a="1"/>
  <c r="H430" i="116" s="1"/>
  <c r="F459" i="116"/>
  <c r="M25" i="116" a="1"/>
  <c r="M25" i="116" s="1"/>
  <c r="M27" i="116" a="1"/>
  <c r="M27" i="116" s="1"/>
  <c r="J32" i="116" a="1"/>
  <c r="J32" i="116" s="1"/>
  <c r="F53" i="116"/>
  <c r="F73" i="116"/>
  <c r="F93" i="116"/>
  <c r="O237" i="116"/>
  <c r="AA237" i="116" s="1" a="1"/>
  <c r="AA237" i="116" s="1"/>
  <c r="K408" i="116"/>
  <c r="J433" i="116" a="1"/>
  <c r="J433" i="116" s="1"/>
  <c r="J435" i="116" a="1"/>
  <c r="J435" i="116" s="1"/>
  <c r="J434" i="116" a="1"/>
  <c r="J434" i="116" s="1"/>
  <c r="J449" i="116" a="1"/>
  <c r="J449" i="116" s="1"/>
  <c r="K493" i="116" a="1"/>
  <c r="K493" i="116" s="1"/>
  <c r="K499" i="116" a="1"/>
  <c r="K499" i="116" s="1"/>
  <c r="K492" i="116" a="1"/>
  <c r="K492" i="116" s="1"/>
  <c r="K496" i="116" a="1"/>
  <c r="K496" i="116" s="1"/>
  <c r="F502" i="116"/>
  <c r="F621" i="116"/>
  <c r="J45" i="116" a="1"/>
  <c r="J45" i="116" s="1"/>
  <c r="G65" i="116" a="1"/>
  <c r="G65" i="116" s="1"/>
  <c r="J68" i="116" a="1"/>
  <c r="J68" i="116" s="1"/>
  <c r="G80" i="116" a="1"/>
  <c r="G80" i="116" s="1"/>
  <c r="J83" i="116" a="1"/>
  <c r="J83" i="116" s="1"/>
  <c r="G87" i="116" a="1"/>
  <c r="G87" i="116" s="1"/>
  <c r="G136" i="116" a="1"/>
  <c r="G136" i="116" s="1"/>
  <c r="F410" i="116"/>
  <c r="J430" i="116" a="1"/>
  <c r="J430" i="116" s="1"/>
  <c r="H450" i="116" a="1"/>
  <c r="H450" i="116" s="1"/>
  <c r="K490" i="116" a="1"/>
  <c r="K490" i="116" s="1"/>
  <c r="F638" i="116"/>
  <c r="J28" i="116" a="1"/>
  <c r="J28" i="116" s="1"/>
  <c r="F54" i="116"/>
  <c r="F141" i="116"/>
  <c r="L338" i="116"/>
  <c r="L345" i="116"/>
  <c r="J369" i="116" a="1"/>
  <c r="J369" i="116" s="1"/>
  <c r="N573" i="116"/>
  <c r="F573" i="116"/>
  <c r="J24" i="116" a="1"/>
  <c r="J24" i="116" s="1"/>
  <c r="J80" i="116" a="1"/>
  <c r="J80" i="116" s="1"/>
  <c r="G84" i="116" a="1"/>
  <c r="G84" i="116" s="1"/>
  <c r="J402" i="116" a="1"/>
  <c r="J402" i="116" s="1"/>
  <c r="G469" i="116" a="1"/>
  <c r="G469" i="116" s="1"/>
  <c r="K343" i="116" a="1"/>
  <c r="K343" i="116" s="1"/>
  <c r="K344" i="116" a="1"/>
  <c r="K344" i="116" s="1"/>
  <c r="J628" i="116" a="1"/>
  <c r="J628" i="116" s="1"/>
  <c r="J635" i="116" a="1"/>
  <c r="J635" i="116" s="1"/>
  <c r="J631" i="116" a="1"/>
  <c r="J631" i="116" s="1"/>
  <c r="J614" i="116" a="1"/>
  <c r="J614" i="116" s="1"/>
  <c r="J632" i="116" a="1"/>
  <c r="J632" i="116" s="1"/>
  <c r="O20" i="113"/>
  <c r="R20" i="113"/>
  <c r="R12" i="113"/>
  <c r="O15" i="113"/>
  <c r="L18" i="113"/>
  <c r="R17" i="113"/>
  <c r="O12" i="113"/>
  <c r="R15" i="113"/>
  <c r="O18" i="113"/>
  <c r="L13" i="113"/>
  <c r="O13" i="113"/>
  <c r="L17" i="113"/>
  <c r="E7" i="110"/>
  <c r="E30" i="110"/>
  <c r="P48" i="110"/>
  <c r="F48" i="110"/>
  <c r="E7" i="109"/>
  <c r="E99" i="106"/>
  <c r="E7" i="106"/>
  <c r="F192" i="106"/>
  <c r="F151" i="106"/>
  <c r="E7" i="103"/>
  <c r="L8" i="103"/>
  <c r="F58" i="103"/>
  <c r="F49" i="103"/>
  <c r="F57" i="103"/>
  <c r="F46" i="103"/>
  <c r="F56" i="103"/>
  <c r="F45" i="103"/>
  <c r="F55" i="103"/>
  <c r="F44" i="103"/>
  <c r="F52" i="103"/>
  <c r="F43" i="103"/>
  <c r="F51" i="103"/>
  <c r="F50" i="103"/>
  <c r="D27" i="103"/>
  <c r="L27" i="103" s="1" a="1"/>
  <c r="L27" i="103" s="1"/>
  <c r="D34" i="103"/>
  <c r="D39" i="103"/>
  <c r="D42" i="103"/>
  <c r="D30" i="103"/>
  <c r="L30" i="103" s="1" a="1"/>
  <c r="L30" i="103" s="1"/>
  <c r="D37" i="103"/>
  <c r="L37" i="103" s="1" a="1"/>
  <c r="L37" i="103" s="1"/>
  <c r="D28" i="103"/>
  <c r="L28" i="103" s="1" a="1"/>
  <c r="L28" i="103" s="1"/>
  <c r="D35" i="103"/>
  <c r="L35" i="103" s="1" a="1"/>
  <c r="L35" i="103" s="1"/>
  <c r="D26" i="103"/>
  <c r="D33" i="103"/>
  <c r="D40" i="103"/>
  <c r="L40" i="103" s="1" a="1"/>
  <c r="L40" i="103" s="1"/>
  <c r="D31" i="103"/>
  <c r="D38" i="103"/>
  <c r="D48" i="103"/>
  <c r="E7" i="102"/>
  <c r="L7" i="102"/>
  <c r="F70" i="102"/>
  <c r="F61" i="102"/>
  <c r="F51" i="102"/>
  <c r="F69" i="102"/>
  <c r="F50" i="102"/>
  <c r="F58" i="102"/>
  <c r="F68" i="102"/>
  <c r="F49" i="102"/>
  <c r="F57" i="102"/>
  <c r="F67" i="102"/>
  <c r="F56" i="102"/>
  <c r="F46" i="102"/>
  <c r="F64" i="102"/>
  <c r="F55" i="102"/>
  <c r="F45" i="102"/>
  <c r="F63" i="102"/>
  <c r="F44" i="102"/>
  <c r="F62" i="102"/>
  <c r="F52" i="102"/>
  <c r="F43" i="102"/>
  <c r="E18" i="99" a="1"/>
  <c r="E18" i="99" s="1"/>
  <c r="D54" i="102"/>
  <c r="D29" i="102"/>
  <c r="L29" i="102" s="1" a="1"/>
  <c r="L29" i="102" s="1"/>
  <c r="P34" i="102" a="1"/>
  <c r="P34" i="102" s="1"/>
  <c r="D28" i="102"/>
  <c r="L28" i="102" s="1" a="1"/>
  <c r="L28" i="102" s="1"/>
  <c r="D32" i="102"/>
  <c r="L32" i="102" s="1" a="1"/>
  <c r="L32" i="102" s="1"/>
  <c r="D27" i="102"/>
  <c r="L27" i="102" s="1" a="1"/>
  <c r="L27" i="102" s="1"/>
  <c r="D36" i="102"/>
  <c r="D31" i="102"/>
  <c r="D26" i="102"/>
  <c r="L26" i="102" s="1" a="1"/>
  <c r="L26" i="102" s="1"/>
  <c r="I17" i="101"/>
  <c r="I18" i="101"/>
  <c r="I20" i="101"/>
  <c r="L33" i="102" s="1" a="1"/>
  <c r="L33" i="102" s="1"/>
  <c r="P33" i="102" s="1" a="1"/>
  <c r="P33" i="102" s="1"/>
  <c r="E51" i="102" s="1"/>
  <c r="I57" i="96"/>
  <c r="I48" i="98"/>
  <c r="I39" i="98"/>
  <c r="F54" i="78"/>
  <c r="I38" i="98"/>
  <c r="I46" i="98"/>
  <c r="I47" i="98"/>
  <c r="E49" i="96"/>
  <c r="E7" i="96"/>
  <c r="F107" i="95" a="1"/>
  <c r="F107" i="95" s="1"/>
  <c r="E139" i="95" s="1"/>
  <c r="F109" i="95" a="1"/>
  <c r="F109" i="95" s="1"/>
  <c r="E141" i="95" s="1"/>
  <c r="F111" i="95" a="1"/>
  <c r="F111" i="95" s="1"/>
  <c r="E143" i="95" s="1"/>
  <c r="E43" i="95"/>
  <c r="E118" i="95"/>
  <c r="E7" i="95"/>
  <c r="E90" i="95"/>
  <c r="F105" i="95" a="1"/>
  <c r="F105" i="95" s="1"/>
  <c r="E137" i="95" s="1"/>
  <c r="G59" i="95"/>
  <c r="E7" i="94"/>
  <c r="E38" i="93"/>
  <c r="E7" i="93"/>
  <c r="E7" i="92"/>
  <c r="E43" i="92"/>
  <c r="F78" i="92"/>
  <c r="F58" i="92"/>
  <c r="E7" i="91"/>
  <c r="E42" i="91"/>
  <c r="N60" i="91"/>
  <c r="F80" i="91"/>
  <c r="F60" i="91"/>
  <c r="O88" i="91"/>
  <c r="D29" i="90"/>
  <c r="E36" i="78"/>
  <c r="G148" i="89"/>
  <c r="I160" i="89" s="1"/>
  <c r="I170" i="89"/>
  <c r="I165" i="89"/>
  <c r="R170" i="89"/>
  <c r="Q80" i="89" a="1"/>
  <c r="Q80" i="89" s="1"/>
  <c r="Q115" i="89" s="1" a="1"/>
  <c r="Q115" i="89" s="1"/>
  <c r="Q132" i="89" s="1" a="1"/>
  <c r="Q132" i="89" s="1"/>
  <c r="E8" i="89"/>
  <c r="E31" i="89"/>
  <c r="E57" i="89"/>
  <c r="E139" i="89"/>
  <c r="E121" i="89"/>
  <c r="E86" i="89"/>
  <c r="I115" i="89"/>
  <c r="R115" i="89"/>
  <c r="I24" i="89"/>
  <c r="R24" i="89"/>
  <c r="O182" i="89"/>
  <c r="I180" i="89"/>
  <c r="F182" i="89"/>
  <c r="R180" i="89"/>
  <c r="I80" i="89"/>
  <c r="R80" i="89"/>
  <c r="R132" i="89"/>
  <c r="G36" i="78"/>
  <c r="I36" i="78"/>
  <c r="F36" i="78"/>
  <c r="E40" i="78"/>
  <c r="H36" i="78"/>
  <c r="F40" i="78"/>
  <c r="H40" i="78"/>
  <c r="R165" i="89"/>
  <c r="G40" i="78"/>
  <c r="J44" i="86"/>
  <c r="E53" i="78"/>
  <c r="F53" i="78"/>
  <c r="G41" i="78"/>
  <c r="P121" i="80" s="1"/>
  <c r="F41" i="78"/>
  <c r="O121" i="80" s="1"/>
  <c r="E41" i="78"/>
  <c r="N121" i="80" s="1"/>
  <c r="I41" i="78"/>
  <c r="R121" i="80" s="1"/>
  <c r="H37" i="78"/>
  <c r="G121" i="80" s="1"/>
  <c r="G37" i="78"/>
  <c r="F121" i="80" s="1"/>
  <c r="F37" i="78"/>
  <c r="E121" i="80" s="1"/>
  <c r="H41" i="78"/>
  <c r="Q121" i="80" s="1"/>
  <c r="I37" i="78"/>
  <c r="H121" i="80" s="1"/>
  <c r="E37" i="78"/>
  <c r="D121" i="80" s="1"/>
  <c r="Q30" i="86"/>
  <c r="F30" i="86"/>
  <c r="K28" i="86"/>
  <c r="V23" i="86"/>
  <c r="E7" i="86"/>
  <c r="Q47" i="86"/>
  <c r="F47" i="86"/>
  <c r="V28" i="86"/>
  <c r="K23" i="86"/>
  <c r="E7" i="85"/>
  <c r="F26" i="85"/>
  <c r="Q26" i="85"/>
  <c r="K19" i="85"/>
  <c r="K24" i="85"/>
  <c r="V24" i="85"/>
  <c r="V19" i="85"/>
  <c r="Q45" i="85"/>
  <c r="F45" i="85"/>
  <c r="D38" i="85"/>
  <c r="O38" i="85" s="1"/>
  <c r="K52" i="83"/>
  <c r="E7" i="84"/>
  <c r="E37" i="84"/>
  <c r="V31" i="84"/>
  <c r="K31" i="84"/>
  <c r="V25" i="84"/>
  <c r="G13" i="84"/>
  <c r="V51" i="84"/>
  <c r="K51" i="84"/>
  <c r="F53" i="84"/>
  <c r="E91" i="83"/>
  <c r="E7" i="83"/>
  <c r="F85" i="83"/>
  <c r="Q115" i="83"/>
  <c r="F115" i="83"/>
  <c r="Q85" i="83"/>
  <c r="V76" i="83"/>
  <c r="K76" i="83"/>
  <c r="V49" i="82"/>
  <c r="K49" i="82"/>
  <c r="K140" i="83"/>
  <c r="K144" i="83"/>
  <c r="I176" i="80"/>
  <c r="V52" i="83"/>
  <c r="K139" i="83"/>
  <c r="K143" i="83"/>
  <c r="G97" i="83"/>
  <c r="G13" i="83"/>
  <c r="K141" i="83"/>
  <c r="I203" i="80"/>
  <c r="F148" i="83"/>
  <c r="V106" i="83"/>
  <c r="K142" i="83"/>
  <c r="K146" i="83"/>
  <c r="K145" i="83"/>
  <c r="V139" i="83"/>
  <c r="K106" i="83"/>
  <c r="E36" i="82"/>
  <c r="E7" i="82"/>
  <c r="V29" i="82"/>
  <c r="K29" i="82"/>
  <c r="V23" i="82"/>
  <c r="I98" i="80"/>
  <c r="I133" i="79"/>
  <c r="S203" i="80"/>
  <c r="F52" i="82"/>
  <c r="G13" i="81"/>
  <c r="Q52" i="82"/>
  <c r="E7" i="81"/>
  <c r="K40" i="81"/>
  <c r="Q49" i="81"/>
  <c r="V40" i="81"/>
  <c r="F49" i="81"/>
  <c r="Q68" i="81"/>
  <c r="F68" i="81"/>
  <c r="I171" i="80"/>
  <c r="G37" i="79"/>
  <c r="I55" i="80"/>
  <c r="S121" i="80"/>
  <c r="D61" i="81"/>
  <c r="O61" i="81" s="1"/>
  <c r="S208" i="80"/>
  <c r="I213" i="80"/>
  <c r="E132" i="80"/>
  <c r="E219" i="80"/>
  <c r="E183" i="80"/>
  <c r="E153" i="80"/>
  <c r="E109" i="80"/>
  <c r="E256" i="80"/>
  <c r="E7" i="80"/>
  <c r="E35" i="80"/>
  <c r="E72" i="80"/>
  <c r="I65" i="80"/>
  <c r="S65" i="80"/>
  <c r="I126" i="80"/>
  <c r="S126" i="80"/>
  <c r="I146" i="80"/>
  <c r="S146" i="80"/>
  <c r="I103" i="80"/>
  <c r="I29" i="80"/>
  <c r="S29" i="80"/>
  <c r="P287" i="80"/>
  <c r="F287" i="80"/>
  <c r="I88" i="80"/>
  <c r="G162" i="79"/>
  <c r="S88" i="80"/>
  <c r="S98" i="80"/>
  <c r="G119" i="78"/>
  <c r="I93" i="80"/>
  <c r="I121" i="80"/>
  <c r="I208" i="80"/>
  <c r="I198" i="80"/>
  <c r="E85" i="79"/>
  <c r="E120" i="79"/>
  <c r="E8" i="79"/>
  <c r="E139" i="79"/>
  <c r="E252" i="79"/>
  <c r="E31" i="79"/>
  <c r="E56" i="79"/>
  <c r="E186" i="79"/>
  <c r="E212" i="79"/>
  <c r="V205" i="79"/>
  <c r="K206" i="79"/>
  <c r="V206" i="79"/>
  <c r="K205" i="79"/>
  <c r="T114" i="79"/>
  <c r="S50" i="80" s="1"/>
  <c r="I114" i="79"/>
  <c r="S79" i="79" a="1"/>
  <c r="S79" i="79" s="1"/>
  <c r="V152" i="79"/>
  <c r="E119" i="78"/>
  <c r="T24" i="79"/>
  <c r="I24" i="79"/>
  <c r="K173" i="79"/>
  <c r="V173" i="79"/>
  <c r="F119" i="78"/>
  <c r="T79" i="79"/>
  <c r="I79" i="79"/>
  <c r="I60" i="80" s="1"/>
  <c r="I119" i="78"/>
  <c r="H119" i="78"/>
  <c r="K237" i="79"/>
  <c r="V237" i="79"/>
  <c r="Q300" i="79"/>
  <c r="F300" i="79"/>
  <c r="I120" i="78"/>
  <c r="F95" i="78"/>
  <c r="E120" i="78"/>
  <c r="R162" i="79"/>
  <c r="I95" i="78"/>
  <c r="G95" i="78"/>
  <c r="H95" i="78"/>
  <c r="F120" i="78"/>
  <c r="D104" i="78"/>
  <c r="D114" i="78"/>
  <c r="G120" i="78"/>
  <c r="E95" i="78"/>
  <c r="H120" i="78"/>
  <c r="P19" i="79" l="1"/>
  <c r="P24" i="79" s="1" a="1"/>
  <c r="P24" i="79" s="1"/>
  <c r="P79" i="79" s="1" a="1"/>
  <c r="P79" i="79" s="1"/>
  <c r="N19" i="89"/>
  <c r="N24" i="89" s="1" a="1"/>
  <c r="N24" i="89" s="1"/>
  <c r="D171" i="80"/>
  <c r="D275" i="79"/>
  <c r="J179" i="106" a="1"/>
  <c r="J179" i="106" s="1"/>
  <c r="E200" i="79"/>
  <c r="O238" i="80"/>
  <c r="P200" i="79"/>
  <c r="E71" i="83"/>
  <c r="T233" i="80" a="1"/>
  <c r="T233" i="80" s="1"/>
  <c r="T232" i="80" a="1"/>
  <c r="T232" i="80" s="1"/>
  <c r="T231" i="80" a="1"/>
  <c r="T231" i="80" s="1"/>
  <c r="T234" i="80" a="1"/>
  <c r="T234" i="80" s="1"/>
  <c r="F29" i="88"/>
  <c r="N165" i="89"/>
  <c r="AC221" i="116"/>
  <c r="E171" i="80"/>
  <c r="E275" i="79"/>
  <c r="E621" i="116"/>
  <c r="AE245" i="116" a="1"/>
  <c r="AE245" i="116" s="1"/>
  <c r="J136" i="106" a="1"/>
  <c r="J136" i="106" s="1"/>
  <c r="W239" i="116" a="1"/>
  <c r="W239" i="116" s="1"/>
  <c r="F98" i="80"/>
  <c r="F104" i="79"/>
  <c r="Q235" i="80" a="1"/>
  <c r="Q235" i="80" s="1"/>
  <c r="Q237" i="80" a="1"/>
  <c r="Q237" i="80" s="1"/>
  <c r="Q236" i="80" a="1"/>
  <c r="Q236" i="80" s="1"/>
  <c r="Q238" i="80" a="1"/>
  <c r="Q238" i="80" s="1"/>
  <c r="G62" i="116" a="1"/>
  <c r="G62" i="116" s="1"/>
  <c r="J67" i="116" a="1"/>
  <c r="J67" i="116" s="1"/>
  <c r="G467" i="116" a="1"/>
  <c r="G467" i="116" s="1"/>
  <c r="AE238" i="116" a="1"/>
  <c r="AE238" i="116" s="1"/>
  <c r="P53" i="83"/>
  <c r="P41" i="83"/>
  <c r="P164" i="79"/>
  <c r="E53" i="83"/>
  <c r="P140" i="83"/>
  <c r="E232" i="80"/>
  <c r="P175" i="79"/>
  <c r="P153" i="79"/>
  <c r="E65" i="83"/>
  <c r="P20" i="81"/>
  <c r="E107" i="83"/>
  <c r="P41" i="81"/>
  <c r="E20" i="81"/>
  <c r="E128" i="83"/>
  <c r="E140" i="83"/>
  <c r="O244" i="80"/>
  <c r="E175" i="79"/>
  <c r="D87" i="78"/>
  <c r="O232" i="80"/>
  <c r="P77" i="83"/>
  <c r="P239" i="79"/>
  <c r="E153" i="79"/>
  <c r="E244" i="80"/>
  <c r="P292" i="79"/>
  <c r="D85" i="78"/>
  <c r="E77" i="83"/>
  <c r="E239" i="79"/>
  <c r="P107" i="83"/>
  <c r="E292" i="79"/>
  <c r="D86" i="78"/>
  <c r="O279" i="80"/>
  <c r="E279" i="80"/>
  <c r="E41" i="83"/>
  <c r="E41" i="81"/>
  <c r="E164" i="79"/>
  <c r="S243" i="116" a="1"/>
  <c r="S243" i="116" s="1"/>
  <c r="W241" i="116" a="1"/>
  <c r="W241" i="116" s="1"/>
  <c r="J174" i="106" a="1"/>
  <c r="J174" i="106" s="1"/>
  <c r="AB124" i="116" a="1"/>
  <c r="AB124" i="116" s="1"/>
  <c r="E29" i="78"/>
  <c r="O285" i="79" s="1"/>
  <c r="O275" i="79"/>
  <c r="N171" i="80"/>
  <c r="H29" i="88"/>
  <c r="P165" i="89"/>
  <c r="H99" i="79"/>
  <c r="H19" i="80"/>
  <c r="H29" i="80" s="1" a="1"/>
  <c r="H29" i="80" s="1"/>
  <c r="D19" i="95"/>
  <c r="F19" i="95" s="1" a="1"/>
  <c r="F19" i="95" s="1"/>
  <c r="G19" i="95" s="1" a="1"/>
  <c r="G19" i="95" s="1"/>
  <c r="F31" i="95" a="1"/>
  <c r="F31" i="95" s="1"/>
  <c r="G31" i="95" s="1" a="1"/>
  <c r="G31" i="95" s="1"/>
  <c r="F24" i="95" a="1"/>
  <c r="F24" i="95" s="1"/>
  <c r="G24" i="95" s="1" a="1"/>
  <c r="G24" i="95" s="1"/>
  <c r="F22" i="95" a="1"/>
  <c r="F22" i="95" s="1"/>
  <c r="G22" i="95" s="1" a="1"/>
  <c r="G22" i="95" s="1"/>
  <c r="F35" i="95" a="1"/>
  <c r="F35" i="95" s="1"/>
  <c r="G35" i="95" s="1" a="1"/>
  <c r="G35" i="95" s="1"/>
  <c r="F32" i="95" a="1"/>
  <c r="F32" i="95" s="1"/>
  <c r="G32" i="95" s="1" a="1"/>
  <c r="G32" i="95" s="1"/>
  <c r="F25" i="95" a="1"/>
  <c r="F25" i="95" s="1"/>
  <c r="G25" i="95" s="1" a="1"/>
  <c r="G25" i="95" s="1"/>
  <c r="F21" i="95" a="1"/>
  <c r="F21" i="95" s="1"/>
  <c r="G21" i="95" s="1" a="1"/>
  <c r="G21" i="95" s="1"/>
  <c r="F33" i="95" a="1"/>
  <c r="F33" i="95" s="1"/>
  <c r="G33" i="95" s="1" a="1"/>
  <c r="G33" i="95" s="1"/>
  <c r="F20" i="95" a="1"/>
  <c r="F20" i="95" s="1"/>
  <c r="G20" i="95" s="1" a="1"/>
  <c r="G20" i="95" s="1"/>
  <c r="F30" i="95" a="1"/>
  <c r="F30" i="95" s="1"/>
  <c r="G30" i="95" s="1" a="1"/>
  <c r="G30" i="95" s="1"/>
  <c r="F29" i="95" a="1"/>
  <c r="F29" i="95" s="1"/>
  <c r="G29" i="95" s="1" a="1"/>
  <c r="G29" i="95" s="1"/>
  <c r="F28" i="95" a="1"/>
  <c r="F28" i="95" s="1"/>
  <c r="G28" i="95" s="1" a="1"/>
  <c r="G28" i="95" s="1"/>
  <c r="F27" i="95" a="1"/>
  <c r="F27" i="95" s="1"/>
  <c r="G27" i="95" s="1" a="1"/>
  <c r="G27" i="95" s="1"/>
  <c r="F37" i="95" a="1"/>
  <c r="F37" i="95" s="1"/>
  <c r="G37" i="95" s="1" a="1"/>
  <c r="G37" i="95" s="1"/>
  <c r="F26" i="95" a="1"/>
  <c r="F26" i="95" s="1"/>
  <c r="G26" i="95" s="1" a="1"/>
  <c r="G26" i="95" s="1"/>
  <c r="F36" i="95" a="1"/>
  <c r="F36" i="95" s="1"/>
  <c r="G36" i="95" s="1" a="1"/>
  <c r="G36" i="95" s="1"/>
  <c r="F23" i="95" a="1"/>
  <c r="F23" i="95" s="1"/>
  <c r="G23" i="95" s="1" a="1"/>
  <c r="G23" i="95" s="1"/>
  <c r="F34" i="95" a="1"/>
  <c r="F34" i="95" s="1"/>
  <c r="G34" i="95" s="1" a="1"/>
  <c r="G34" i="95" s="1"/>
  <c r="I235" i="80" a="1"/>
  <c r="I235" i="80" s="1"/>
  <c r="I236" i="80" a="1"/>
  <c r="I236" i="80" s="1"/>
  <c r="I237" i="80" a="1"/>
  <c r="I237" i="80" s="1"/>
  <c r="I238" i="80" a="1"/>
  <c r="I238" i="80" s="1"/>
  <c r="F233" i="80" a="1"/>
  <c r="F233" i="80" s="1"/>
  <c r="F232" i="80" a="1"/>
  <c r="F232" i="80" s="1"/>
  <c r="F231" i="80" a="1"/>
  <c r="F231" i="80" s="1"/>
  <c r="F234" i="80" a="1"/>
  <c r="F234" i="80" s="1"/>
  <c r="F152" i="79" a="1"/>
  <c r="F153" i="79" a="1"/>
  <c r="F154" i="79" a="1"/>
  <c r="F199" i="79" a="1"/>
  <c r="V14" i="90"/>
  <c r="X128" i="116" a="1"/>
  <c r="X128" i="116" s="1"/>
  <c r="P78" i="83"/>
  <c r="E66" i="83"/>
  <c r="E42" i="81"/>
  <c r="E21" i="81"/>
  <c r="E245" i="80"/>
  <c r="P240" i="79"/>
  <c r="E240" i="79"/>
  <c r="P165" i="79"/>
  <c r="O245" i="80"/>
  <c r="E233" i="80"/>
  <c r="P293" i="79"/>
  <c r="D91" i="78"/>
  <c r="E78" i="83"/>
  <c r="P54" i="83"/>
  <c r="P141" i="83"/>
  <c r="E54" i="83"/>
  <c r="P176" i="79"/>
  <c r="E293" i="79"/>
  <c r="P42" i="83"/>
  <c r="P42" i="81"/>
  <c r="O233" i="80"/>
  <c r="O280" i="80"/>
  <c r="E154" i="79"/>
  <c r="P108" i="83"/>
  <c r="E165" i="79"/>
  <c r="P21" i="81"/>
  <c r="E280" i="80"/>
  <c r="E108" i="83"/>
  <c r="E42" i="83"/>
  <c r="E141" i="83"/>
  <c r="E129" i="83"/>
  <c r="P154" i="79"/>
  <c r="E176" i="79"/>
  <c r="J124" i="106" a="1"/>
  <c r="J124" i="106" s="1"/>
  <c r="E59" i="106"/>
  <c r="H59" i="106" s="1" a="1"/>
  <c r="H59" i="106" s="1"/>
  <c r="H89" i="106" a="1"/>
  <c r="H89" i="106" s="1"/>
  <c r="H80" i="106" a="1"/>
  <c r="H80" i="106" s="1"/>
  <c r="H73" i="106" a="1"/>
  <c r="H73" i="106" s="1"/>
  <c r="H65" i="106" a="1"/>
  <c r="H65"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0" i="106" a="1"/>
  <c r="H90" i="106" s="1"/>
  <c r="H82" i="106" a="1"/>
  <c r="H82" i="106" s="1"/>
  <c r="I82" i="106" s="1" a="1"/>
  <c r="I82" i="106" s="1"/>
  <c r="H180" i="106" s="1"/>
  <c r="H74" i="106" a="1"/>
  <c r="H74" i="106" s="1"/>
  <c r="H66" i="106" a="1"/>
  <c r="H66" i="106" s="1"/>
  <c r="H78" i="106" a="1"/>
  <c r="H78" i="106" s="1"/>
  <c r="H63" i="106" a="1"/>
  <c r="H63" i="106" s="1"/>
  <c r="H91" i="106" a="1"/>
  <c r="H91" i="106" s="1"/>
  <c r="H75" i="106" a="1"/>
  <c r="H75" i="106" s="1"/>
  <c r="H60" i="106" a="1"/>
  <c r="H60" i="106" s="1"/>
  <c r="H88" i="106" a="1"/>
  <c r="H88" i="106" s="1"/>
  <c r="H72" i="106" a="1"/>
  <c r="H72" i="106" s="1"/>
  <c r="H86" i="106" a="1"/>
  <c r="H86" i="106" s="1"/>
  <c r="H71" i="106" a="1"/>
  <c r="H71" i="106" s="1"/>
  <c r="H83" i="106" a="1"/>
  <c r="H83" i="106" s="1"/>
  <c r="H67" i="106" a="1"/>
  <c r="H67" i="106" s="1"/>
  <c r="H79" i="106" a="1"/>
  <c r="H79" i="106" s="1"/>
  <c r="H64" i="106" a="1"/>
  <c r="H64" i="106" s="1"/>
  <c r="J118" i="106" a="1"/>
  <c r="J118" i="106" s="1"/>
  <c r="E19" i="89"/>
  <c r="E24" i="89" s="1" a="1"/>
  <c r="E24" i="89" s="1"/>
  <c r="E80" i="89" s="1" a="1"/>
  <c r="E80" i="89" s="1"/>
  <c r="E115" i="89" s="1" a="1"/>
  <c r="E115" i="89" s="1"/>
  <c r="E132" i="89" s="1" a="1"/>
  <c r="E132" i="89" s="1"/>
  <c r="E180" i="89" s="1" a="1"/>
  <c r="E180" i="89" s="1"/>
  <c r="E19" i="79"/>
  <c r="E24" i="79" s="1" a="1"/>
  <c r="E24" i="79" s="1"/>
  <c r="E79" i="79" s="1" a="1"/>
  <c r="E79" i="79" s="1"/>
  <c r="Q208" i="80"/>
  <c r="G208" i="80"/>
  <c r="G285" i="79"/>
  <c r="G104" i="79"/>
  <c r="G98" i="80"/>
  <c r="G238" i="80" a="1"/>
  <c r="G238" i="80" s="1"/>
  <c r="G235" i="80" a="1"/>
  <c r="G235" i="80" s="1"/>
  <c r="G236" i="80" a="1"/>
  <c r="G236" i="80" s="1"/>
  <c r="G237" i="80" a="1"/>
  <c r="G237" i="80" s="1"/>
  <c r="J164" i="106" a="1"/>
  <c r="J164" i="106" s="1"/>
  <c r="J168" i="106" a="1"/>
  <c r="J168" i="106" s="1"/>
  <c r="P238" i="80" a="1"/>
  <c r="P238" i="80" s="1"/>
  <c r="Q156" i="79" a="1"/>
  <c r="P237" i="80" a="1"/>
  <c r="P237" i="80" s="1"/>
  <c r="Q155" i="79" a="1"/>
  <c r="P236" i="80" a="1"/>
  <c r="P236" i="80" s="1"/>
  <c r="Q200" i="79" a="1"/>
  <c r="Q157" i="79" a="1"/>
  <c r="P235" i="80" a="1"/>
  <c r="P235" i="80" s="1"/>
  <c r="G80" i="89" a="1"/>
  <c r="G80" i="89" s="1"/>
  <c r="G115" i="89" s="1" a="1"/>
  <c r="G115" i="89" s="1"/>
  <c r="G132" i="89" s="1" a="1"/>
  <c r="G132" i="89" s="1"/>
  <c r="G180" i="89" s="1" a="1"/>
  <c r="G180" i="89" s="1"/>
  <c r="J173" i="106" a="1"/>
  <c r="J173" i="106" s="1"/>
  <c r="F19" i="80"/>
  <c r="F29" i="80" s="1" a="1"/>
  <c r="F29" i="80" s="1"/>
  <c r="F99" i="79"/>
  <c r="G29" i="88"/>
  <c r="O165" i="89"/>
  <c r="R19" i="80"/>
  <c r="R29" i="80" s="1" a="1"/>
  <c r="R29" i="80" s="1"/>
  <c r="S99" i="79"/>
  <c r="S114" i="79" a="1"/>
  <c r="S114" i="79" s="1"/>
  <c r="J65" i="116" a="1"/>
  <c r="J65" i="116" s="1"/>
  <c r="J122" i="106" a="1"/>
  <c r="J122" i="106" s="1"/>
  <c r="G19" i="80"/>
  <c r="G29" i="80" s="1" a="1"/>
  <c r="G29" i="80" s="1"/>
  <c r="G99" i="79"/>
  <c r="G114" i="79" s="1" a="1"/>
  <c r="G114" i="79" s="1"/>
  <c r="F275" i="79"/>
  <c r="F203" i="80"/>
  <c r="T39" i="79"/>
  <c r="O50" i="79" s="1" a="1"/>
  <c r="O50" i="79" s="1"/>
  <c r="N88" i="80" s="1"/>
  <c r="R39" i="89"/>
  <c r="G64" i="116" a="1"/>
  <c r="G64" i="116" s="1"/>
  <c r="S244" i="116" a="1"/>
  <c r="S244" i="116" s="1"/>
  <c r="J175" i="106" a="1"/>
  <c r="J175" i="106" s="1"/>
  <c r="K26" i="102" a="1"/>
  <c r="K26" i="102" s="1"/>
  <c r="AA244" i="116" a="1"/>
  <c r="AA244" i="116" s="1"/>
  <c r="O243" i="80"/>
  <c r="E238" i="79"/>
  <c r="E278" i="80"/>
  <c r="E127" i="83"/>
  <c r="E231" i="80"/>
  <c r="E163" i="79"/>
  <c r="O278" i="80"/>
  <c r="E106" i="83"/>
  <c r="P40" i="83"/>
  <c r="P40" i="81"/>
  <c r="E19" i="81"/>
  <c r="P52" i="83"/>
  <c r="E243" i="80"/>
  <c r="O231" i="80"/>
  <c r="P291" i="79"/>
  <c r="D81" i="78"/>
  <c r="E291" i="79"/>
  <c r="E40" i="83"/>
  <c r="E40" i="81"/>
  <c r="P76" i="83"/>
  <c r="P238" i="79"/>
  <c r="E52" i="83"/>
  <c r="D82" i="78"/>
  <c r="P139" i="83"/>
  <c r="E64" i="83"/>
  <c r="P174" i="79"/>
  <c r="E139" i="83"/>
  <c r="E174" i="79"/>
  <c r="P152" i="79"/>
  <c r="P106" i="83"/>
  <c r="P19" i="81"/>
  <c r="E152" i="79"/>
  <c r="E76" i="83"/>
  <c r="D80" i="78"/>
  <c r="P163" i="79"/>
  <c r="D270" i="116"/>
  <c r="F280" i="116" a="1"/>
  <c r="F280" i="116" s="1"/>
  <c r="F273" i="116" a="1"/>
  <c r="F273" i="116" s="1"/>
  <c r="E280" i="116"/>
  <c r="I280" i="116" s="1" a="1"/>
  <c r="I280" i="116" s="1"/>
  <c r="E273" i="116"/>
  <c r="E278" i="116"/>
  <c r="E271" i="116"/>
  <c r="F277" i="116" a="1"/>
  <c r="F277" i="116" s="1"/>
  <c r="F276" i="116" a="1"/>
  <c r="F276" i="116" s="1"/>
  <c r="F281" i="116" a="1"/>
  <c r="F281" i="116" s="1"/>
  <c r="F274" i="116" a="1"/>
  <c r="F274" i="116" s="1"/>
  <c r="I274" i="116" s="1" a="1"/>
  <c r="I274" i="116" s="1"/>
  <c r="E281" i="116"/>
  <c r="E274" i="116"/>
  <c r="F279" i="116" a="1"/>
  <c r="F279" i="116" s="1"/>
  <c r="E279" i="116"/>
  <c r="F278" i="116" a="1"/>
  <c r="F278" i="116" s="1"/>
  <c r="E277" i="116"/>
  <c r="E276" i="116"/>
  <c r="F275" i="116" a="1"/>
  <c r="F275" i="116" s="1"/>
  <c r="E275" i="116"/>
  <c r="F272" i="116" a="1"/>
  <c r="F272" i="116" s="1"/>
  <c r="E272" i="116"/>
  <c r="F271" i="116" a="1"/>
  <c r="F271" i="116" s="1"/>
  <c r="W242" i="116" a="1"/>
  <c r="W242" i="116" s="1"/>
  <c r="R98" i="80"/>
  <c r="S104" i="79"/>
  <c r="AA246" i="116" a="1"/>
  <c r="AA246" i="116" s="1"/>
  <c r="H38" i="102" a="1"/>
  <c r="H38" i="102" s="1"/>
  <c r="J132" i="106" a="1"/>
  <c r="J132" i="106" s="1"/>
  <c r="Q221" i="116" a="1"/>
  <c r="V15" i="90"/>
  <c r="O45" i="91" s="1" a="1"/>
  <c r="R99" i="79"/>
  <c r="Q19" i="80"/>
  <c r="Q29" i="80" s="1" a="1"/>
  <c r="Q29" i="80" s="1"/>
  <c r="G171" i="80"/>
  <c r="G275" i="79"/>
  <c r="W240" i="116" a="1"/>
  <c r="W240" i="116" s="1"/>
  <c r="R235" i="80" a="1"/>
  <c r="R235" i="80" s="1"/>
  <c r="R238" i="80" a="1"/>
  <c r="R238" i="80" s="1"/>
  <c r="R236" i="80" a="1"/>
  <c r="R236" i="80" s="1"/>
  <c r="R237" i="80" a="1"/>
  <c r="R237" i="80" s="1"/>
  <c r="X127" i="116" a="1"/>
  <c r="X127" i="116" s="1"/>
  <c r="S241" i="116" a="1"/>
  <c r="S241" i="116" s="1"/>
  <c r="J138" i="106" a="1"/>
  <c r="J138" i="106" s="1"/>
  <c r="M19" i="89"/>
  <c r="M24" i="89" s="1" a="1"/>
  <c r="M24" i="89" s="1"/>
  <c r="O19" i="79"/>
  <c r="O24" i="79" s="1" a="1"/>
  <c r="O24" i="79" s="1"/>
  <c r="O79" i="79" s="1" a="1"/>
  <c r="O79" i="79" s="1"/>
  <c r="H19" i="89"/>
  <c r="H24" i="89" s="1" a="1"/>
  <c r="H24" i="89" s="1"/>
  <c r="H19" i="79"/>
  <c r="H24" i="79" s="1" a="1"/>
  <c r="H24" i="79" s="1"/>
  <c r="H79" i="79" s="1" a="1"/>
  <c r="H79" i="79" s="1"/>
  <c r="R52" i="91" a="1"/>
  <c r="R52" i="91" s="1"/>
  <c r="AE243" i="116" a="1"/>
  <c r="AE243" i="116" s="1"/>
  <c r="K27" i="103"/>
  <c r="G27" i="103"/>
  <c r="N27" i="103" s="1" a="1"/>
  <c r="N27" i="103" s="1"/>
  <c r="J27" i="103"/>
  <c r="I27" i="103"/>
  <c r="H27" i="103"/>
  <c r="U221" i="116" a="1"/>
  <c r="F19" i="89"/>
  <c r="F24" i="89" s="1" a="1"/>
  <c r="F24" i="89" s="1"/>
  <c r="F80" i="89" s="1" a="1"/>
  <c r="F80" i="89" s="1"/>
  <c r="F115" i="89" s="1" a="1"/>
  <c r="F115" i="89" s="1"/>
  <c r="F132" i="89" s="1" a="1"/>
  <c r="F132" i="89" s="1"/>
  <c r="F19" i="79"/>
  <c r="F24" i="79" s="1" a="1"/>
  <c r="F24" i="79" s="1"/>
  <c r="F79" i="79" s="1" a="1"/>
  <c r="F79" i="79" s="1"/>
  <c r="F114" i="79" s="1" a="1"/>
  <c r="F114" i="79" s="1"/>
  <c r="AE240" i="116" a="1"/>
  <c r="AE240" i="116" s="1"/>
  <c r="J162" i="106" a="1"/>
  <c r="J162" i="106" s="1"/>
  <c r="J117" i="106" a="1"/>
  <c r="J117" i="106" s="1"/>
  <c r="W246" i="116" a="1"/>
  <c r="W246" i="116" s="1"/>
  <c r="J177" i="106" a="1"/>
  <c r="J177" i="106" s="1"/>
  <c r="AG221" i="116" a="1"/>
  <c r="H208" i="80"/>
  <c r="H285" i="79"/>
  <c r="D19" i="91"/>
  <c r="F19" i="91" s="1" a="1"/>
  <c r="F19" i="91" s="1"/>
  <c r="F30" i="91" a="1"/>
  <c r="F30" i="91" s="1"/>
  <c r="F29" i="91" a="1"/>
  <c r="F29" i="91" s="1"/>
  <c r="F25" i="91" a="1"/>
  <c r="F25" i="91" s="1"/>
  <c r="F24" i="91" a="1"/>
  <c r="F24" i="91" s="1"/>
  <c r="F32" i="91" a="1"/>
  <c r="F32" i="91" s="1"/>
  <c r="F31" i="91" a="1"/>
  <c r="F31" i="91" s="1"/>
  <c r="F33" i="91" a="1"/>
  <c r="F33" i="91" s="1"/>
  <c r="F28" i="91" a="1"/>
  <c r="F28" i="91" s="1"/>
  <c r="F27" i="91" a="1"/>
  <c r="F27" i="91" s="1"/>
  <c r="F26" i="91" a="1"/>
  <c r="F26" i="91" s="1"/>
  <c r="F23" i="91" a="1"/>
  <c r="F23" i="91" s="1"/>
  <c r="F22" i="91" a="1"/>
  <c r="F22" i="91" s="1"/>
  <c r="F21" i="91" a="1"/>
  <c r="F21" i="91" s="1"/>
  <c r="F20" i="91" a="1"/>
  <c r="F20" i="91" s="1"/>
  <c r="F37" i="91" a="1"/>
  <c r="F37" i="91" s="1"/>
  <c r="F36" i="91" a="1"/>
  <c r="F36" i="91" s="1"/>
  <c r="F35" i="91" a="1"/>
  <c r="F35" i="91" s="1"/>
  <c r="F34" i="91" a="1"/>
  <c r="F34" i="91" s="1"/>
  <c r="I39" i="79"/>
  <c r="D50" i="79" s="1" a="1"/>
  <c r="D50" i="79" s="1"/>
  <c r="D88" i="80" s="1"/>
  <c r="I39" i="89"/>
  <c r="D50" i="89" s="1" a="1"/>
  <c r="D50" i="89" s="1"/>
  <c r="AB128" i="116" a="1"/>
  <c r="AB128" i="116" s="1"/>
  <c r="AA239" i="116" a="1"/>
  <c r="AA239" i="116" s="1"/>
  <c r="J158" i="106" a="1"/>
  <c r="J158" i="106" s="1"/>
  <c r="AH221" i="116" a="1"/>
  <c r="AH221" i="116" s="1"/>
  <c r="O99" i="79"/>
  <c r="N19" i="80"/>
  <c r="N29" i="80" s="1" a="1"/>
  <c r="N29" i="80" s="1"/>
  <c r="F29" i="78"/>
  <c r="P285" i="79" s="1"/>
  <c r="O171" i="80"/>
  <c r="P275" i="79"/>
  <c r="H231" i="80" a="1"/>
  <c r="H231" i="80" s="1"/>
  <c r="H233" i="80" a="1"/>
  <c r="H233" i="80" s="1"/>
  <c r="H232" i="80" a="1"/>
  <c r="H232" i="80" s="1"/>
  <c r="H234" i="80" a="1"/>
  <c r="H234" i="80" s="1"/>
  <c r="G234" i="80" a="1"/>
  <c r="G234" i="80" s="1"/>
  <c r="G233" i="80" a="1"/>
  <c r="G233" i="80" s="1"/>
  <c r="G232" i="80" a="1"/>
  <c r="G232" i="80" s="1"/>
  <c r="G231" i="80" a="1"/>
  <c r="G231" i="80" s="1"/>
  <c r="N80" i="89" a="1"/>
  <c r="N80" i="89" s="1"/>
  <c r="N115" i="89" s="1" a="1"/>
  <c r="N115" i="89" s="1"/>
  <c r="N132" i="89" s="1" a="1"/>
  <c r="N132" i="89" s="1"/>
  <c r="N180" i="89" s="1" a="1"/>
  <c r="N180" i="89" s="1"/>
  <c r="Q33" i="103" a="1"/>
  <c r="Q33" i="103" s="1"/>
  <c r="J70" i="116" a="1"/>
  <c r="J70" i="116" s="1"/>
  <c r="X125" i="116" a="1"/>
  <c r="X125" i="116" s="1"/>
  <c r="AB121" i="116" a="1"/>
  <c r="AB121" i="116" s="1"/>
  <c r="AB120" i="116" a="1"/>
  <c r="AB120" i="116" s="1"/>
  <c r="S239" i="116" a="1"/>
  <c r="S239" i="116" s="1"/>
  <c r="W238" i="116" a="1"/>
  <c r="W238" i="116" s="1"/>
  <c r="AE239" i="116" a="1"/>
  <c r="AE239" i="116" s="1"/>
  <c r="G26" i="102" a="1"/>
  <c r="G26" i="102" s="1"/>
  <c r="J165" i="106" a="1"/>
  <c r="J165" i="106" s="1"/>
  <c r="O221" i="116" a="1"/>
  <c r="O221" i="116" s="1"/>
  <c r="F42" i="116" a="1"/>
  <c r="I29" i="88"/>
  <c r="Q165" i="89"/>
  <c r="F106" i="95" a="1"/>
  <c r="F106" i="95" s="1"/>
  <c r="E138" i="95" s="1"/>
  <c r="O98" i="80"/>
  <c r="P104" i="79"/>
  <c r="D19" i="92"/>
  <c r="F19" i="92" s="1" a="1"/>
  <c r="F19" i="92" s="1"/>
  <c r="F37" i="92" a="1"/>
  <c r="F37" i="92" s="1"/>
  <c r="F23" i="92" a="1"/>
  <c r="F23" i="92" s="1"/>
  <c r="F36" i="92" a="1"/>
  <c r="F36" i="92" s="1"/>
  <c r="F22" i="92" a="1"/>
  <c r="F22" i="92" s="1"/>
  <c r="F32" i="92" a="1"/>
  <c r="F32" i="92" s="1"/>
  <c r="F31" i="92" a="1"/>
  <c r="F31" i="92" s="1"/>
  <c r="F25" i="92" a="1"/>
  <c r="F25" i="92" s="1"/>
  <c r="F24" i="92" a="1"/>
  <c r="F24" i="92" s="1"/>
  <c r="F35" i="92" a="1"/>
  <c r="F35" i="92" s="1"/>
  <c r="F34" i="92" a="1"/>
  <c r="F34" i="92" s="1"/>
  <c r="F33" i="92" a="1"/>
  <c r="F33" i="92" s="1"/>
  <c r="F30" i="92" a="1"/>
  <c r="F30" i="92" s="1"/>
  <c r="F29" i="92" a="1"/>
  <c r="F29" i="92" s="1"/>
  <c r="F28" i="92" a="1"/>
  <c r="F28" i="92" s="1"/>
  <c r="F27" i="92" a="1"/>
  <c r="F27" i="92" s="1"/>
  <c r="F26" i="92" a="1"/>
  <c r="F26" i="92" s="1"/>
  <c r="F21" i="92" a="1"/>
  <c r="F21" i="92" s="1"/>
  <c r="F20" i="92" a="1"/>
  <c r="F20" i="92" s="1"/>
  <c r="Q234" i="80" a="1"/>
  <c r="Q234" i="80" s="1"/>
  <c r="Q232" i="80" a="1"/>
  <c r="Q232" i="80" s="1"/>
  <c r="Q233" i="80" a="1"/>
  <c r="Q233" i="80" s="1"/>
  <c r="Q231" i="80" a="1"/>
  <c r="Q231" i="80" s="1"/>
  <c r="J236" i="80" a="1"/>
  <c r="J236" i="80" s="1"/>
  <c r="J237" i="80" a="1"/>
  <c r="J237" i="80" s="1"/>
  <c r="J238" i="80" a="1"/>
  <c r="J238" i="80" s="1"/>
  <c r="J235" i="80" a="1"/>
  <c r="J235" i="80" s="1"/>
  <c r="Q153" i="79" a="1"/>
  <c r="Q154" i="79" a="1"/>
  <c r="Q152" i="79" a="1"/>
  <c r="P233" i="80" a="1"/>
  <c r="P233" i="80" s="1"/>
  <c r="P232" i="80" a="1"/>
  <c r="P232" i="80" s="1"/>
  <c r="P231" i="80" a="1"/>
  <c r="P231" i="80" s="1"/>
  <c r="P234" i="80" a="1"/>
  <c r="P234" i="80" s="1"/>
  <c r="Q199" i="79" a="1"/>
  <c r="G19" i="89"/>
  <c r="G24" i="89" s="1" a="1"/>
  <c r="G24" i="89" s="1"/>
  <c r="G19" i="79"/>
  <c r="G24" i="79" s="1" a="1"/>
  <c r="G24" i="79" s="1"/>
  <c r="G79" i="79" s="1" a="1"/>
  <c r="G79" i="79" s="1"/>
  <c r="D19" i="79"/>
  <c r="D24" i="79" s="1" a="1"/>
  <c r="D24" i="79" s="1"/>
  <c r="D79" i="79" s="1" a="1"/>
  <c r="D79" i="79" s="1"/>
  <c r="D19" i="89"/>
  <c r="D24" i="89" s="1" a="1"/>
  <c r="D24" i="89" s="1"/>
  <c r="D80" i="89" s="1" a="1"/>
  <c r="D80" i="89" s="1"/>
  <c r="D115" i="89" s="1" a="1"/>
  <c r="D115" i="89" s="1"/>
  <c r="D132" i="89" s="1" a="1"/>
  <c r="D132" i="89" s="1"/>
  <c r="D180" i="89" s="1" a="1"/>
  <c r="D180" i="89" s="1"/>
  <c r="F237" i="80" a="1"/>
  <c r="F237" i="80" s="1"/>
  <c r="F236" i="80" a="1"/>
  <c r="F236" i="80" s="1"/>
  <c r="F235" i="80" a="1"/>
  <c r="F235" i="80" s="1"/>
  <c r="F155" i="79" a="1"/>
  <c r="F156" i="79" a="1"/>
  <c r="F200" i="79" a="1"/>
  <c r="F238" i="80" a="1"/>
  <c r="F238" i="80" s="1"/>
  <c r="F157" i="79" a="1"/>
  <c r="T40" i="79"/>
  <c r="R40" i="89"/>
  <c r="S237" i="116" a="1"/>
  <c r="S237" i="116" s="1"/>
  <c r="AE237" i="116" a="1"/>
  <c r="AE237" i="116" s="1"/>
  <c r="AE242" i="116" a="1"/>
  <c r="AE242" i="116" s="1"/>
  <c r="J133" i="106" a="1"/>
  <c r="J133" i="106" s="1"/>
  <c r="D104" i="79"/>
  <c r="D98" i="80"/>
  <c r="X121" i="116" a="1"/>
  <c r="X121" i="116" s="1"/>
  <c r="J125" i="106" a="1"/>
  <c r="J125" i="106" s="1"/>
  <c r="E99" i="79"/>
  <c r="E19" i="80"/>
  <c r="E29" i="80" s="1" a="1"/>
  <c r="E29" i="80" s="1"/>
  <c r="H80" i="89" a="1"/>
  <c r="H80" i="89" s="1"/>
  <c r="H115" i="89" s="1" a="1"/>
  <c r="H115" i="89" s="1"/>
  <c r="H132" i="89" s="1" a="1"/>
  <c r="H132" i="89" s="1"/>
  <c r="P98" i="80"/>
  <c r="Q104" i="79"/>
  <c r="X120" i="116" a="1"/>
  <c r="X120" i="116" s="1"/>
  <c r="E199" i="79"/>
  <c r="E67" i="83"/>
  <c r="P199" i="79"/>
  <c r="H235" i="80" a="1"/>
  <c r="H235" i="80" s="1"/>
  <c r="H236" i="80" a="1"/>
  <c r="H236" i="80" s="1"/>
  <c r="H237" i="80" a="1"/>
  <c r="H237" i="80" s="1"/>
  <c r="H238" i="80" a="1"/>
  <c r="H238" i="80" s="1"/>
  <c r="AA240" i="116" a="1"/>
  <c r="AA240" i="116" s="1"/>
  <c r="H98" i="80"/>
  <c r="H104" i="79"/>
  <c r="AB127" i="116" a="1"/>
  <c r="AB127" i="116" s="1"/>
  <c r="W244" i="116" a="1"/>
  <c r="W244" i="116" s="1"/>
  <c r="AE246" i="116" a="1"/>
  <c r="AE246" i="116" s="1"/>
  <c r="I26" i="102" a="1"/>
  <c r="I26" i="102" s="1"/>
  <c r="I35" i="103"/>
  <c r="H35" i="103"/>
  <c r="K35" i="103"/>
  <c r="Q35" i="103" s="1" a="1"/>
  <c r="Q35" i="103" s="1"/>
  <c r="J35" i="103"/>
  <c r="G35" i="103"/>
  <c r="Y221" i="116" a="1"/>
  <c r="V13" i="90"/>
  <c r="AA241" i="116" a="1"/>
  <c r="AA241" i="116" s="1"/>
  <c r="F151" i="79" a="1"/>
  <c r="F25" i="84"/>
  <c r="D92" i="78"/>
  <c r="D90" i="78"/>
  <c r="O19" i="89"/>
  <c r="O24" i="89" s="1" a="1"/>
  <c r="O24" i="89" s="1"/>
  <c r="O80" i="89" s="1" a="1"/>
  <c r="O80" i="89" s="1"/>
  <c r="O115" i="89" s="1" a="1"/>
  <c r="O115" i="89" s="1"/>
  <c r="O132" i="89" s="1" a="1"/>
  <c r="O132" i="89" s="1"/>
  <c r="Q19" i="79"/>
  <c r="Q24" i="79" s="1" a="1"/>
  <c r="Q24" i="79" s="1"/>
  <c r="Q79" i="79" s="1" a="1"/>
  <c r="Q79" i="79" s="1"/>
  <c r="J127" i="106" a="1"/>
  <c r="J127" i="106" s="1"/>
  <c r="J31" i="103"/>
  <c r="K31" i="103"/>
  <c r="I31" i="103"/>
  <c r="O31" i="103" s="1" a="1"/>
  <c r="O31" i="103" s="1"/>
  <c r="H31" i="103"/>
  <c r="G31" i="103"/>
  <c r="G37" i="102" a="1"/>
  <c r="G37" i="102" s="1"/>
  <c r="P37" i="102" s="1" a="1"/>
  <c r="P37" i="102" s="1"/>
  <c r="AA242" i="116" a="1"/>
  <c r="AA242" i="116" s="1"/>
  <c r="J120" i="106" a="1"/>
  <c r="J120" i="106" s="1"/>
  <c r="H32" i="103"/>
  <c r="G32" i="103"/>
  <c r="J32" i="103"/>
  <c r="I32" i="103"/>
  <c r="K32" i="103"/>
  <c r="J135" i="106" a="1"/>
  <c r="J135" i="106" s="1"/>
  <c r="J185" i="106" a="1"/>
  <c r="J185" i="106" s="1"/>
  <c r="V16" i="90"/>
  <c r="P99" i="79"/>
  <c r="O19" i="80"/>
  <c r="O29" i="80" s="1" a="1"/>
  <c r="O29" i="80" s="1"/>
  <c r="G29" i="78"/>
  <c r="Q275" i="79"/>
  <c r="P203" i="80"/>
  <c r="H275" i="79"/>
  <c r="H203" i="80"/>
  <c r="I234" i="80" a="1"/>
  <c r="I234" i="80" s="1"/>
  <c r="I233" i="80" a="1"/>
  <c r="I233" i="80" s="1"/>
  <c r="I231" i="80" a="1"/>
  <c r="I231" i="80" s="1"/>
  <c r="I232" i="80" a="1"/>
  <c r="I232" i="80" s="1"/>
  <c r="S236" i="80" a="1"/>
  <c r="S236" i="80" s="1"/>
  <c r="S237" i="80" a="1"/>
  <c r="S237" i="80" s="1"/>
  <c r="S238" i="80" a="1"/>
  <c r="S238" i="80" s="1"/>
  <c r="S235" i="80" a="1"/>
  <c r="S235" i="80" s="1"/>
  <c r="J144" i="106" a="1"/>
  <c r="J144" i="106" s="1"/>
  <c r="J123" i="106" a="1"/>
  <c r="J123" i="106" s="1"/>
  <c r="E21" i="106"/>
  <c r="H21" i="106" s="1" a="1"/>
  <c r="H21" i="106" s="1"/>
  <c r="H47" i="106" a="1"/>
  <c r="H47" i="106" s="1"/>
  <c r="H39" i="106" a="1"/>
  <c r="H39" i="106" s="1"/>
  <c r="H31" i="106" a="1"/>
  <c r="H31" i="106" s="1"/>
  <c r="H24" i="106" a="1"/>
  <c r="H24" i="106" s="1"/>
  <c r="H53" i="106" a="1"/>
  <c r="H53" i="106" s="1"/>
  <c r="H45" i="106" a="1"/>
  <c r="H45" i="106" s="1"/>
  <c r="H37" i="106" a="1"/>
  <c r="H37" i="106" s="1"/>
  <c r="H29" i="106" a="1"/>
  <c r="H29" i="106" s="1"/>
  <c r="H22" i="106" a="1"/>
  <c r="H22" i="106" s="1"/>
  <c r="H48" i="106" a="1"/>
  <c r="H48" i="106" s="1"/>
  <c r="I48" i="106" s="1" a="1"/>
  <c r="I48" i="106" s="1"/>
  <c r="H143" i="106" s="1"/>
  <c r="H40" i="106" a="1"/>
  <c r="H40" i="106" s="1"/>
  <c r="H33" i="106" a="1"/>
  <c r="H33" i="106" s="1"/>
  <c r="H25" i="106" a="1"/>
  <c r="H25" i="106" s="1"/>
  <c r="I25" i="106" s="1" a="1"/>
  <c r="I25" i="106" s="1"/>
  <c r="H120" i="106" s="1"/>
  <c r="I120" i="106" s="1"/>
  <c r="K120" i="106" s="1" a="1"/>
  <c r="K120" i="106" s="1"/>
  <c r="H44" i="106" a="1"/>
  <c r="H44" i="106" s="1"/>
  <c r="H28" i="106" a="1"/>
  <c r="H28" i="106" s="1"/>
  <c r="H42" i="106" a="1"/>
  <c r="H42" i="106" s="1"/>
  <c r="H27" i="106" a="1"/>
  <c r="H27" i="106" s="1"/>
  <c r="H41" i="106" a="1"/>
  <c r="H41" i="106" s="1"/>
  <c r="H26" i="106" a="1"/>
  <c r="H26" i="106" s="1"/>
  <c r="H54" i="106" a="1"/>
  <c r="H54" i="106" s="1"/>
  <c r="H38" i="106" a="1"/>
  <c r="H38" i="106" s="1"/>
  <c r="H23" i="106" a="1"/>
  <c r="H23" i="106" s="1"/>
  <c r="H52" i="106" a="1"/>
  <c r="H52" i="106" s="1"/>
  <c r="I52" i="106" s="1" a="1"/>
  <c r="I52" i="106" s="1"/>
  <c r="H147" i="106" s="1"/>
  <c r="H36" i="106" a="1"/>
  <c r="H36" i="106" s="1"/>
  <c r="I36" i="106" s="1" a="1"/>
  <c r="I36" i="106" s="1"/>
  <c r="H131" i="106" s="1"/>
  <c r="H51" i="106" a="1"/>
  <c r="H51" i="106" s="1"/>
  <c r="H35" i="106" a="1"/>
  <c r="H35" i="106" s="1"/>
  <c r="H50" i="106" a="1"/>
  <c r="H50" i="106" s="1"/>
  <c r="H34" i="106" a="1"/>
  <c r="H34" i="106" s="1"/>
  <c r="H46" i="106" a="1"/>
  <c r="H46" i="106" s="1"/>
  <c r="H30" i="106" a="1"/>
  <c r="H30" i="106" s="1"/>
  <c r="D19" i="80"/>
  <c r="D29" i="80" s="1" a="1"/>
  <c r="D29" i="80" s="1"/>
  <c r="D99" i="79"/>
  <c r="O208" i="80"/>
  <c r="E208" i="80"/>
  <c r="E285" i="79"/>
  <c r="R104" i="79"/>
  <c r="Q98" i="80"/>
  <c r="O50" i="91"/>
  <c r="T51" i="91"/>
  <c r="V51" i="91" s="1" a="1"/>
  <c r="V51" i="91" s="1"/>
  <c r="S51" i="91" a="1"/>
  <c r="S51" i="91" s="1"/>
  <c r="T52" i="91"/>
  <c r="V52" i="91" s="1" a="1"/>
  <c r="V52" i="91" s="1"/>
  <c r="S52" i="91" a="1"/>
  <c r="S52" i="91" s="1"/>
  <c r="J121" i="106" a="1"/>
  <c r="J121" i="106" s="1"/>
  <c r="J176" i="106" a="1"/>
  <c r="J176" i="106" s="1"/>
  <c r="H26" i="102" a="1"/>
  <c r="H26" i="102" s="1"/>
  <c r="R51" i="91" a="1"/>
  <c r="R51" i="91" s="1"/>
  <c r="J38" i="103"/>
  <c r="I38" i="103"/>
  <c r="K38" i="103"/>
  <c r="H38" i="103"/>
  <c r="G38" i="103"/>
  <c r="P38" i="103" s="1" a="1"/>
  <c r="P38" i="103" s="1"/>
  <c r="S246" i="116" a="1"/>
  <c r="S246" i="116" s="1"/>
  <c r="F246" i="116" s="1" a="1"/>
  <c r="F246" i="116" s="1"/>
  <c r="D21" i="106"/>
  <c r="G190" i="106" a="1"/>
  <c r="G190" i="106" s="1"/>
  <c r="G161" i="106" a="1"/>
  <c r="G161" i="106" s="1"/>
  <c r="G146" i="106" a="1"/>
  <c r="G146" i="106" s="1"/>
  <c r="G135" i="106" a="1"/>
  <c r="G135" i="106" s="1"/>
  <c r="G48" i="106" a="1"/>
  <c r="G48" i="106" s="1"/>
  <c r="G40" i="106" a="1"/>
  <c r="G40" i="106" s="1"/>
  <c r="G33" i="106" a="1"/>
  <c r="G33" i="106" s="1"/>
  <c r="G25" i="106" a="1"/>
  <c r="G25" i="106" s="1"/>
  <c r="G189" i="106" a="1"/>
  <c r="G189" i="106" s="1"/>
  <c r="G177" i="106" a="1"/>
  <c r="G177" i="106" s="1"/>
  <c r="G145" i="106" a="1"/>
  <c r="G145" i="106" s="1"/>
  <c r="G125" i="106" a="1"/>
  <c r="G125" i="106" s="1"/>
  <c r="G118" i="106" a="1"/>
  <c r="G118" i="106" s="1"/>
  <c r="G175" i="106" a="1"/>
  <c r="G175" i="106" s="1"/>
  <c r="G141" i="106" a="1"/>
  <c r="G141" i="106" s="1"/>
  <c r="G123" i="106" a="1"/>
  <c r="G123" i="106" s="1"/>
  <c r="G184" i="106" a="1"/>
  <c r="G184" i="106" s="1"/>
  <c r="G165" i="106" a="1"/>
  <c r="G165" i="106" s="1"/>
  <c r="G158" i="106" a="1"/>
  <c r="G158" i="106" s="1"/>
  <c r="G140" i="106" a="1"/>
  <c r="G140" i="106" s="1"/>
  <c r="G132" i="106" a="1"/>
  <c r="G132" i="106" s="1"/>
  <c r="G53" i="106" a="1"/>
  <c r="G53" i="106" s="1"/>
  <c r="G45" i="106" a="1"/>
  <c r="G45" i="106" s="1"/>
  <c r="G37" i="106" a="1"/>
  <c r="G37" i="106" s="1"/>
  <c r="I37" i="106" s="1" a="1"/>
  <c r="I37" i="106" s="1"/>
  <c r="H132" i="106" s="1"/>
  <c r="I132" i="106" s="1"/>
  <c r="K132" i="106" s="1" a="1"/>
  <c r="K132" i="106" s="1"/>
  <c r="G29" i="106" a="1"/>
  <c r="G29" i="106" s="1"/>
  <c r="G22" i="106" a="1"/>
  <c r="G22" i="106" s="1"/>
  <c r="G183" i="106" a="1"/>
  <c r="G183" i="106" s="1"/>
  <c r="G182" i="106" a="1"/>
  <c r="G182" i="106" s="1"/>
  <c r="G164" i="106" a="1"/>
  <c r="G164" i="106" s="1"/>
  <c r="G130" i="106" a="1"/>
  <c r="G130" i="106" s="1"/>
  <c r="G52" i="106" a="1"/>
  <c r="G52" i="106" s="1"/>
  <c r="G44" i="106" a="1"/>
  <c r="G44" i="106" s="1"/>
  <c r="G36" i="106" a="1"/>
  <c r="G36" i="106" s="1"/>
  <c r="G28" i="106" a="1"/>
  <c r="G28" i="106" s="1"/>
  <c r="G181" i="106" a="1"/>
  <c r="G181" i="106" s="1"/>
  <c r="G180" i="106" a="1"/>
  <c r="G180" i="106" s="1"/>
  <c r="G170" i="106" a="1"/>
  <c r="G170" i="106" s="1"/>
  <c r="G162" i="106" a="1"/>
  <c r="G162" i="106" s="1"/>
  <c r="I162" i="106" s="1"/>
  <c r="K162" i="106" s="1" a="1"/>
  <c r="K162" i="106" s="1"/>
  <c r="G148" i="106" a="1"/>
  <c r="G148" i="106" s="1"/>
  <c r="G136" i="106" a="1"/>
  <c r="G136" i="106" s="1"/>
  <c r="G50" i="106" a="1"/>
  <c r="G50" i="106" s="1"/>
  <c r="G41" i="106" a="1"/>
  <c r="G41" i="106" s="1"/>
  <c r="G34" i="106" a="1"/>
  <c r="G34" i="106" s="1"/>
  <c r="G26" i="106" a="1"/>
  <c r="G26" i="106" s="1"/>
  <c r="G178" i="106" a="1"/>
  <c r="G178" i="106" s="1"/>
  <c r="G169" i="106" a="1"/>
  <c r="G169" i="106" s="1"/>
  <c r="G147" i="106" a="1"/>
  <c r="G147" i="106" s="1"/>
  <c r="G126" i="106" a="1"/>
  <c r="G126" i="106" s="1"/>
  <c r="G119" i="106" a="1"/>
  <c r="G119" i="106" s="1"/>
  <c r="G159" i="106" a="1"/>
  <c r="G159" i="106" s="1"/>
  <c r="G133" i="106" a="1"/>
  <c r="G133" i="106" s="1"/>
  <c r="G46" i="106" a="1"/>
  <c r="G46" i="106" s="1"/>
  <c r="G30" i="106" a="1"/>
  <c r="G30" i="106" s="1"/>
  <c r="G174" i="106" a="1"/>
  <c r="G174" i="106" s="1"/>
  <c r="G131" i="106" a="1"/>
  <c r="G131" i="106" s="1"/>
  <c r="G173" i="106" a="1"/>
  <c r="G173" i="106" s="1"/>
  <c r="G129" i="106" a="1"/>
  <c r="G129" i="106" s="1"/>
  <c r="G172" i="106" a="1"/>
  <c r="G172" i="106" s="1"/>
  <c r="G128" i="106" a="1"/>
  <c r="G128" i="106" s="1"/>
  <c r="G42" i="106" a="1"/>
  <c r="G42" i="106" s="1"/>
  <c r="I42" i="106" s="1" a="1"/>
  <c r="I42" i="106" s="1"/>
  <c r="H137" i="106" s="1"/>
  <c r="I137" i="106" s="1"/>
  <c r="K137" i="106" s="1" a="1"/>
  <c r="K137" i="106" s="1"/>
  <c r="G27" i="106" a="1"/>
  <c r="G27" i="106" s="1"/>
  <c r="G171" i="106" a="1"/>
  <c r="G171" i="106" s="1"/>
  <c r="G149" i="106" a="1"/>
  <c r="G149" i="106" s="1"/>
  <c r="G167" i="106" a="1"/>
  <c r="G167" i="106" s="1"/>
  <c r="G39" i="106" a="1"/>
  <c r="G39" i="106" s="1"/>
  <c r="G24" i="106" a="1"/>
  <c r="G24" i="106" s="1"/>
  <c r="I24" i="106" s="1" a="1"/>
  <c r="I24" i="106" s="1"/>
  <c r="H119" i="106" s="1"/>
  <c r="I119" i="106" s="1"/>
  <c r="K119" i="106" s="1" a="1"/>
  <c r="K119" i="106" s="1"/>
  <c r="G143" i="106" a="1"/>
  <c r="G143" i="106" s="1"/>
  <c r="G124" i="106" a="1"/>
  <c r="G124" i="106" s="1"/>
  <c r="G54" i="106" a="1"/>
  <c r="G54" i="106" s="1"/>
  <c r="I54" i="106" s="1" a="1"/>
  <c r="I54" i="106" s="1"/>
  <c r="H149" i="106" s="1"/>
  <c r="G166" i="106" a="1"/>
  <c r="G166" i="106" s="1"/>
  <c r="G142" i="106" a="1"/>
  <c r="G142" i="106" s="1"/>
  <c r="G38" i="106" a="1"/>
  <c r="G38" i="106" s="1"/>
  <c r="I38" i="106" s="1" a="1"/>
  <c r="I38" i="106" s="1"/>
  <c r="H133" i="106" s="1"/>
  <c r="I133" i="106" s="1"/>
  <c r="K133" i="106" s="1" a="1"/>
  <c r="K133" i="106" s="1"/>
  <c r="G23" i="106" a="1"/>
  <c r="G23" i="106" s="1"/>
  <c r="G139" i="106" a="1"/>
  <c r="G139" i="106" s="1"/>
  <c r="G122" i="106" a="1"/>
  <c r="G122" i="106" s="1"/>
  <c r="G188" i="106" a="1"/>
  <c r="G188" i="106" s="1"/>
  <c r="G121" i="106" a="1"/>
  <c r="G121" i="106" s="1"/>
  <c r="G187" i="106" a="1"/>
  <c r="G187" i="106" s="1"/>
  <c r="G163" i="106" a="1"/>
  <c r="G163" i="106" s="1"/>
  <c r="G137" i="106" a="1"/>
  <c r="G137" i="106" s="1"/>
  <c r="G51" i="106" a="1"/>
  <c r="G51" i="106" s="1"/>
  <c r="I51" i="106" s="1" a="1"/>
  <c r="I51" i="106" s="1"/>
  <c r="H146" i="106" s="1"/>
  <c r="G35" i="106" a="1"/>
  <c r="G35" i="106" s="1"/>
  <c r="I35" i="106" s="1" a="1"/>
  <c r="I35" i="106" s="1"/>
  <c r="H130" i="106" s="1"/>
  <c r="G186" i="106" a="1"/>
  <c r="G186" i="106" s="1"/>
  <c r="G120" i="106" a="1"/>
  <c r="G120" i="106" s="1"/>
  <c r="G160" i="106" a="1"/>
  <c r="G160" i="106" s="1"/>
  <c r="G134" i="106" a="1"/>
  <c r="G134" i="106" s="1"/>
  <c r="G47" i="106" a="1"/>
  <c r="G47" i="106" s="1"/>
  <c r="G31" i="106" a="1"/>
  <c r="G31" i="106" s="1"/>
  <c r="G176" i="106" a="1"/>
  <c r="G176" i="106" s="1"/>
  <c r="G117" i="106" a="1"/>
  <c r="G117" i="106" s="1"/>
  <c r="D59" i="106"/>
  <c r="G59" i="106" s="1" a="1"/>
  <c r="G59" i="106" s="1"/>
  <c r="G89" i="106" a="1"/>
  <c r="G89" i="106" s="1"/>
  <c r="I89" i="106" s="1" a="1"/>
  <c r="I89" i="106" s="1"/>
  <c r="H187" i="106" s="1"/>
  <c r="G80" i="106" a="1"/>
  <c r="G80" i="106" s="1"/>
  <c r="I80" i="106" s="1" a="1"/>
  <c r="I80" i="106" s="1"/>
  <c r="H178" i="106" s="1"/>
  <c r="G73" i="106" a="1"/>
  <c r="G73" i="106" s="1"/>
  <c r="I73" i="106" s="1" a="1"/>
  <c r="I73" i="106" s="1"/>
  <c r="H171" i="106" s="1"/>
  <c r="G65" i="106" a="1"/>
  <c r="G65" i="106" s="1"/>
  <c r="I65" i="106" s="1" a="1"/>
  <c r="I65" i="106" s="1"/>
  <c r="H163" i="106" s="1"/>
  <c r="G86" i="106" a="1"/>
  <c r="G86" i="106" s="1"/>
  <c r="I86" i="106" s="1" a="1"/>
  <c r="I86" i="106" s="1"/>
  <c r="H184" i="106" s="1"/>
  <c r="G78" i="106" a="1"/>
  <c r="G78" i="106" s="1"/>
  <c r="I78" i="106" s="1" a="1"/>
  <c r="I78" i="106" s="1"/>
  <c r="H176" i="106" s="1"/>
  <c r="I176" i="106" s="1"/>
  <c r="K176" i="106" s="1" a="1"/>
  <c r="K176" i="106" s="1"/>
  <c r="G71" i="106" a="1"/>
  <c r="G71" i="106" s="1"/>
  <c r="G63" i="106" a="1"/>
  <c r="G63" i="106" s="1"/>
  <c r="G90" i="106" a="1"/>
  <c r="G90" i="106" s="1"/>
  <c r="I90" i="106" s="1" a="1"/>
  <c r="I90" i="106" s="1"/>
  <c r="H188" i="106" s="1"/>
  <c r="G82" i="106" a="1"/>
  <c r="G82" i="106" s="1"/>
  <c r="G74" i="106" a="1"/>
  <c r="G74" i="106" s="1"/>
  <c r="I74" i="106" s="1" a="1"/>
  <c r="I74" i="106" s="1"/>
  <c r="H172" i="106" s="1"/>
  <c r="G66" i="106" a="1"/>
  <c r="G66" i="106" s="1"/>
  <c r="I66" i="106" s="1" a="1"/>
  <c r="I66" i="106" s="1"/>
  <c r="H164" i="106" s="1"/>
  <c r="G77" i="106" a="1"/>
  <c r="G77" i="106" s="1"/>
  <c r="I77" i="106" s="1" a="1"/>
  <c r="I77" i="106" s="1"/>
  <c r="H175" i="106" s="1"/>
  <c r="I175" i="106" s="1"/>
  <c r="K175" i="106" s="1" a="1"/>
  <c r="K175" i="106" s="1"/>
  <c r="G62" i="106" a="1"/>
  <c r="G62" i="106" s="1"/>
  <c r="I62" i="106" s="1" a="1"/>
  <c r="I62" i="106" s="1"/>
  <c r="H160" i="106" s="1"/>
  <c r="G92" i="106" a="1"/>
  <c r="G92" i="106" s="1"/>
  <c r="G76" i="106" a="1"/>
  <c r="G76" i="106" s="1"/>
  <c r="G61" i="106" a="1"/>
  <c r="G61" i="106" s="1"/>
  <c r="I61" i="106" s="1" a="1"/>
  <c r="I61" i="106" s="1"/>
  <c r="H159" i="106" s="1"/>
  <c r="I159" i="106" s="1"/>
  <c r="K159" i="106" s="1" a="1"/>
  <c r="K159" i="106" s="1"/>
  <c r="G91" i="106" a="1"/>
  <c r="G91" i="106" s="1"/>
  <c r="I91" i="106" s="1" a="1"/>
  <c r="I91" i="106" s="1"/>
  <c r="H189" i="106" s="1"/>
  <c r="G75" i="106" a="1"/>
  <c r="G75" i="106" s="1"/>
  <c r="I75" i="106" s="1" a="1"/>
  <c r="I75" i="106" s="1"/>
  <c r="H173" i="106" s="1"/>
  <c r="I173" i="106" s="1"/>
  <c r="K173" i="106" s="1" a="1"/>
  <c r="K173" i="106" s="1"/>
  <c r="G60" i="106" a="1"/>
  <c r="G60" i="106" s="1"/>
  <c r="I60" i="106" s="1" a="1"/>
  <c r="I60" i="106" s="1"/>
  <c r="H158" i="106" s="1"/>
  <c r="G88" i="106" a="1"/>
  <c r="G88" i="106" s="1"/>
  <c r="G72" i="106" a="1"/>
  <c r="G72" i="106" s="1"/>
  <c r="I72" i="106" s="1" a="1"/>
  <c r="I72" i="106" s="1"/>
  <c r="H170" i="106" s="1"/>
  <c r="G85" i="106" a="1"/>
  <c r="G85" i="106" s="1"/>
  <c r="I85" i="106" s="1" a="1"/>
  <c r="I85" i="106" s="1"/>
  <c r="H183" i="106" s="1"/>
  <c r="G69" i="106" a="1"/>
  <c r="G69" i="106" s="1"/>
  <c r="I69" i="106" s="1" a="1"/>
  <c r="I69" i="106" s="1"/>
  <c r="H167" i="106" s="1"/>
  <c r="G84" i="106" a="1"/>
  <c r="G84" i="106" s="1"/>
  <c r="G68" i="106" a="1"/>
  <c r="G68" i="106" s="1"/>
  <c r="G83" i="106" a="1"/>
  <c r="G83" i="106" s="1"/>
  <c r="I83" i="106" s="1" a="1"/>
  <c r="I83" i="106" s="1"/>
  <c r="H181" i="106" s="1"/>
  <c r="G67" i="106" a="1"/>
  <c r="G67" i="106" s="1"/>
  <c r="I67" i="106" s="1" a="1"/>
  <c r="I67" i="106" s="1"/>
  <c r="H165" i="106" s="1"/>
  <c r="G79" i="106" a="1"/>
  <c r="G79" i="106" s="1"/>
  <c r="G64" i="106" a="1"/>
  <c r="G64" i="106" s="1"/>
  <c r="I64" i="106" s="1" a="1"/>
  <c r="I64" i="106" s="1"/>
  <c r="H162" i="106" s="1"/>
  <c r="T122" i="116" a="1"/>
  <c r="T122" i="116" s="1"/>
  <c r="X119" i="116" a="1"/>
  <c r="X119" i="116" s="1"/>
  <c r="T127" i="116" a="1"/>
  <c r="T127" i="116" s="1"/>
  <c r="F127" i="116" s="1"/>
  <c r="T120" i="116" a="1"/>
  <c r="T120" i="116" s="1"/>
  <c r="F120" i="116" s="1"/>
  <c r="G120" i="116" s="1" a="1"/>
  <c r="G120" i="116" s="1"/>
  <c r="X122" i="116" a="1"/>
  <c r="X122" i="116" s="1"/>
  <c r="T128" i="116" a="1"/>
  <c r="T128" i="116" s="1"/>
  <c r="T121" i="116" a="1"/>
  <c r="T121" i="116" s="1"/>
  <c r="F121" i="116" s="1"/>
  <c r="G121" i="116" s="1" a="1"/>
  <c r="G121" i="116" s="1"/>
  <c r="X126" i="116" a="1"/>
  <c r="X126" i="116" s="1"/>
  <c r="T126" i="116" a="1"/>
  <c r="T126" i="116" s="1"/>
  <c r="F126" i="116" s="1"/>
  <c r="I126" i="116" s="1" a="1"/>
  <c r="I126" i="116" s="1"/>
  <c r="T125" i="116" a="1"/>
  <c r="T125" i="116" s="1"/>
  <c r="X124" i="116" a="1"/>
  <c r="X124" i="116" s="1"/>
  <c r="T124" i="116" a="1"/>
  <c r="T124" i="116" s="1"/>
  <c r="F124" i="116" s="1"/>
  <c r="T119" i="116" a="1"/>
  <c r="T119" i="116" s="1"/>
  <c r="E98" i="80"/>
  <c r="E104" i="79"/>
  <c r="E114" i="79" s="1" a="1"/>
  <c r="E114" i="79" s="1"/>
  <c r="R233" i="80" a="1"/>
  <c r="R233" i="80" s="1"/>
  <c r="R232" i="80" a="1"/>
  <c r="R232" i="80" s="1"/>
  <c r="R231" i="80" a="1"/>
  <c r="R231" i="80" s="1"/>
  <c r="R234" i="80" a="1"/>
  <c r="R234" i="80" s="1"/>
  <c r="AB119" i="116" a="1"/>
  <c r="AB119" i="116" s="1"/>
  <c r="I29" i="78"/>
  <c r="S275" i="79"/>
  <c r="R203" i="80"/>
  <c r="AE241" i="116" a="1"/>
  <c r="AE241" i="116" s="1"/>
  <c r="F285" i="79"/>
  <c r="F208" i="80"/>
  <c r="T123" i="116" a="1"/>
  <c r="T123" i="116" s="1"/>
  <c r="F123" i="116" s="1"/>
  <c r="W237" i="116" a="1"/>
  <c r="W237" i="116" s="1"/>
  <c r="G26" i="103"/>
  <c r="P26" i="103" s="1" a="1"/>
  <c r="P26" i="103" s="1"/>
  <c r="I26" i="103"/>
  <c r="H26" i="103"/>
  <c r="K26" i="103"/>
  <c r="Q26" i="103" s="1" a="1"/>
  <c r="Q26" i="103" s="1"/>
  <c r="J26" i="103"/>
  <c r="H29" i="103"/>
  <c r="G29" i="103"/>
  <c r="O29" i="103" s="1" a="1"/>
  <c r="O29" i="103" s="1"/>
  <c r="J29" i="103"/>
  <c r="I29" i="103"/>
  <c r="K29" i="103"/>
  <c r="J161" i="106" a="1"/>
  <c r="J161" i="106" s="1"/>
  <c r="R19" i="79"/>
  <c r="R24" i="79" s="1" a="1"/>
  <c r="R24" i="79" s="1"/>
  <c r="R79" i="79" s="1" a="1"/>
  <c r="R79" i="79" s="1"/>
  <c r="R114" i="79" s="1" a="1"/>
  <c r="R114" i="79" s="1"/>
  <c r="R133" i="79" s="1" a="1"/>
  <c r="R133" i="79" s="1"/>
  <c r="P19" i="89"/>
  <c r="P24" i="89" s="1" a="1"/>
  <c r="P24" i="89" s="1"/>
  <c r="P80" i="89" s="1" a="1"/>
  <c r="P80" i="89" s="1"/>
  <c r="P115" i="89" s="1" a="1"/>
  <c r="P115" i="89" s="1"/>
  <c r="P132" i="89" s="1" a="1"/>
  <c r="P132" i="89" s="1"/>
  <c r="P180" i="89" s="1" a="1"/>
  <c r="P180" i="89" s="1"/>
  <c r="S242" i="116" a="1"/>
  <c r="S242" i="116" s="1"/>
  <c r="S245" i="116" a="1"/>
  <c r="S245" i="116" s="1"/>
  <c r="F245" i="116" s="1" a="1"/>
  <c r="F245" i="116" s="1"/>
  <c r="J166" i="106" a="1"/>
  <c r="J166" i="106" s="1"/>
  <c r="H30" i="103"/>
  <c r="N30" i="103" s="1" a="1"/>
  <c r="N30" i="103" s="1"/>
  <c r="G30" i="103"/>
  <c r="O30" i="103" s="1" a="1"/>
  <c r="O30" i="103" s="1"/>
  <c r="K30" i="103"/>
  <c r="J30" i="103"/>
  <c r="I30" i="103"/>
  <c r="AB123" i="116" a="1"/>
  <c r="AB123" i="116" s="1"/>
  <c r="J163" i="106" a="1"/>
  <c r="J163" i="106" s="1"/>
  <c r="K38" i="102" a="1"/>
  <c r="K38" i="102" s="1"/>
  <c r="J119" i="106" a="1"/>
  <c r="J119" i="106" s="1"/>
  <c r="J134" i="106" a="1"/>
  <c r="J134" i="106" s="1"/>
  <c r="Z221" i="116" a="1"/>
  <c r="Z221" i="116" s="1"/>
  <c r="AK221" i="116" a="1"/>
  <c r="P221" i="116" a="1"/>
  <c r="P221" i="116" s="1"/>
  <c r="R221" i="116" a="1"/>
  <c r="R221" i="116" s="1"/>
  <c r="Q99" i="79"/>
  <c r="P19" i="80"/>
  <c r="P29" i="80" s="1" a="1"/>
  <c r="P29" i="80" s="1"/>
  <c r="H29" i="78"/>
  <c r="R285" i="79" s="1"/>
  <c r="R275" i="79"/>
  <c r="Q171" i="80"/>
  <c r="N208" i="80"/>
  <c r="D208" i="80"/>
  <c r="D285" i="79"/>
  <c r="J234" i="80" a="1"/>
  <c r="J234" i="80" s="1"/>
  <c r="J232" i="80" a="1"/>
  <c r="J232" i="80" s="1"/>
  <c r="J233" i="80" a="1"/>
  <c r="J233" i="80" s="1"/>
  <c r="J231" i="80" a="1"/>
  <c r="J231" i="80" s="1"/>
  <c r="Q151" i="79" a="1"/>
  <c r="Q25" i="84"/>
  <c r="S238" i="116" a="1"/>
  <c r="S238" i="116" s="1"/>
  <c r="F238" i="116" s="1" a="1"/>
  <c r="F238" i="116" s="1"/>
  <c r="K37" i="103"/>
  <c r="Q37" i="103" s="1" a="1"/>
  <c r="Q37" i="103" s="1"/>
  <c r="G37" i="103"/>
  <c r="J37" i="103"/>
  <c r="I37" i="103"/>
  <c r="O37" i="103" s="1" a="1"/>
  <c r="O37" i="103" s="1"/>
  <c r="H37" i="103"/>
  <c r="AB125" i="116" a="1"/>
  <c r="AB125" i="116" s="1"/>
  <c r="J137" i="106" a="1"/>
  <c r="J137" i="106" s="1"/>
  <c r="P82" i="83"/>
  <c r="E46" i="81"/>
  <c r="E25" i="81"/>
  <c r="P157" i="79"/>
  <c r="E249" i="80"/>
  <c r="E179" i="79"/>
  <c r="P244" i="79"/>
  <c r="E133" i="83"/>
  <c r="P297" i="79"/>
  <c r="E168" i="79"/>
  <c r="E70" i="83"/>
  <c r="P58" i="83"/>
  <c r="P46" i="81"/>
  <c r="E157" i="79"/>
  <c r="D115" i="78"/>
  <c r="P145" i="83"/>
  <c r="E58" i="83"/>
  <c r="O249" i="80"/>
  <c r="P168" i="79"/>
  <c r="E82" i="83"/>
  <c r="E297" i="79"/>
  <c r="E244" i="79"/>
  <c r="P46" i="83"/>
  <c r="O284" i="80"/>
  <c r="P179" i="79"/>
  <c r="P112" i="83"/>
  <c r="E237" i="80"/>
  <c r="E284" i="80"/>
  <c r="D116" i="78"/>
  <c r="E112" i="83"/>
  <c r="P25" i="81"/>
  <c r="E145" i="83"/>
  <c r="O237" i="80"/>
  <c r="E46" i="83"/>
  <c r="I38" i="102" a="1"/>
  <c r="I38" i="102" s="1"/>
  <c r="G38" i="102" a="1"/>
  <c r="G38" i="102" s="1"/>
  <c r="P38" i="102" s="1" a="1"/>
  <c r="P38" i="102" s="1"/>
  <c r="J126" i="106" a="1"/>
  <c r="J126" i="106" s="1"/>
  <c r="J160" i="106" a="1"/>
  <c r="J160" i="106" s="1"/>
  <c r="AD221" i="116" a="1"/>
  <c r="AD221" i="116" s="1"/>
  <c r="E29" i="88"/>
  <c r="M170" i="89" s="1"/>
  <c r="M165" i="89"/>
  <c r="N98" i="80"/>
  <c r="O104" i="79"/>
  <c r="S233" i="80" a="1"/>
  <c r="S233" i="80" s="1"/>
  <c r="S232" i="80" a="1"/>
  <c r="S232" i="80" s="1"/>
  <c r="S231" i="80" a="1"/>
  <c r="S231" i="80" s="1"/>
  <c r="S234" i="80" a="1"/>
  <c r="S234" i="80" s="1"/>
  <c r="T237" i="80" a="1"/>
  <c r="T237" i="80" s="1"/>
  <c r="T235" i="80" a="1"/>
  <c r="T235" i="80" s="1"/>
  <c r="T236" i="80" a="1"/>
  <c r="T236" i="80" s="1"/>
  <c r="T238" i="80" a="1"/>
  <c r="T238" i="80" s="1"/>
  <c r="S133" i="79" a="1"/>
  <c r="S133" i="79" s="1"/>
  <c r="R50" i="80"/>
  <c r="R126" i="80" s="1" a="1"/>
  <c r="R126" i="80" s="1"/>
  <c r="F60" i="80"/>
  <c r="G60" i="80"/>
  <c r="H114" i="79" a="1"/>
  <c r="H114" i="79" s="1"/>
  <c r="H60" i="80"/>
  <c r="E60" i="80"/>
  <c r="D114" i="79" a="1"/>
  <c r="D114" i="79" s="1"/>
  <c r="D60" i="80"/>
  <c r="I165" i="106"/>
  <c r="K165" i="106" s="1" a="1"/>
  <c r="K165" i="106" s="1"/>
  <c r="Q32" i="103" a="1"/>
  <c r="Q32" i="103" s="1"/>
  <c r="N39" i="102" a="1"/>
  <c r="N39" i="102" s="1"/>
  <c r="O39" i="102" a="1"/>
  <c r="O39" i="102" s="1"/>
  <c r="P39" i="102" a="1"/>
  <c r="P39" i="102" s="1"/>
  <c r="O35" i="102" a="1"/>
  <c r="O35" i="102" s="1"/>
  <c r="N34" i="102" a="1"/>
  <c r="N34" i="102" s="1"/>
  <c r="Q34" i="102" a="1"/>
  <c r="Q34" i="102" s="1"/>
  <c r="O34" i="102" a="1"/>
  <c r="O34" i="102" s="1"/>
  <c r="P30" i="102" a="1"/>
  <c r="P30" i="102" s="1"/>
  <c r="Q30" i="102" a="1"/>
  <c r="Q30" i="102" s="1"/>
  <c r="E142" i="116"/>
  <c r="E473" i="116"/>
  <c r="J370" i="116" a="1"/>
  <c r="J370" i="116" s="1"/>
  <c r="G280" i="116" a="1"/>
  <c r="G280" i="116" s="1"/>
  <c r="E348" i="116"/>
  <c r="J368" i="116" a="1"/>
  <c r="J368" i="116" s="1"/>
  <c r="J29" i="116" a="1"/>
  <c r="J29" i="116" s="1"/>
  <c r="J371" i="116" a="1"/>
  <c r="J371" i="116" s="1"/>
  <c r="E483" i="116"/>
  <c r="F128" i="116"/>
  <c r="G128" i="116" s="1" a="1"/>
  <c r="G128" i="116" s="1"/>
  <c r="E472" i="116"/>
  <c r="E639" i="116"/>
  <c r="E642" i="116" s="1"/>
  <c r="F244" i="116" a="1"/>
  <c r="F244" i="116" s="1"/>
  <c r="E91" i="116"/>
  <c r="E166" i="116"/>
  <c r="H373" i="116" a="1"/>
  <c r="H373" i="116" s="1"/>
  <c r="F240" i="116" a="1"/>
  <c r="F240" i="116" s="1"/>
  <c r="F241" i="116" a="1"/>
  <c r="F241" i="116" s="1"/>
  <c r="F119" i="116"/>
  <c r="G119" i="116" s="1" a="1"/>
  <c r="G119" i="116" s="1"/>
  <c r="M30" i="116" a="1"/>
  <c r="M30" i="116" s="1"/>
  <c r="F125" i="116"/>
  <c r="G125" i="116" s="1" a="1"/>
  <c r="G125" i="116" s="1"/>
  <c r="H375" i="116" a="1"/>
  <c r="H375" i="116" s="1"/>
  <c r="F242" i="116" a="1"/>
  <c r="F242" i="116" s="1"/>
  <c r="H457" i="116" a="1"/>
  <c r="H457" i="116" s="1"/>
  <c r="J457" i="116" a="1"/>
  <c r="J457" i="116" s="1"/>
  <c r="M28" i="116" a="1"/>
  <c r="M28" i="116" s="1"/>
  <c r="M32" i="116" a="1"/>
  <c r="M32" i="116" s="1"/>
  <c r="J61" i="116" a="1"/>
  <c r="J61" i="116" s="1"/>
  <c r="G61" i="116" a="1"/>
  <c r="G61" i="116" s="1"/>
  <c r="G278" i="116" a="1"/>
  <c r="G278" i="116" s="1"/>
  <c r="I278" i="116" a="1"/>
  <c r="I278" i="116" s="1"/>
  <c r="H439" i="116" a="1"/>
  <c r="H439" i="116" s="1"/>
  <c r="J439" i="116" a="1"/>
  <c r="J439" i="116" s="1"/>
  <c r="J42" i="116" a="1"/>
  <c r="J42" i="116" s="1"/>
  <c r="E54" i="116" s="1"/>
  <c r="E411" i="116"/>
  <c r="J455" i="116" a="1"/>
  <c r="J455" i="116" s="1"/>
  <c r="H455" i="116" a="1"/>
  <c r="H455" i="116" s="1"/>
  <c r="J437" i="116" a="1"/>
  <c r="J437" i="116" s="1"/>
  <c r="H437" i="116" a="1"/>
  <c r="H437" i="116" s="1"/>
  <c r="E90" i="116"/>
  <c r="J374" i="116" a="1"/>
  <c r="J374" i="116" s="1"/>
  <c r="F243" i="116" a="1"/>
  <c r="F243" i="116" s="1"/>
  <c r="H456" i="116" a="1"/>
  <c r="H456" i="116" s="1"/>
  <c r="J456" i="116" a="1"/>
  <c r="J456" i="116" s="1"/>
  <c r="H438" i="116" a="1"/>
  <c r="H438" i="116" s="1"/>
  <c r="J438" i="116" a="1"/>
  <c r="J438" i="116" s="1"/>
  <c r="G271" i="116" a="1"/>
  <c r="G271" i="116" s="1"/>
  <c r="I271" i="116" a="1"/>
  <c r="I271" i="116" s="1"/>
  <c r="J454" i="116" a="1"/>
  <c r="J454" i="116" s="1"/>
  <c r="H454" i="116" a="1"/>
  <c r="H454" i="116" s="1"/>
  <c r="J436" i="116" a="1"/>
  <c r="J436" i="116" s="1"/>
  <c r="H436" i="116" a="1"/>
  <c r="H436" i="116" s="1"/>
  <c r="G273" i="116" a="1"/>
  <c r="G273" i="116" s="1"/>
  <c r="I273" i="116" a="1"/>
  <c r="I273" i="116" s="1"/>
  <c r="J367" i="116" a="1"/>
  <c r="J367" i="116" s="1"/>
  <c r="H367" i="116" a="1"/>
  <c r="H367" i="116" s="1"/>
  <c r="E141" i="116"/>
  <c r="G275" i="116" a="1"/>
  <c r="G275" i="116" s="1"/>
  <c r="I275" i="116" a="1"/>
  <c r="I275" i="116" s="1"/>
  <c r="F239" i="116" a="1"/>
  <c r="F239" i="116" s="1"/>
  <c r="M23" i="116" a="1"/>
  <c r="M23" i="116" s="1"/>
  <c r="J23" i="116" a="1"/>
  <c r="J23" i="116" s="1"/>
  <c r="G277" i="116" a="1"/>
  <c r="G277" i="116" s="1"/>
  <c r="I277" i="116" a="1"/>
  <c r="I277" i="116" s="1"/>
  <c r="I272" i="116" a="1"/>
  <c r="I272" i="116" s="1"/>
  <c r="G272" i="116" a="1"/>
  <c r="G272" i="116" s="1"/>
  <c r="F122" i="116"/>
  <c r="E502" i="116"/>
  <c r="G279" i="116" a="1"/>
  <c r="G279" i="116" s="1"/>
  <c r="I279" i="116" a="1"/>
  <c r="I279" i="116" s="1"/>
  <c r="G281" i="116" a="1"/>
  <c r="G281" i="116" s="1"/>
  <c r="I281" i="116" a="1"/>
  <c r="I281" i="116" s="1"/>
  <c r="O21" i="109" a="1"/>
  <c r="O21" i="109" s="1"/>
  <c r="I160" i="106"/>
  <c r="K160" i="106" s="1" a="1"/>
  <c r="K160" i="106" s="1"/>
  <c r="I46" i="106" a="1"/>
  <c r="I46" i="106" s="1"/>
  <c r="H141" i="106" s="1"/>
  <c r="E21" i="109" a="1"/>
  <c r="E21" i="109" s="1"/>
  <c r="I34" i="106" a="1"/>
  <c r="I34" i="106" s="1"/>
  <c r="H129" i="106" s="1"/>
  <c r="I158" i="106"/>
  <c r="K158" i="106" s="1" a="1"/>
  <c r="K158" i="106" s="1"/>
  <c r="I92" i="106" a="1"/>
  <c r="I92" i="106" s="1"/>
  <c r="H190" i="106" s="1"/>
  <c r="Q40" i="103" a="1"/>
  <c r="Q40" i="103" s="1"/>
  <c r="I167" i="106"/>
  <c r="K167" i="106" s="1" a="1"/>
  <c r="K167" i="106" s="1"/>
  <c r="I33" i="106" a="1"/>
  <c r="I33" i="106" s="1"/>
  <c r="H128" i="106" s="1"/>
  <c r="I40" i="106" a="1"/>
  <c r="I40" i="106" s="1"/>
  <c r="H135" i="106" s="1"/>
  <c r="I135" i="106" s="1"/>
  <c r="I53" i="106" a="1"/>
  <c r="I53" i="106" s="1"/>
  <c r="H148" i="106" s="1"/>
  <c r="I30" i="106" a="1"/>
  <c r="I30" i="106" s="1"/>
  <c r="H125" i="106" s="1"/>
  <c r="I26" i="106" a="1"/>
  <c r="I26" i="106" s="1"/>
  <c r="H121" i="106" s="1"/>
  <c r="I121" i="106" s="1"/>
  <c r="K121" i="106" s="1" a="1"/>
  <c r="K121" i="106" s="1"/>
  <c r="I45" i="106" a="1"/>
  <c r="I45" i="106" s="1"/>
  <c r="H140" i="106" s="1"/>
  <c r="I23" i="106" a="1"/>
  <c r="I23" i="106" s="1"/>
  <c r="H118" i="106" s="1"/>
  <c r="I118" i="106" s="1"/>
  <c r="K118" i="106" s="1" a="1"/>
  <c r="K118" i="106" s="1"/>
  <c r="I44" i="106" a="1"/>
  <c r="I44" i="106" s="1"/>
  <c r="H139" i="106" s="1"/>
  <c r="I63" i="106" a="1"/>
  <c r="I63" i="106" s="1"/>
  <c r="H161" i="106" s="1"/>
  <c r="I161" i="106" s="1"/>
  <c r="K161" i="106" s="1" a="1"/>
  <c r="K161" i="106" s="1"/>
  <c r="I163" i="106"/>
  <c r="K163" i="106" s="1" a="1"/>
  <c r="K163" i="106" s="1"/>
  <c r="I47" i="106" a="1"/>
  <c r="I47" i="106" s="1"/>
  <c r="H142" i="106" s="1"/>
  <c r="I29" i="106" a="1"/>
  <c r="I29" i="106" s="1"/>
  <c r="H124" i="106" s="1"/>
  <c r="I39" i="106" a="1"/>
  <c r="I39" i="106" s="1"/>
  <c r="H134" i="106" s="1"/>
  <c r="I164" i="106"/>
  <c r="K164" i="106" s="1" a="1"/>
  <c r="K164" i="106" s="1"/>
  <c r="I84" i="106" a="1"/>
  <c r="I84" i="106" s="1"/>
  <c r="H182" i="106" s="1"/>
  <c r="I22" i="106" a="1"/>
  <c r="I22" i="106" s="1"/>
  <c r="H117" i="106" s="1"/>
  <c r="I117" i="106" s="1"/>
  <c r="K117" i="106" s="1" a="1"/>
  <c r="K117" i="106" s="1"/>
  <c r="I31" i="106" a="1"/>
  <c r="I31" i="106" s="1"/>
  <c r="H126" i="106" s="1"/>
  <c r="I126" i="106" s="1"/>
  <c r="K126" i="106" s="1" a="1"/>
  <c r="K126" i="106" s="1"/>
  <c r="I28" i="106" a="1"/>
  <c r="I28" i="106" s="1"/>
  <c r="H123" i="106" s="1"/>
  <c r="I123" i="106" s="1"/>
  <c r="K123" i="106" s="1" a="1"/>
  <c r="K123" i="106" s="1"/>
  <c r="I76" i="106" a="1"/>
  <c r="I76" i="106" s="1"/>
  <c r="H174" i="106" s="1"/>
  <c r="I174" i="106" s="1"/>
  <c r="K174" i="106" s="1" a="1"/>
  <c r="K174" i="106" s="1"/>
  <c r="I50" i="106" a="1"/>
  <c r="I50" i="106" s="1"/>
  <c r="H145" i="106" s="1"/>
  <c r="I68" i="106" a="1"/>
  <c r="I68" i="106" s="1"/>
  <c r="H166" i="106" s="1"/>
  <c r="I166" i="106" s="1"/>
  <c r="K166" i="106" s="1" a="1"/>
  <c r="K166" i="106" s="1"/>
  <c r="I41" i="106" a="1"/>
  <c r="I41" i="106" s="1"/>
  <c r="H136" i="106" s="1"/>
  <c r="I59" i="106" a="1"/>
  <c r="I59" i="106" s="1"/>
  <c r="H157" i="106" s="1"/>
  <c r="I27" i="106" a="1"/>
  <c r="I27" i="106" s="1"/>
  <c r="H122" i="106" s="1"/>
  <c r="I122" i="106" s="1"/>
  <c r="K122" i="106" s="1" a="1"/>
  <c r="K122" i="106" s="1"/>
  <c r="I71" i="106" a="1"/>
  <c r="I71" i="106" s="1"/>
  <c r="H169" i="106" s="1"/>
  <c r="I178" i="106"/>
  <c r="K178" i="106" s="1" a="1"/>
  <c r="K178" i="106" s="1"/>
  <c r="Q39" i="103" a="1"/>
  <c r="Q39" i="103" s="1"/>
  <c r="E41" i="98"/>
  <c r="P30" i="103" a="1"/>
  <c r="P30" i="103" s="1"/>
  <c r="N34" i="103" a="1"/>
  <c r="N34" i="103" s="1"/>
  <c r="P34" i="103" a="1"/>
  <c r="P34" i="103" s="1"/>
  <c r="O34" i="103" a="1"/>
  <c r="O34" i="103" s="1"/>
  <c r="Q34" i="103" a="1"/>
  <c r="Q34" i="103" s="1"/>
  <c r="P27" i="103" a="1"/>
  <c r="P27" i="103" s="1"/>
  <c r="Q27" i="103" a="1"/>
  <c r="Q27" i="103" s="1"/>
  <c r="P25" i="103" a="1"/>
  <c r="P25" i="103" s="1"/>
  <c r="O25" i="103" a="1"/>
  <c r="O25" i="103" s="1"/>
  <c r="N25" i="103" a="1"/>
  <c r="N25" i="103" s="1"/>
  <c r="P40" i="103" a="1"/>
  <c r="P40" i="103" s="1"/>
  <c r="O40" i="103" a="1"/>
  <c r="O40" i="103" s="1"/>
  <c r="N40" i="103" a="1"/>
  <c r="N40" i="103" s="1"/>
  <c r="P37" i="103" a="1"/>
  <c r="P37" i="103" s="1"/>
  <c r="N37" i="103" a="1"/>
  <c r="N37" i="103" s="1"/>
  <c r="P32" i="103" a="1"/>
  <c r="P32" i="103" s="1"/>
  <c r="O32" i="103" a="1"/>
  <c r="O32" i="103" s="1"/>
  <c r="N32" i="103" a="1"/>
  <c r="N32" i="103" s="1"/>
  <c r="O38" i="103" a="1"/>
  <c r="O38" i="103" s="1"/>
  <c r="N38" i="103" a="1"/>
  <c r="N38" i="103" s="1"/>
  <c r="P31" i="103" a="1"/>
  <c r="P31" i="103" s="1"/>
  <c r="N31" i="103" a="1"/>
  <c r="N31" i="103" s="1"/>
  <c r="Q31" i="103" a="1"/>
  <c r="Q31" i="103" s="1"/>
  <c r="O36" i="103" a="1"/>
  <c r="O36" i="103" s="1"/>
  <c r="N36" i="103" a="1"/>
  <c r="N36" i="103" s="1"/>
  <c r="Q36" i="103" a="1"/>
  <c r="Q36" i="103" s="1"/>
  <c r="P36" i="103" a="1"/>
  <c r="P36" i="103" s="1"/>
  <c r="P35" i="103" a="1"/>
  <c r="P35" i="103" s="1"/>
  <c r="O35" i="103" a="1"/>
  <c r="O35" i="103" s="1"/>
  <c r="N35" i="103" a="1"/>
  <c r="N35" i="103" s="1"/>
  <c r="Q38" i="103" a="1"/>
  <c r="Q38" i="103" s="1"/>
  <c r="Q25" i="103" a="1"/>
  <c r="Q25" i="103" s="1"/>
  <c r="P33" i="103" a="1"/>
  <c r="P33" i="103" s="1"/>
  <c r="O33" i="103" a="1"/>
  <c r="O33" i="103" s="1"/>
  <c r="N33" i="103" a="1"/>
  <c r="N33" i="103" s="1"/>
  <c r="P39" i="103" a="1"/>
  <c r="P39" i="103" s="1"/>
  <c r="O39" i="103" a="1"/>
  <c r="O39" i="103" s="1"/>
  <c r="N39" i="103" a="1"/>
  <c r="N39" i="103" s="1"/>
  <c r="N29" i="103" a="1"/>
  <c r="N29" i="103" s="1"/>
  <c r="Q29" i="103" a="1"/>
  <c r="Q29" i="103" s="1"/>
  <c r="Q28" i="103" a="1"/>
  <c r="Q28" i="103" s="1"/>
  <c r="P28" i="103" a="1"/>
  <c r="P28" i="103" s="1"/>
  <c r="O28" i="103" a="1"/>
  <c r="O28" i="103" s="1"/>
  <c r="N28" i="103" a="1"/>
  <c r="N28" i="103" s="1"/>
  <c r="Q26" i="102" a="1"/>
  <c r="Q26" i="102" s="1"/>
  <c r="P26" i="102" a="1"/>
  <c r="P26" i="102" s="1"/>
  <c r="O26" i="102" a="1"/>
  <c r="O26" i="102" s="1"/>
  <c r="N26" i="102" a="1"/>
  <c r="N26" i="102" s="1"/>
  <c r="O32" i="102" a="1"/>
  <c r="O32" i="102" s="1"/>
  <c r="N32" i="102" a="1"/>
  <c r="N32" i="102" s="1"/>
  <c r="P32" i="102" a="1"/>
  <c r="P32" i="102" s="1"/>
  <c r="O25" i="102" a="1"/>
  <c r="O25" i="102" s="1"/>
  <c r="P35" i="102" a="1"/>
  <c r="P35" i="102" s="1"/>
  <c r="N36" i="102" a="1"/>
  <c r="N36" i="102" s="1"/>
  <c r="Q36" i="102" a="1"/>
  <c r="Q36" i="102" s="1"/>
  <c r="P36" i="102" a="1"/>
  <c r="P36" i="102" s="1"/>
  <c r="O36" i="102" a="1"/>
  <c r="O36" i="102" s="1"/>
  <c r="Q31" i="102" a="1"/>
  <c r="Q31" i="102" s="1"/>
  <c r="N30" i="102" a="1"/>
  <c r="N30" i="102" s="1"/>
  <c r="P25" i="102" a="1"/>
  <c r="P25" i="102" s="1"/>
  <c r="Q35" i="102" a="1"/>
  <c r="Q35" i="102" s="1"/>
  <c r="P29" i="102" a="1"/>
  <c r="P29" i="102" s="1"/>
  <c r="O29" i="102" a="1"/>
  <c r="O29" i="102" s="1"/>
  <c r="N29" i="102" a="1"/>
  <c r="N29" i="102" s="1"/>
  <c r="O30" i="102" a="1"/>
  <c r="O30" i="102" s="1"/>
  <c r="Q25" i="102" a="1"/>
  <c r="Q25" i="102" s="1"/>
  <c r="Q32" i="102" a="1"/>
  <c r="Q32" i="102" s="1"/>
  <c r="Q29" i="102" a="1"/>
  <c r="Q29" i="102" s="1"/>
  <c r="Q33" i="102" a="1"/>
  <c r="Q33" i="102" s="1"/>
  <c r="E52" i="102" s="1"/>
  <c r="N38" i="102" a="1"/>
  <c r="N38" i="102" s="1"/>
  <c r="N27" i="102" a="1"/>
  <c r="N27" i="102" s="1"/>
  <c r="Q27" i="102" a="1"/>
  <c r="Q27" i="102" s="1"/>
  <c r="P27" i="102" a="1"/>
  <c r="P27" i="102" s="1"/>
  <c r="O27" i="102" a="1"/>
  <c r="O27" i="102" s="1"/>
  <c r="N33" i="102" a="1"/>
  <c r="N33" i="102" s="1"/>
  <c r="E49" i="102" s="1"/>
  <c r="P31" i="102" a="1"/>
  <c r="P31" i="102" s="1"/>
  <c r="O31" i="102" a="1"/>
  <c r="O31" i="102" s="1"/>
  <c r="N31" i="102" a="1"/>
  <c r="N31" i="102" s="1"/>
  <c r="O33" i="102" a="1"/>
  <c r="O33" i="102" s="1"/>
  <c r="E50" i="102" s="1"/>
  <c r="N35" i="102" a="1"/>
  <c r="N35" i="102" s="1"/>
  <c r="P28" i="102" a="1"/>
  <c r="P28" i="102" s="1"/>
  <c r="O28" i="102" a="1"/>
  <c r="O28" i="102" s="1"/>
  <c r="N28" i="102" a="1"/>
  <c r="N28" i="102" s="1"/>
  <c r="Q28" i="102" a="1"/>
  <c r="Q28" i="102" s="1"/>
  <c r="E50" i="98"/>
  <c r="T50" i="91"/>
  <c r="S50" i="91" a="1"/>
  <c r="S50" i="91" s="1"/>
  <c r="R50" i="91" a="1"/>
  <c r="R50" i="91" s="1"/>
  <c r="T19" i="84"/>
  <c r="I19" i="84"/>
  <c r="K40" i="83"/>
  <c r="V40" i="83"/>
  <c r="K19" i="81"/>
  <c r="V19" i="81"/>
  <c r="O45" i="91" l="1"/>
  <c r="W47" i="91"/>
  <c r="W46" i="91"/>
  <c r="S47" i="91" a="1"/>
  <c r="S47" i="91" s="1"/>
  <c r="T46" i="91"/>
  <c r="S46" i="91" a="1"/>
  <c r="S46" i="91" s="1"/>
  <c r="T49" i="91"/>
  <c r="V49" i="91" s="1" a="1"/>
  <c r="V49" i="91" s="1"/>
  <c r="R46" i="91" a="1"/>
  <c r="R46" i="91" s="1"/>
  <c r="T47" i="91"/>
  <c r="S49" i="91" a="1"/>
  <c r="S49" i="91" s="1"/>
  <c r="T48" i="91"/>
  <c r="V48" i="91" s="1" a="1"/>
  <c r="V48" i="91" s="1"/>
  <c r="R48" i="91" a="1"/>
  <c r="R48" i="91" s="1"/>
  <c r="V47" i="91" a="1"/>
  <c r="V47" i="91" s="1"/>
  <c r="R47" i="91" a="1"/>
  <c r="R47" i="91" s="1"/>
  <c r="R49" i="91" a="1"/>
  <c r="R49" i="91" s="1"/>
  <c r="V46" i="91" a="1"/>
  <c r="V46" i="91" s="1"/>
  <c r="S48" i="91" a="1"/>
  <c r="S48" i="91" s="1"/>
  <c r="O180" i="89" a="1"/>
  <c r="O180" i="89" s="1"/>
  <c r="G123" i="116" a="1"/>
  <c r="G123" i="116" s="1"/>
  <c r="I123" i="116" a="1"/>
  <c r="I123" i="116" s="1"/>
  <c r="G124" i="116" a="1"/>
  <c r="G124" i="116" s="1"/>
  <c r="I124" i="116" a="1"/>
  <c r="I124" i="116" s="1"/>
  <c r="S285" i="79"/>
  <c r="R208" i="80"/>
  <c r="G174" i="79" a="1"/>
  <c r="G174" i="79" s="1"/>
  <c r="H174" i="79" a="1"/>
  <c r="H174" i="79" s="1"/>
  <c r="F152" i="79"/>
  <c r="F174" i="79" s="1" a="1"/>
  <c r="F174" i="79" s="1"/>
  <c r="J174" i="79" a="1"/>
  <c r="J174" i="79" s="1"/>
  <c r="I174" i="79" a="1"/>
  <c r="I174" i="79" s="1"/>
  <c r="AE225" i="116" a="1"/>
  <c r="AE225" i="116" s="1"/>
  <c r="G173" i="79" a="1"/>
  <c r="G173" i="79" s="1"/>
  <c r="J173" i="79" a="1"/>
  <c r="J173" i="79" s="1"/>
  <c r="F151" i="79"/>
  <c r="F173" i="79" s="1" a="1"/>
  <c r="F173" i="79" s="1"/>
  <c r="I173" i="79" a="1"/>
  <c r="I173" i="79" s="1"/>
  <c r="H173" i="79" a="1"/>
  <c r="H173" i="79" s="1"/>
  <c r="G206" i="79" a="1"/>
  <c r="G206" i="79" s="1"/>
  <c r="F200" i="79"/>
  <c r="H206" i="79" a="1"/>
  <c r="H206" i="79" s="1"/>
  <c r="J206" i="79" a="1"/>
  <c r="J206" i="79" s="1"/>
  <c r="I206" i="79" a="1"/>
  <c r="I206" i="79" s="1"/>
  <c r="O170" i="89"/>
  <c r="F170" i="89"/>
  <c r="O26" i="103" a="1"/>
  <c r="O26" i="103" s="1"/>
  <c r="Q30" i="103" a="1"/>
  <c r="Q30" i="103" s="1"/>
  <c r="E72" i="116"/>
  <c r="P208" i="80"/>
  <c r="Q285" i="79"/>
  <c r="G178" i="79" a="1"/>
  <c r="G178" i="79" s="1"/>
  <c r="I178" i="79" a="1"/>
  <c r="I178" i="79" s="1"/>
  <c r="H178" i="79" a="1"/>
  <c r="H178" i="79" s="1"/>
  <c r="J178" i="79" a="1"/>
  <c r="J178" i="79" s="1"/>
  <c r="F156" i="79"/>
  <c r="F178" i="79" s="1" a="1"/>
  <c r="F178" i="79" s="1"/>
  <c r="Q152" i="79"/>
  <c r="Q174" i="79" s="1" a="1"/>
  <c r="Q174" i="79" s="1"/>
  <c r="S174" i="79" a="1"/>
  <c r="S174" i="79" s="1"/>
  <c r="U174" i="79" a="1"/>
  <c r="U174" i="79" s="1"/>
  <c r="T174" i="79" a="1"/>
  <c r="T174" i="79" s="1"/>
  <c r="R174" i="79" a="1"/>
  <c r="R174" i="79" s="1"/>
  <c r="F180" i="89" a="1"/>
  <c r="F180" i="89" s="1"/>
  <c r="E182" i="89" s="1"/>
  <c r="Q221" i="116"/>
  <c r="S221" i="116" s="1" a="1"/>
  <c r="S221" i="116" s="1"/>
  <c r="S224" i="116" a="1"/>
  <c r="S224" i="116" s="1"/>
  <c r="S228" i="116" a="1"/>
  <c r="S228" i="116" s="1"/>
  <c r="S229" i="116" a="1"/>
  <c r="S229" i="116" s="1"/>
  <c r="S222" i="116" a="1"/>
  <c r="S222" i="116" s="1"/>
  <c r="S230" i="116" a="1"/>
  <c r="S230" i="116" s="1"/>
  <c r="S225" i="116" a="1"/>
  <c r="S225" i="116" s="1"/>
  <c r="S223" i="116" a="1"/>
  <c r="S223" i="116" s="1"/>
  <c r="S227" i="116" a="1"/>
  <c r="S227" i="116" s="1"/>
  <c r="S226" i="116" a="1"/>
  <c r="S226" i="116" s="1"/>
  <c r="AE226" i="116" a="1"/>
  <c r="AE226" i="116" s="1"/>
  <c r="N26" i="103" a="1"/>
  <c r="N26" i="103" s="1"/>
  <c r="E43" i="103" s="1"/>
  <c r="N37" i="102" a="1"/>
  <c r="N37" i="102" s="1"/>
  <c r="P29" i="103" a="1"/>
  <c r="P29" i="103" s="1"/>
  <c r="E45" i="103" s="1"/>
  <c r="I125" i="106"/>
  <c r="K125" i="106" s="1" a="1"/>
  <c r="K125" i="106" s="1"/>
  <c r="E73" i="116"/>
  <c r="R65" i="80" a="1"/>
  <c r="R65" i="80" s="1"/>
  <c r="R103" i="80" s="1" a="1"/>
  <c r="R103" i="80" s="1"/>
  <c r="R146" i="80" s="1" a="1"/>
  <c r="R146" i="80" s="1"/>
  <c r="R213" i="80" s="1" a="1"/>
  <c r="R213" i="80" s="1"/>
  <c r="S19" i="84" s="1"/>
  <c r="U31" i="84" s="1" a="1"/>
  <c r="U31" i="84" s="1"/>
  <c r="I88" i="106" a="1"/>
  <c r="I88" i="106" s="1"/>
  <c r="H186" i="106" s="1"/>
  <c r="G116" i="106" a="1"/>
  <c r="G116" i="106" s="1"/>
  <c r="G157" i="106" a="1"/>
  <c r="G157" i="106" s="1"/>
  <c r="G21" i="106" a="1"/>
  <c r="G21" i="106" s="1"/>
  <c r="I21" i="106" s="1" a="1"/>
  <c r="I21" i="106" s="1"/>
  <c r="H116" i="106" s="1"/>
  <c r="F155" i="79"/>
  <c r="F177" i="79" s="1" a="1"/>
  <c r="F177" i="79" s="1"/>
  <c r="I177" i="79" a="1"/>
  <c r="I177" i="79" s="1"/>
  <c r="J177" i="79" a="1"/>
  <c r="J177" i="79" s="1"/>
  <c r="G177" i="79" a="1"/>
  <c r="G177" i="79" s="1"/>
  <c r="H177" i="79" a="1"/>
  <c r="H177" i="79" s="1"/>
  <c r="S176" i="79" a="1"/>
  <c r="S176" i="79" s="1"/>
  <c r="R176" i="79" a="1"/>
  <c r="R176" i="79" s="1"/>
  <c r="Q154" i="79"/>
  <c r="Q176" i="79" s="1" a="1"/>
  <c r="Q176" i="79" s="1"/>
  <c r="T176" i="79" a="1"/>
  <c r="T176" i="79" s="1"/>
  <c r="U176" i="79" a="1"/>
  <c r="U176" i="79" s="1"/>
  <c r="U221" i="116"/>
  <c r="W221" i="116" s="1" a="1"/>
  <c r="W221" i="116" s="1"/>
  <c r="W224" i="116" a="1"/>
  <c r="W224" i="116" s="1"/>
  <c r="W230" i="116" a="1"/>
  <c r="W230" i="116" s="1"/>
  <c r="W223" i="116" a="1"/>
  <c r="W223" i="116" s="1"/>
  <c r="W225" i="116" a="1"/>
  <c r="W225" i="116" s="1"/>
  <c r="W229" i="116" a="1"/>
  <c r="W229" i="116" s="1"/>
  <c r="W222" i="116" a="1"/>
  <c r="W222" i="116" s="1"/>
  <c r="W228" i="116" a="1"/>
  <c r="W228" i="116" s="1"/>
  <c r="W227" i="116" a="1"/>
  <c r="W227" i="116" s="1"/>
  <c r="W226" i="116" a="1"/>
  <c r="W226" i="116" s="1"/>
  <c r="F270" i="116" a="1"/>
  <c r="F270" i="116" s="1"/>
  <c r="E270" i="116"/>
  <c r="M50" i="89" a="1"/>
  <c r="M50" i="89" s="1"/>
  <c r="AE221" i="116" a="1"/>
  <c r="AE221" i="116" s="1"/>
  <c r="Y221" i="116"/>
  <c r="AA221" i="116" s="1" a="1"/>
  <c r="AA221" i="116" s="1"/>
  <c r="AA226" i="116" a="1"/>
  <c r="AA226" i="116" s="1"/>
  <c r="AA230" i="116" a="1"/>
  <c r="AA230" i="116" s="1"/>
  <c r="AA223" i="116" a="1"/>
  <c r="AA223" i="116" s="1"/>
  <c r="AA224" i="116" a="1"/>
  <c r="AA224" i="116" s="1"/>
  <c r="AA225" i="116" a="1"/>
  <c r="AA225" i="116" s="1"/>
  <c r="AA229" i="116" a="1"/>
  <c r="AA229" i="116" s="1"/>
  <c r="AA228" i="116" a="1"/>
  <c r="AA228" i="116" s="1"/>
  <c r="AA227" i="116" a="1"/>
  <c r="AA227" i="116" s="1"/>
  <c r="AA222" i="116" a="1"/>
  <c r="AA222" i="116" s="1"/>
  <c r="Q153" i="79"/>
  <c r="Q175" i="79" s="1" a="1"/>
  <c r="Q175" i="79" s="1"/>
  <c r="T175" i="79" a="1"/>
  <c r="T175" i="79" s="1"/>
  <c r="R175" i="79" a="1"/>
  <c r="R175" i="79" s="1"/>
  <c r="U175" i="79" a="1"/>
  <c r="U175" i="79" s="1"/>
  <c r="S175" i="79" a="1"/>
  <c r="S175" i="79" s="1"/>
  <c r="P170" i="89"/>
  <c r="G170" i="89"/>
  <c r="J35" i="99"/>
  <c r="I551" i="116"/>
  <c r="N170" i="89"/>
  <c r="E170" i="89"/>
  <c r="P114" i="79" a="1"/>
  <c r="P114" i="79" s="1"/>
  <c r="O27" i="103" a="1"/>
  <c r="O27" i="103" s="1"/>
  <c r="E44" i="103" s="1"/>
  <c r="K135" i="106" a="1"/>
  <c r="K135" i="106" s="1"/>
  <c r="U173" i="79" a="1"/>
  <c r="U173" i="79" s="1"/>
  <c r="Q151" i="79"/>
  <c r="Q173" i="79" s="1" a="1"/>
  <c r="Q173" i="79" s="1"/>
  <c r="T173" i="79" a="1"/>
  <c r="T173" i="79" s="1"/>
  <c r="S173" i="79" a="1"/>
  <c r="S173" i="79" s="1"/>
  <c r="R173" i="79" a="1"/>
  <c r="R173" i="79" s="1"/>
  <c r="Q157" i="79"/>
  <c r="Q179" i="79" s="1" a="1"/>
  <c r="Q179" i="79" s="1"/>
  <c r="U179" i="79" a="1"/>
  <c r="U179" i="79" s="1"/>
  <c r="T179" i="79" a="1"/>
  <c r="T179" i="79" s="1"/>
  <c r="R179" i="79" a="1"/>
  <c r="R179" i="79" s="1"/>
  <c r="S179" i="79" a="1"/>
  <c r="S179" i="79" s="1"/>
  <c r="Q37" i="102" a="1"/>
  <c r="Q37" i="102" s="1"/>
  <c r="E64" i="102" s="1"/>
  <c r="AK221" i="116"/>
  <c r="AM221" i="116" s="1" a="1"/>
  <c r="AM221" i="116" s="1"/>
  <c r="AM228" i="116" a="1"/>
  <c r="AM228" i="116" s="1"/>
  <c r="AM227" i="116" a="1"/>
  <c r="AM227" i="116" s="1"/>
  <c r="AM229" i="116" a="1"/>
  <c r="AM229" i="116" s="1"/>
  <c r="AM222" i="116" a="1"/>
  <c r="AM222" i="116" s="1"/>
  <c r="AM226" i="116" a="1"/>
  <c r="AM226" i="116" s="1"/>
  <c r="AM225" i="116" a="1"/>
  <c r="AM225" i="116" s="1"/>
  <c r="AM224" i="116" a="1"/>
  <c r="AM224" i="116" s="1"/>
  <c r="AM223" i="116" a="1"/>
  <c r="AM223" i="116" s="1"/>
  <c r="AM230" i="116" a="1"/>
  <c r="AM230" i="116" s="1"/>
  <c r="Q170" i="89"/>
  <c r="Q180" i="89" s="1" a="1"/>
  <c r="Q180" i="89" s="1"/>
  <c r="H170" i="89"/>
  <c r="AG221" i="116"/>
  <c r="AI221" i="116" s="1" a="1"/>
  <c r="AI221" i="116" s="1"/>
  <c r="AI228" i="116" a="1"/>
  <c r="AI228" i="116" s="1"/>
  <c r="AI225" i="116" a="1"/>
  <c r="AI225" i="116" s="1"/>
  <c r="AI226" i="116" a="1"/>
  <c r="AI226" i="116" s="1"/>
  <c r="AI229" i="116" a="1"/>
  <c r="AI229" i="116" s="1"/>
  <c r="AI224" i="116" a="1"/>
  <c r="AI224" i="116" s="1"/>
  <c r="AI223" i="116" a="1"/>
  <c r="AI223" i="116" s="1"/>
  <c r="AI227" i="116" a="1"/>
  <c r="AI227" i="116" s="1"/>
  <c r="AI222" i="116" a="1"/>
  <c r="AI222" i="116" s="1"/>
  <c r="AI230" i="116" a="1"/>
  <c r="AI230" i="116" s="1"/>
  <c r="T206" i="79" a="1"/>
  <c r="T206" i="79" s="1"/>
  <c r="U206" i="79" a="1"/>
  <c r="U206" i="79" s="1"/>
  <c r="Q200" i="79"/>
  <c r="S206" i="79" a="1"/>
  <c r="S206" i="79" s="1"/>
  <c r="R206" i="79" a="1"/>
  <c r="R206" i="79" s="1"/>
  <c r="AE222" i="116" a="1"/>
  <c r="AE222" i="116" s="1"/>
  <c r="I79" i="106" a="1"/>
  <c r="I79" i="106" s="1"/>
  <c r="H177" i="106" s="1"/>
  <c r="I177" i="106" s="1"/>
  <c r="K177" i="106" s="1" a="1"/>
  <c r="K177" i="106" s="1"/>
  <c r="F42" i="116"/>
  <c r="G42" i="116" s="1" a="1"/>
  <c r="G42" i="116" s="1"/>
  <c r="G51" i="116" a="1"/>
  <c r="G51" i="116" s="1"/>
  <c r="G44" i="116" a="1"/>
  <c r="G44" i="116" s="1"/>
  <c r="G48" i="116" a="1"/>
  <c r="G48" i="116" s="1"/>
  <c r="G50" i="116" a="1"/>
  <c r="G50" i="116" s="1"/>
  <c r="G46" i="116" a="1"/>
  <c r="G46" i="116" s="1"/>
  <c r="G47" i="116" a="1"/>
  <c r="G47" i="116" s="1"/>
  <c r="G49" i="116" a="1"/>
  <c r="G49" i="116" s="1"/>
  <c r="G43" i="116" a="1"/>
  <c r="G43" i="116" s="1"/>
  <c r="G45" i="116" a="1"/>
  <c r="G45" i="116" s="1"/>
  <c r="M80" i="89" a="1"/>
  <c r="M80" i="89" s="1"/>
  <c r="M115" i="89" s="1" a="1"/>
  <c r="M115" i="89" s="1"/>
  <c r="M132" i="89" s="1" a="1"/>
  <c r="M132" i="89" s="1"/>
  <c r="M180" i="89" s="1" a="1"/>
  <c r="M180" i="89" s="1"/>
  <c r="AE223" i="116" a="1"/>
  <c r="AE223" i="116" s="1"/>
  <c r="O37" i="102" a="1"/>
  <c r="O37" i="102" s="1"/>
  <c r="E62" i="102" s="1"/>
  <c r="I185" i="106"/>
  <c r="K185" i="106" s="1" a="1"/>
  <c r="K185" i="106" s="1"/>
  <c r="O38" i="102" a="1"/>
  <c r="O38" i="102" s="1"/>
  <c r="Q114" i="79" a="1"/>
  <c r="Q114" i="79" s="1"/>
  <c r="R177" i="79" a="1"/>
  <c r="R177" i="79" s="1"/>
  <c r="S177" i="79" a="1"/>
  <c r="S177" i="79" s="1"/>
  <c r="T177" i="79" a="1"/>
  <c r="T177" i="79" s="1"/>
  <c r="U177" i="79" a="1"/>
  <c r="U177" i="79" s="1"/>
  <c r="Q155" i="79"/>
  <c r="Q177" i="79" s="1" a="1"/>
  <c r="Q177" i="79" s="1"/>
  <c r="AE228" i="116" a="1"/>
  <c r="AE228" i="116" s="1"/>
  <c r="Q50" i="80"/>
  <c r="Q126" i="80" s="1" a="1"/>
  <c r="Q126" i="80" s="1"/>
  <c r="S205" i="79" a="1"/>
  <c r="S205" i="79" s="1"/>
  <c r="U205" i="79" a="1"/>
  <c r="U205" i="79" s="1"/>
  <c r="Q199" i="79"/>
  <c r="Q205" i="79" s="1" a="1"/>
  <c r="Q205" i="79" s="1"/>
  <c r="R205" i="79" a="1"/>
  <c r="R205" i="79" s="1"/>
  <c r="T205" i="79" a="1"/>
  <c r="T205" i="79" s="1"/>
  <c r="AE229" i="116" a="1"/>
  <c r="AE229" i="116" s="1"/>
  <c r="G274" i="116" a="1"/>
  <c r="G274" i="116" s="1"/>
  <c r="S178" i="79" a="1"/>
  <c r="S178" i="79" s="1"/>
  <c r="Q156" i="79"/>
  <c r="Q178" i="79" s="1" a="1"/>
  <c r="Q178" i="79" s="1"/>
  <c r="U178" i="79" a="1"/>
  <c r="U178" i="79" s="1"/>
  <c r="T178" i="79" a="1"/>
  <c r="T178" i="79" s="1"/>
  <c r="R178" i="79" a="1"/>
  <c r="R178" i="79" s="1"/>
  <c r="F199" i="79"/>
  <c r="J205" i="79" a="1"/>
  <c r="J205" i="79" s="1"/>
  <c r="G205" i="79" a="1"/>
  <c r="G205" i="79" s="1"/>
  <c r="I205" i="79" a="1"/>
  <c r="I205" i="79" s="1"/>
  <c r="H205" i="79" a="1"/>
  <c r="H205" i="79" s="1"/>
  <c r="AE230" i="116" a="1"/>
  <c r="AE230" i="116" s="1"/>
  <c r="J34" i="99"/>
  <c r="E39" i="99" s="1" a="1"/>
  <c r="E39" i="99" s="1"/>
  <c r="I550" i="116"/>
  <c r="E555" i="116" s="1" a="1"/>
  <c r="E555" i="116" s="1"/>
  <c r="Q38" i="102" a="1"/>
  <c r="Q38" i="102" s="1"/>
  <c r="F157" i="79"/>
  <c r="F179" i="79" s="1" a="1"/>
  <c r="F179" i="79" s="1"/>
  <c r="G179" i="79" a="1"/>
  <c r="G179" i="79" s="1"/>
  <c r="J179" i="79" a="1"/>
  <c r="J179" i="79" s="1"/>
  <c r="I179" i="79" a="1"/>
  <c r="I179" i="79" s="1"/>
  <c r="H179" i="79" a="1"/>
  <c r="H179" i="79" s="1"/>
  <c r="J176" i="79" a="1"/>
  <c r="J176" i="79" s="1"/>
  <c r="F154" i="79"/>
  <c r="F176" i="79" s="1" a="1"/>
  <c r="F176" i="79" s="1"/>
  <c r="H176" i="79" a="1"/>
  <c r="H176" i="79" s="1"/>
  <c r="I176" i="79" a="1"/>
  <c r="I176" i="79" s="1"/>
  <c r="G176" i="79" a="1"/>
  <c r="G176" i="79" s="1"/>
  <c r="AE224" i="116" a="1"/>
  <c r="AE224" i="116" s="1"/>
  <c r="I134" i="106"/>
  <c r="K134" i="106" s="1" a="1"/>
  <c r="K134" i="106" s="1"/>
  <c r="I136" i="106"/>
  <c r="K136" i="106" s="1" a="1"/>
  <c r="K136" i="106" s="1"/>
  <c r="I124" i="106"/>
  <c r="K124" i="106" s="1" a="1"/>
  <c r="K124" i="106" s="1"/>
  <c r="H180" i="89" a="1"/>
  <c r="H180" i="89" s="1"/>
  <c r="O114" i="79" a="1"/>
  <c r="O114" i="79" s="1"/>
  <c r="G276" i="116" a="1"/>
  <c r="G276" i="116" s="1"/>
  <c r="I276" i="116" a="1"/>
  <c r="I276" i="116" s="1"/>
  <c r="F153" i="79"/>
  <c r="F175" i="79" s="1" a="1"/>
  <c r="F175" i="79" s="1"/>
  <c r="G175" i="79" a="1"/>
  <c r="G175" i="79" s="1"/>
  <c r="J175" i="79" a="1"/>
  <c r="J175" i="79" s="1"/>
  <c r="I175" i="79" a="1"/>
  <c r="I175" i="79" s="1"/>
  <c r="H175" i="79" a="1"/>
  <c r="H175" i="79" s="1"/>
  <c r="AE227" i="116" a="1"/>
  <c r="AE227" i="116" s="1"/>
  <c r="E133" i="79" a="1"/>
  <c r="E133" i="79" s="1"/>
  <c r="E50" i="80"/>
  <c r="H133" i="79" a="1"/>
  <c r="H133" i="79" s="1"/>
  <c r="H50" i="80"/>
  <c r="G133" i="79" a="1"/>
  <c r="G133" i="79" s="1"/>
  <c r="G50" i="80"/>
  <c r="F133" i="79" a="1"/>
  <c r="F133" i="79" s="1"/>
  <c r="F50" i="80"/>
  <c r="T33" i="109"/>
  <c r="O25" i="110"/>
  <c r="J33" i="109"/>
  <c r="E25" i="110"/>
  <c r="D133" i="79" a="1"/>
  <c r="D133" i="79" s="1"/>
  <c r="D50" i="80"/>
  <c r="U19" i="85"/>
  <c r="U24" i="85" s="1" a="1"/>
  <c r="U24" i="85" s="1"/>
  <c r="U23" i="86"/>
  <c r="E34" i="116"/>
  <c r="E63" i="102"/>
  <c r="E56" i="102"/>
  <c r="G126" i="116" a="1"/>
  <c r="G126" i="116" s="1"/>
  <c r="I125" i="116" a="1"/>
  <c r="I125" i="116" s="1"/>
  <c r="E35" i="116"/>
  <c r="E94" i="116" s="1"/>
  <c r="E460" i="116"/>
  <c r="I128" i="116" a="1"/>
  <c r="I128" i="116" s="1"/>
  <c r="E441" i="116"/>
  <c r="E442" i="116"/>
  <c r="E459" i="116"/>
  <c r="E378" i="116"/>
  <c r="E379" i="116"/>
  <c r="F221" i="116" a="1"/>
  <c r="F221" i="116" s="1"/>
  <c r="I270" i="116" a="1"/>
  <c r="I270" i="116" s="1"/>
  <c r="G270" i="116" a="1"/>
  <c r="G270" i="116" s="1"/>
  <c r="E283" i="116" s="1"/>
  <c r="I122" i="116" a="1"/>
  <c r="I122" i="116" s="1"/>
  <c r="G122" i="116" a="1"/>
  <c r="G122" i="116" s="1"/>
  <c r="I127" i="116" a="1"/>
  <c r="I127" i="116" s="1"/>
  <c r="G127" i="116" a="1"/>
  <c r="G127" i="116" s="1"/>
  <c r="F237" i="116" a="1"/>
  <c r="F237" i="116" s="1"/>
  <c r="I179" i="106"/>
  <c r="K179" i="106" s="1" a="1"/>
  <c r="K179" i="106" s="1"/>
  <c r="I144" i="106"/>
  <c r="K144" i="106" s="1" a="1"/>
  <c r="K144" i="106" s="1"/>
  <c r="I168" i="106"/>
  <c r="K168" i="106" s="1" a="1"/>
  <c r="K168" i="106" s="1"/>
  <c r="I127" i="106"/>
  <c r="K127" i="106" s="1" a="1"/>
  <c r="K127" i="106" s="1"/>
  <c r="I138" i="106"/>
  <c r="K138" i="106" s="1" a="1"/>
  <c r="K138" i="106" s="1"/>
  <c r="I116" i="106"/>
  <c r="K116" i="106" s="1" a="1"/>
  <c r="K116" i="106" s="1"/>
  <c r="I157" i="106"/>
  <c r="K157" i="106" s="1" a="1"/>
  <c r="K157" i="106" s="1"/>
  <c r="E58" i="102"/>
  <c r="E43" i="102"/>
  <c r="E61" i="102"/>
  <c r="E55" i="102"/>
  <c r="E52" i="103"/>
  <c r="E49" i="103"/>
  <c r="E45" i="102"/>
  <c r="E50" i="103"/>
  <c r="E51" i="103"/>
  <c r="E46" i="103"/>
  <c r="E57" i="102"/>
  <c r="E46" i="102"/>
  <c r="E44" i="102"/>
  <c r="V50" i="91" a="1"/>
  <c r="V50" i="91" s="1"/>
  <c r="R176" i="80" a="1"/>
  <c r="R176" i="80" s="1"/>
  <c r="T249" i="80" a="1"/>
  <c r="T249" i="80" s="1"/>
  <c r="T246" i="80" a="1"/>
  <c r="T246" i="80" s="1"/>
  <c r="T243" i="80" a="1"/>
  <c r="T243" i="80" s="1"/>
  <c r="T244" i="80" a="1"/>
  <c r="T244" i="80" s="1"/>
  <c r="T245" i="80" a="1"/>
  <c r="T245" i="80" s="1"/>
  <c r="T250" i="80" a="1"/>
  <c r="T250" i="80" s="1"/>
  <c r="T247" i="80" a="1"/>
  <c r="T247" i="80" s="1"/>
  <c r="T248" i="80" a="1"/>
  <c r="T248" i="80" s="1"/>
  <c r="E10" i="76" a="1"/>
  <c r="E10" i="76" s="1"/>
  <c r="E9" i="76" a="1"/>
  <c r="E9" i="76" s="1"/>
  <c r="F205" i="79" l="1" a="1"/>
  <c r="F205" i="79" s="1"/>
  <c r="G184" i="89"/>
  <c r="E7" i="13" a="1"/>
  <c r="E7" i="13" s="1"/>
  <c r="F228" i="116" a="1"/>
  <c r="F228" i="116" s="1"/>
  <c r="E284" i="116"/>
  <c r="E53" i="116"/>
  <c r="E93" i="116" s="1"/>
  <c r="F224" i="116" a="1"/>
  <c r="F224" i="116" s="1"/>
  <c r="F31" i="90"/>
  <c r="G31" i="90" s="1"/>
  <c r="H42" i="90"/>
  <c r="H12" i="90"/>
  <c r="F33" i="90"/>
  <c r="G33" i="90" s="1"/>
  <c r="H15" i="90"/>
  <c r="I15" i="90" s="1"/>
  <c r="F32" i="90"/>
  <c r="G32" i="90" s="1"/>
  <c r="H13" i="90"/>
  <c r="I13" i="90" s="1"/>
  <c r="F22" i="90"/>
  <c r="G22" i="90" s="1"/>
  <c r="F20" i="90"/>
  <c r="H44" i="90"/>
  <c r="H16" i="90"/>
  <c r="I16" i="90" s="1"/>
  <c r="F21" i="90"/>
  <c r="G21" i="90" s="1"/>
  <c r="H43" i="90"/>
  <c r="H14" i="90"/>
  <c r="I14" i="90" s="1"/>
  <c r="I18" i="96"/>
  <c r="S73" i="91"/>
  <c r="I54" i="91"/>
  <c r="I128" i="95"/>
  <c r="I60" i="96"/>
  <c r="J53" i="95"/>
  <c r="Q65" i="80" a="1"/>
  <c r="Q65" i="80" s="1"/>
  <c r="Q103" i="80" s="1" a="1"/>
  <c r="Q103" i="80" s="1"/>
  <c r="Q146" i="80" s="1" a="1"/>
  <c r="Q146" i="80" s="1"/>
  <c r="N182" i="89"/>
  <c r="P133" i="79" a="1"/>
  <c r="P133" i="79" s="1"/>
  <c r="O50" i="80"/>
  <c r="Q206" i="79" a="1"/>
  <c r="Q206" i="79" s="1"/>
  <c r="O133" i="79" a="1"/>
  <c r="O133" i="79" s="1"/>
  <c r="N50" i="80"/>
  <c r="F226" i="116" a="1"/>
  <c r="F226" i="116" s="1"/>
  <c r="F227" i="116" a="1"/>
  <c r="F227" i="116" s="1"/>
  <c r="R45" i="91" a="1"/>
  <c r="R45" i="91" s="1"/>
  <c r="S45" i="91" a="1"/>
  <c r="S45" i="91" s="1"/>
  <c r="T45" i="91"/>
  <c r="V45" i="91" a="1"/>
  <c r="V45" i="91" s="1"/>
  <c r="F223" i="116" a="1"/>
  <c r="F223" i="116" s="1"/>
  <c r="F225" i="116" a="1"/>
  <c r="F225" i="116" s="1"/>
  <c r="F230" i="116" a="1"/>
  <c r="F230" i="116" s="1"/>
  <c r="F206" i="79" a="1"/>
  <c r="F206" i="79" s="1"/>
  <c r="F222" i="116" a="1"/>
  <c r="F222" i="116" s="1"/>
  <c r="Q133" i="79" a="1"/>
  <c r="Q133" i="79" s="1"/>
  <c r="P50" i="80"/>
  <c r="F229" i="116" a="1"/>
  <c r="F229" i="116" s="1"/>
  <c r="F126" i="80" a="1"/>
  <c r="F126" i="80" s="1"/>
  <c r="F65" i="80" a="1"/>
  <c r="F65" i="80" s="1"/>
  <c r="F103" i="80" s="1" a="1"/>
  <c r="F103" i="80" s="1"/>
  <c r="G65" i="80" a="1"/>
  <c r="G65" i="80" s="1"/>
  <c r="G103" i="80" s="1" a="1"/>
  <c r="G103" i="80" s="1"/>
  <c r="G126" i="80" a="1"/>
  <c r="G126" i="80" s="1"/>
  <c r="H65" i="80" a="1"/>
  <c r="H65" i="80" s="1"/>
  <c r="H103" i="80" s="1" a="1"/>
  <c r="H103" i="80" s="1"/>
  <c r="H126" i="80" a="1"/>
  <c r="H126" i="80" s="1"/>
  <c r="E65" i="80" a="1"/>
  <c r="E65" i="80" s="1"/>
  <c r="E103" i="80" s="1" a="1"/>
  <c r="E103" i="80" s="1"/>
  <c r="E126" i="80" a="1"/>
  <c r="E126" i="80" s="1"/>
  <c r="U42" i="83"/>
  <c r="U21" i="81"/>
  <c r="U42" i="81" s="1" a="1"/>
  <c r="U42" i="81" s="1"/>
  <c r="U41" i="83"/>
  <c r="U20" i="81"/>
  <c r="U41" i="81" s="1" a="1"/>
  <c r="U41" i="81" s="1"/>
  <c r="U40" i="83"/>
  <c r="U19" i="81"/>
  <c r="U40" i="81" s="1" a="1"/>
  <c r="U40" i="81" s="1"/>
  <c r="D126" i="80" a="1"/>
  <c r="D126" i="80" s="1"/>
  <c r="D65" i="80" a="1"/>
  <c r="D65" i="80" s="1"/>
  <c r="D103" i="80" s="1" a="1"/>
  <c r="D103" i="80" s="1"/>
  <c r="U46" i="83"/>
  <c r="U25" i="81"/>
  <c r="U46" i="81" s="1" a="1"/>
  <c r="U46" i="81" s="1"/>
  <c r="U47" i="83"/>
  <c r="U24" i="82"/>
  <c r="U26" i="81"/>
  <c r="U47" i="81" s="1" a="1"/>
  <c r="U47" i="81" s="1"/>
  <c r="U23" i="82"/>
  <c r="U43" i="83"/>
  <c r="U22" i="81"/>
  <c r="U43" i="81" s="1" a="1"/>
  <c r="U43" i="81" s="1"/>
  <c r="U23" i="81"/>
  <c r="U44" i="81" s="1" a="1"/>
  <c r="U44" i="81" s="1"/>
  <c r="U44" i="83"/>
  <c r="U24" i="81"/>
  <c r="U45" i="81" s="1" a="1"/>
  <c r="U45" i="81" s="1"/>
  <c r="U45" i="83"/>
  <c r="E68" i="102"/>
  <c r="E130" i="116"/>
  <c r="E144" i="116" s="1"/>
  <c r="E131" i="116"/>
  <c r="E145" i="116" s="1"/>
  <c r="E151" i="106"/>
  <c r="E67" i="102"/>
  <c r="E57" i="103"/>
  <c r="E192" i="106"/>
  <c r="E588" i="116" s="1"/>
  <c r="E58" i="103"/>
  <c r="I516" i="116" s="1"/>
  <c r="E69" i="102"/>
  <c r="E55" i="103"/>
  <c r="E70" i="102"/>
  <c r="I515" i="116" s="1"/>
  <c r="E56" i="103"/>
  <c r="E55" i="13"/>
  <c r="E54" i="13"/>
  <c r="F67" i="13"/>
  <c r="F68" i="13" s="1"/>
  <c r="G77" i="13"/>
  <c r="G78" i="13" s="1"/>
  <c r="G75" i="13"/>
  <c r="G76" i="13" s="1"/>
  <c r="E29" i="72"/>
  <c r="O126" i="80" l="1" a="1"/>
  <c r="O126" i="80" s="1"/>
  <c r="O65" i="80" a="1"/>
  <c r="O65" i="80" s="1"/>
  <c r="O103" i="80" s="1" a="1"/>
  <c r="O103" i="80" s="1"/>
  <c r="O146" i="80" s="1" a="1"/>
  <c r="O146" i="80" s="1"/>
  <c r="I44" i="90"/>
  <c r="J44" i="90"/>
  <c r="P184" i="89"/>
  <c r="F7" i="13" a="1"/>
  <c r="F7" i="13" s="1"/>
  <c r="G20" i="90"/>
  <c r="E237" i="116" s="1" a="1"/>
  <c r="P50" i="91" a="1"/>
  <c r="Q176" i="80" a="1"/>
  <c r="Q176" i="80" s="1"/>
  <c r="Q213" i="80" a="1"/>
  <c r="Q213" i="80" s="1"/>
  <c r="P126" i="80" a="1"/>
  <c r="P126" i="80" s="1"/>
  <c r="P65" i="80" a="1"/>
  <c r="P65" i="80" s="1"/>
  <c r="P103" i="80" s="1" a="1"/>
  <c r="P103" i="80" s="1"/>
  <c r="P45" i="91" a="1"/>
  <c r="I12" i="90"/>
  <c r="F146" i="80" a="1"/>
  <c r="F146" i="80" s="1"/>
  <c r="J42" i="90"/>
  <c r="I42" i="90"/>
  <c r="F20" i="93" a="1"/>
  <c r="F20" i="93" s="1"/>
  <c r="G20" i="93" a="1"/>
  <c r="N126" i="80" a="1"/>
  <c r="N126" i="80" s="1"/>
  <c r="N65" i="80" a="1"/>
  <c r="N65" i="80" s="1"/>
  <c r="N103" i="80" s="1" a="1"/>
  <c r="N103" i="80" s="1"/>
  <c r="E25" i="94" a="1"/>
  <c r="E305" i="116" a="1"/>
  <c r="E305" i="116" s="1"/>
  <c r="I43" i="90"/>
  <c r="J43" i="90"/>
  <c r="G146" i="80" a="1"/>
  <c r="G146" i="80" s="1"/>
  <c r="G213" i="80" s="1" a="1"/>
  <c r="G213" i="80" s="1"/>
  <c r="H146" i="80" a="1"/>
  <c r="H146" i="80" s="1"/>
  <c r="H176" i="80" s="1" a="1"/>
  <c r="H176" i="80" s="1"/>
  <c r="F176" i="80" a="1"/>
  <c r="F176" i="80" s="1"/>
  <c r="F213" i="80" a="1"/>
  <c r="F213" i="80" s="1"/>
  <c r="E146" i="80" a="1"/>
  <c r="E146" i="80" s="1"/>
  <c r="G176" i="80" a="1"/>
  <c r="G176" i="80" s="1"/>
  <c r="U143" i="83" a="1"/>
  <c r="U143" i="83" s="1"/>
  <c r="U110" i="83" a="1"/>
  <c r="U110" i="83" s="1"/>
  <c r="U80" i="83" a="1"/>
  <c r="U80" i="83" s="1"/>
  <c r="U145" i="83" a="1"/>
  <c r="U145" i="83" s="1"/>
  <c r="U112" i="83" a="1"/>
  <c r="U112" i="83" s="1"/>
  <c r="U82" i="83" a="1"/>
  <c r="U82" i="83" s="1"/>
  <c r="U77" i="83" a="1"/>
  <c r="U77" i="83" s="1"/>
  <c r="U107" i="83" a="1"/>
  <c r="U107" i="83" s="1"/>
  <c r="U140" i="83" a="1"/>
  <c r="U140" i="83" s="1"/>
  <c r="U81" i="83" a="1"/>
  <c r="U81" i="83" s="1"/>
  <c r="U144" i="83" a="1"/>
  <c r="U144" i="83" s="1"/>
  <c r="U111" i="83" a="1"/>
  <c r="U111" i="83" s="1"/>
  <c r="D146" i="80" a="1"/>
  <c r="D146" i="80" s="1"/>
  <c r="U139" i="83" a="1"/>
  <c r="U139" i="83" s="1"/>
  <c r="U76" i="83" a="1"/>
  <c r="U76" i="83" s="1"/>
  <c r="U106" i="83" a="1"/>
  <c r="U106" i="83" s="1"/>
  <c r="U141" i="83" a="1"/>
  <c r="U141" i="83" s="1"/>
  <c r="U108" i="83" a="1"/>
  <c r="U108" i="83" s="1"/>
  <c r="U78" i="83" a="1"/>
  <c r="U78" i="83" s="1"/>
  <c r="E518" i="116" a="1"/>
  <c r="E518" i="116" s="1"/>
  <c r="F75" i="13"/>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4" i="13"/>
  <c r="F83" i="13"/>
  <c r="F71" i="13"/>
  <c r="F79" i="13" s="1"/>
  <c r="F69" i="13"/>
  <c r="F77" i="13" s="1"/>
  <c r="D36" i="13" a="1"/>
  <c r="D36"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7" s="1"/>
  <c r="E188" i="74" a="1"/>
  <c r="E188" i="74" s="1"/>
  <c r="D188" i="74" a="1"/>
  <c r="D188" i="74" s="1"/>
  <c r="H187" i="74" a="1"/>
  <c r="H187" i="74" s="1"/>
  <c r="G187" i="74" a="1"/>
  <c r="G187" i="74" s="1"/>
  <c r="F187" i="74" a="1"/>
  <c r="F187" i="74" s="1"/>
  <c r="W49" i="91" s="1"/>
  <c r="E187" i="74" a="1"/>
  <c r="E187" i="74" s="1"/>
  <c r="D187" i="74" a="1"/>
  <c r="D187" i="74" s="1"/>
  <c r="D181" i="74" a="1"/>
  <c r="D181" i="74" s="1"/>
  <c r="D180" i="74" a="1"/>
  <c r="D180" i="74" s="1"/>
  <c r="D179" i="74" a="1"/>
  <c r="D179" i="74" s="1"/>
  <c r="D178" i="74" a="1"/>
  <c r="D178" i="74" s="1"/>
  <c r="E175" i="74" a="1"/>
  <c r="E175" i="74" s="1"/>
  <c r="D175" i="74" a="1"/>
  <c r="D175" i="74" s="1"/>
  <c r="I222"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96"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W52" i="91" l="1"/>
  <c r="N146" i="80" a="1"/>
  <c r="N146" i="80" s="1"/>
  <c r="I125" i="95"/>
  <c r="G20" i="93"/>
  <c r="I20" i="93" s="1" a="1"/>
  <c r="I20" i="93" s="1"/>
  <c r="I21" i="93" a="1"/>
  <c r="I21" i="93" s="1"/>
  <c r="I22" i="93" a="1"/>
  <c r="I22" i="93" s="1"/>
  <c r="W45" i="91"/>
  <c r="I56" i="96"/>
  <c r="J50" i="95"/>
  <c r="R19" i="84"/>
  <c r="T31" i="84" s="1" a="1"/>
  <c r="T31" i="84" s="1"/>
  <c r="S244" i="80" a="1"/>
  <c r="S244" i="80" s="1"/>
  <c r="S246" i="80" a="1"/>
  <c r="S246" i="80" s="1"/>
  <c r="S249" i="80" a="1"/>
  <c r="S249" i="80" s="1"/>
  <c r="S245" i="80" a="1"/>
  <c r="S245" i="80" s="1"/>
  <c r="S247" i="80" a="1"/>
  <c r="S247" i="80" s="1"/>
  <c r="S248" i="80" a="1"/>
  <c r="S248" i="80" s="1"/>
  <c r="S250" i="80" a="1"/>
  <c r="S250" i="80" s="1"/>
  <c r="S243" i="80" a="1"/>
  <c r="S243" i="80" s="1"/>
  <c r="D164" i="74"/>
  <c r="J15" i="110"/>
  <c r="E28" i="92" a="1"/>
  <c r="E28" i="92" s="1"/>
  <c r="G28" i="92" s="1" a="1"/>
  <c r="G28" i="92" s="1"/>
  <c r="E33" i="92" a="1"/>
  <c r="E33" i="92" s="1"/>
  <c r="G33" i="92" s="1" a="1"/>
  <c r="G33" i="92" s="1"/>
  <c r="E31" i="92" a="1"/>
  <c r="E31" i="92" s="1"/>
  <c r="G31" i="92" s="1" a="1"/>
  <c r="G31" i="92" s="1"/>
  <c r="E21" i="92" a="1"/>
  <c r="E21" i="92" s="1"/>
  <c r="G21" i="92" s="1" a="1"/>
  <c r="G21" i="92" s="1"/>
  <c r="E26" i="92" a="1"/>
  <c r="E26" i="92" s="1"/>
  <c r="G26" i="92" s="1" a="1"/>
  <c r="G26" i="92" s="1"/>
  <c r="E24" i="92" a="1"/>
  <c r="E24" i="92" s="1"/>
  <c r="G24" i="92" s="1" a="1"/>
  <c r="G24" i="92" s="1"/>
  <c r="E29" i="91" a="1"/>
  <c r="E29" i="91" s="1"/>
  <c r="G29" i="91" s="1" a="1"/>
  <c r="G29" i="91" s="1"/>
  <c r="E34" i="91" a="1"/>
  <c r="E34" i="91" s="1"/>
  <c r="G34" i="91" s="1" a="1"/>
  <c r="G34" i="91" s="1"/>
  <c r="E19" i="92" a="1"/>
  <c r="E19" i="92" s="1"/>
  <c r="G19" i="92" s="1" a="1"/>
  <c r="G19" i="92" s="1"/>
  <c r="E33" i="91" a="1"/>
  <c r="E33" i="91" s="1"/>
  <c r="G33" i="91" s="1" a="1"/>
  <c r="G33" i="91" s="1"/>
  <c r="E27" i="92" a="1"/>
  <c r="E27" i="92" s="1"/>
  <c r="G27" i="92" s="1" a="1"/>
  <c r="G27" i="92" s="1"/>
  <c r="E26" i="91" a="1"/>
  <c r="E26" i="91" s="1"/>
  <c r="G26" i="91" s="1" a="1"/>
  <c r="G26" i="91" s="1"/>
  <c r="E21" i="91" a="1"/>
  <c r="E21" i="91" s="1"/>
  <c r="G21" i="91" s="1" a="1"/>
  <c r="G21" i="91" s="1"/>
  <c r="E36" i="92" a="1"/>
  <c r="E36" i="92" s="1"/>
  <c r="G36" i="92" s="1" a="1"/>
  <c r="G36" i="92" s="1"/>
  <c r="E31" i="91" a="1"/>
  <c r="E31" i="91" s="1"/>
  <c r="G31" i="91" s="1" a="1"/>
  <c r="G31" i="91" s="1"/>
  <c r="E27" i="91" a="1"/>
  <c r="E27" i="91" s="1"/>
  <c r="G27" i="91" s="1" a="1"/>
  <c r="G27" i="91" s="1"/>
  <c r="E24" i="91" a="1"/>
  <c r="E24" i="91" s="1"/>
  <c r="G24" i="91" s="1" a="1"/>
  <c r="G24" i="91" s="1"/>
  <c r="E29" i="92" a="1"/>
  <c r="E29" i="92" s="1"/>
  <c r="G29" i="92" s="1" a="1"/>
  <c r="G29" i="92" s="1"/>
  <c r="E34" i="92" a="1"/>
  <c r="E34" i="92" s="1"/>
  <c r="G34" i="92" s="1" a="1"/>
  <c r="G34" i="92" s="1"/>
  <c r="E36" i="91" a="1"/>
  <c r="E36" i="91" s="1"/>
  <c r="G36" i="91" s="1" a="1"/>
  <c r="G36" i="91" s="1"/>
  <c r="E22" i="92" a="1"/>
  <c r="E22" i="92" s="1"/>
  <c r="G22" i="92" s="1" a="1"/>
  <c r="G22" i="92" s="1"/>
  <c r="E25" i="92" a="1"/>
  <c r="E25" i="92" s="1"/>
  <c r="G25" i="92" s="1" a="1"/>
  <c r="G25" i="92" s="1"/>
  <c r="E20" i="92" a="1"/>
  <c r="E20" i="92" s="1"/>
  <c r="G20" i="92" s="1" a="1"/>
  <c r="G20" i="92" s="1"/>
  <c r="E22" i="91" a="1"/>
  <c r="E22" i="91" s="1"/>
  <c r="G22" i="91" s="1" a="1"/>
  <c r="G22" i="91" s="1"/>
  <c r="E30" i="92" a="1"/>
  <c r="E30" i="92" s="1"/>
  <c r="G30" i="92" s="1" a="1"/>
  <c r="G30" i="92" s="1"/>
  <c r="E35" i="91" a="1"/>
  <c r="E35" i="91" s="1"/>
  <c r="G35" i="91" s="1" a="1"/>
  <c r="G35" i="91" s="1"/>
  <c r="E32" i="92" a="1"/>
  <c r="E32" i="92" s="1"/>
  <c r="G32" i="92" s="1" a="1"/>
  <c r="G32" i="92" s="1"/>
  <c r="E32" i="91" a="1"/>
  <c r="E32" i="91" s="1"/>
  <c r="G32" i="91" s="1" a="1"/>
  <c r="G32" i="91" s="1"/>
  <c r="E37" i="91" a="1"/>
  <c r="E37" i="91" s="1"/>
  <c r="G37" i="91" s="1" a="1"/>
  <c r="G37" i="91" s="1"/>
  <c r="E221" i="116" a="1"/>
  <c r="E25" i="91" a="1"/>
  <c r="E25" i="91" s="1"/>
  <c r="G25" i="91" s="1" a="1"/>
  <c r="G25" i="91" s="1"/>
  <c r="E30" i="91" a="1"/>
  <c r="E30" i="91" s="1"/>
  <c r="G30" i="91" s="1" a="1"/>
  <c r="G30" i="91" s="1"/>
  <c r="E23" i="92" a="1"/>
  <c r="E23" i="92" s="1"/>
  <c r="G23" i="92" s="1" a="1"/>
  <c r="G23" i="92" s="1"/>
  <c r="E28" i="91" a="1"/>
  <c r="E28" i="91" s="1"/>
  <c r="G28" i="91" s="1" a="1"/>
  <c r="G28" i="91" s="1"/>
  <c r="E23" i="91" a="1"/>
  <c r="E23" i="91" s="1"/>
  <c r="G23" i="91" s="1" a="1"/>
  <c r="G23" i="91" s="1"/>
  <c r="E19" i="91" a="1"/>
  <c r="E19" i="91" s="1"/>
  <c r="G19" i="91" s="1" a="1"/>
  <c r="G19" i="91" s="1"/>
  <c r="E35" i="92" a="1"/>
  <c r="E35" i="92" s="1"/>
  <c r="G35" i="92" s="1" a="1"/>
  <c r="G35" i="92" s="1"/>
  <c r="E20" i="91" a="1"/>
  <c r="E20" i="91" s="1"/>
  <c r="G20" i="91" s="1" a="1"/>
  <c r="G20" i="91" s="1"/>
  <c r="E37" i="92" a="1"/>
  <c r="E37" i="92" s="1"/>
  <c r="G37" i="92" s="1" a="1"/>
  <c r="G37" i="92" s="1"/>
  <c r="P50" i="91"/>
  <c r="Q52" i="91"/>
  <c r="U52" i="91"/>
  <c r="Q51" i="91"/>
  <c r="U51" i="91"/>
  <c r="I51" i="91"/>
  <c r="I40" i="85"/>
  <c r="I20" i="94"/>
  <c r="J45" i="84"/>
  <c r="J14" i="82"/>
  <c r="I68" i="117"/>
  <c r="H25" i="110"/>
  <c r="I14" i="86"/>
  <c r="U28" i="86" s="1" a="1"/>
  <c r="U28" i="86" s="1"/>
  <c r="P231" i="79"/>
  <c r="P230" i="79"/>
  <c r="P232" i="79"/>
  <c r="P229" i="79"/>
  <c r="U49" i="91"/>
  <c r="U48" i="91"/>
  <c r="U47" i="91"/>
  <c r="P45" i="91"/>
  <c r="U46" i="91"/>
  <c r="Q48" i="91"/>
  <c r="Q49" i="91"/>
  <c r="Q46" i="91"/>
  <c r="Q47" i="91"/>
  <c r="J242" i="116" a="1"/>
  <c r="J242" i="116" s="1"/>
  <c r="J239" i="116" a="1"/>
  <c r="J239" i="116" s="1"/>
  <c r="J245" i="116" a="1"/>
  <c r="J245" i="116" s="1"/>
  <c r="J244" i="116" a="1"/>
  <c r="J244" i="116" s="1"/>
  <c r="J246" i="116" a="1"/>
  <c r="J246" i="116" s="1"/>
  <c r="E237" i="116"/>
  <c r="J238" i="116" a="1"/>
  <c r="J238" i="116" s="1"/>
  <c r="J243" i="116" a="1"/>
  <c r="J243" i="116" s="1"/>
  <c r="J240" i="116" a="1"/>
  <c r="J240" i="116" s="1"/>
  <c r="J241" i="116" a="1"/>
  <c r="J241" i="116" s="1"/>
  <c r="H239" i="116" a="1"/>
  <c r="H239" i="116" s="1"/>
  <c r="H244" i="116" a="1"/>
  <c r="H244" i="116" s="1"/>
  <c r="K238" i="116" a="1"/>
  <c r="K238" i="116" s="1"/>
  <c r="K241" i="116" a="1"/>
  <c r="K241" i="116" s="1"/>
  <c r="K246" i="116" a="1"/>
  <c r="K246" i="116" s="1"/>
  <c r="H246" i="116" a="1"/>
  <c r="H246" i="116" s="1"/>
  <c r="K240" i="116" a="1"/>
  <c r="K240" i="116" s="1"/>
  <c r="H243" i="116" a="1"/>
  <c r="H243" i="116" s="1"/>
  <c r="K239" i="116" a="1"/>
  <c r="K239" i="116" s="1"/>
  <c r="K242" i="116" a="1"/>
  <c r="K242" i="116" s="1"/>
  <c r="H242" i="116" a="1"/>
  <c r="H242" i="116" s="1"/>
  <c r="K245" i="116" a="1"/>
  <c r="K245" i="116" s="1"/>
  <c r="H245" i="116" a="1"/>
  <c r="H245" i="116" s="1"/>
  <c r="H238" i="116" a="1"/>
  <c r="H238" i="116" s="1"/>
  <c r="H241" i="116" a="1"/>
  <c r="H241" i="116" s="1"/>
  <c r="K243" i="116" a="1"/>
  <c r="K243" i="116" s="1"/>
  <c r="H240" i="116" a="1"/>
  <c r="H240" i="116" s="1"/>
  <c r="K244" i="116" a="1"/>
  <c r="K244" i="116" s="1"/>
  <c r="G246" i="116" a="1"/>
  <c r="G246" i="116" s="1"/>
  <c r="G239" i="116" a="1"/>
  <c r="G239" i="116" s="1"/>
  <c r="G245" i="116" a="1"/>
  <c r="G245" i="116" s="1"/>
  <c r="G238" i="116" a="1"/>
  <c r="G238" i="116" s="1"/>
  <c r="G243" i="116" a="1"/>
  <c r="G243" i="116" s="1"/>
  <c r="G241" i="116" a="1"/>
  <c r="G241" i="116" s="1"/>
  <c r="G240" i="116" a="1"/>
  <c r="G240" i="116" s="1"/>
  <c r="G242" i="116" a="1"/>
  <c r="G242" i="116" s="1"/>
  <c r="G244" i="116" a="1"/>
  <c r="G244" i="116" s="1"/>
  <c r="D170" i="74"/>
  <c r="J37" i="110"/>
  <c r="G48" i="85"/>
  <c r="G71" i="81"/>
  <c r="G51" i="110"/>
  <c r="G149" i="95"/>
  <c r="G290" i="80"/>
  <c r="G43" i="109"/>
  <c r="R50" i="86"/>
  <c r="R56" i="84"/>
  <c r="P91" i="91"/>
  <c r="O576" i="116"/>
  <c r="G185" i="89"/>
  <c r="E187" i="89" s="1" a="1"/>
  <c r="E187" i="89" s="1"/>
  <c r="G82" i="95"/>
  <c r="R48" i="85"/>
  <c r="R71" i="81"/>
  <c r="Q51" i="110"/>
  <c r="G97" i="96"/>
  <c r="G50" i="86"/>
  <c r="R303" i="79"/>
  <c r="R55" i="82"/>
  <c r="G303" i="79"/>
  <c r="G55" i="82"/>
  <c r="G576" i="116"/>
  <c r="Q290" i="80"/>
  <c r="G56" i="84"/>
  <c r="P185" i="89"/>
  <c r="N187" i="89" s="1" a="1"/>
  <c r="N187" i="89" s="1"/>
  <c r="G53" i="93"/>
  <c r="Q43" i="109"/>
  <c r="G83" i="91"/>
  <c r="I223" i="79"/>
  <c r="G8" i="87"/>
  <c r="I49" i="117"/>
  <c r="I62" i="81"/>
  <c r="I39" i="85"/>
  <c r="W48" i="91"/>
  <c r="O176" i="80" a="1"/>
  <c r="O176" i="80" s="1"/>
  <c r="O213" i="80" a="1"/>
  <c r="O213" i="80" s="1"/>
  <c r="H305" i="116" a="1"/>
  <c r="H305" i="116" s="1"/>
  <c r="G305" i="116" a="1"/>
  <c r="G305" i="116" s="1"/>
  <c r="F305" i="116" a="1"/>
  <c r="W50" i="91"/>
  <c r="I50" i="91"/>
  <c r="E25" i="94"/>
  <c r="W51" i="91"/>
  <c r="P146" i="80" a="1"/>
  <c r="P146" i="80" s="1"/>
  <c r="H213" i="80" a="1"/>
  <c r="H213" i="80" s="1"/>
  <c r="J245" i="80" s="1" a="1"/>
  <c r="J245" i="80" s="1"/>
  <c r="I246" i="80" a="1"/>
  <c r="I246" i="80" s="1"/>
  <c r="I248" i="80" a="1"/>
  <c r="I248" i="80" s="1"/>
  <c r="I243" i="80" a="1"/>
  <c r="I243" i="80" s="1"/>
  <c r="G19" i="84"/>
  <c r="I31" i="84" s="1" a="1"/>
  <c r="I31" i="84" s="1"/>
  <c r="I244" i="80" a="1"/>
  <c r="I244" i="80" s="1"/>
  <c r="I250" i="80" a="1"/>
  <c r="I250" i="80" s="1"/>
  <c r="I245" i="80" a="1"/>
  <c r="I245" i="80" s="1"/>
  <c r="I247" i="80" a="1"/>
  <c r="I247" i="80" s="1"/>
  <c r="I249" i="80" a="1"/>
  <c r="I249" i="80" s="1"/>
  <c r="J247" i="80" a="1"/>
  <c r="J247" i="80" s="1"/>
  <c r="J246" i="80" a="1"/>
  <c r="J246" i="80" s="1"/>
  <c r="J248" i="80" a="1"/>
  <c r="J248" i="80" s="1"/>
  <c r="J250" i="80" a="1"/>
  <c r="J250" i="80" s="1"/>
  <c r="E176" i="80" a="1"/>
  <c r="E176" i="80" s="1"/>
  <c r="E213" i="80" a="1"/>
  <c r="E213" i="80" s="1"/>
  <c r="H246" i="80" a="1"/>
  <c r="H246" i="80" s="1"/>
  <c r="H247" i="80" a="1"/>
  <c r="H247" i="80" s="1"/>
  <c r="H249" i="80" a="1"/>
  <c r="H249" i="80" s="1"/>
  <c r="H250" i="80" a="1"/>
  <c r="H250" i="80" s="1"/>
  <c r="H248" i="80" a="1"/>
  <c r="H248" i="80" s="1"/>
  <c r="H243" i="80" a="1"/>
  <c r="H243" i="80" s="1"/>
  <c r="H245" i="80" a="1"/>
  <c r="H245" i="80" s="1"/>
  <c r="F19" i="84"/>
  <c r="H31" i="84" s="1" a="1"/>
  <c r="H31" i="84" s="1"/>
  <c r="H244" i="80" a="1"/>
  <c r="H244" i="80" s="1"/>
  <c r="D213" i="80" a="1"/>
  <c r="D213" i="80" s="1"/>
  <c r="D176" i="80" a="1"/>
  <c r="D176" i="80" s="1"/>
  <c r="H7" i="13" a="1"/>
  <c r="H7" i="13" s="1"/>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67" i="13"/>
  <c r="G68" i="13" s="1"/>
  <c r="F70" i="13"/>
  <c r="F78" i="13" s="1"/>
  <c r="H30" i="13"/>
  <c r="F30" i="13"/>
  <c r="I30" i="13" s="1"/>
  <c r="H27" i="13" a="1"/>
  <c r="H27" i="13" s="1"/>
  <c r="F26" i="13"/>
  <c r="I26" i="13" s="1"/>
  <c r="F28" i="13"/>
  <c r="I28" i="13" s="1" a="1"/>
  <c r="I28" i="13" s="1"/>
  <c r="H25" i="13" a="1"/>
  <c r="H25" i="13" s="1"/>
  <c r="E19" i="75"/>
  <c r="E20" i="75"/>
  <c r="E21" i="75" s="1"/>
  <c r="E40" i="13"/>
  <c r="E42" i="13"/>
  <c r="F42" i="13"/>
  <c r="H54" i="74"/>
  <c r="H51" i="74"/>
  <c r="H49" i="74"/>
  <c r="G69" i="13"/>
  <c r="G70" i="13" s="1"/>
  <c r="H53" i="74"/>
  <c r="H48" i="74"/>
  <c r="I51" i="92" s="1"/>
  <c r="H52" i="74"/>
  <c r="H50" i="74"/>
  <c r="J38" i="110" s="1"/>
  <c r="E230" i="79" l="1" a="1"/>
  <c r="E230" i="79" s="1"/>
  <c r="E229" i="79" a="1"/>
  <c r="E229" i="79" s="1"/>
  <c r="E231" i="79" a="1"/>
  <c r="E231" i="79" s="1"/>
  <c r="P228" i="79" a="1"/>
  <c r="P228" i="79" s="1"/>
  <c r="E228" i="79" a="1"/>
  <c r="E228" i="79" s="1"/>
  <c r="E232" i="79" a="1"/>
  <c r="E232" i="79" s="1"/>
  <c r="U29" i="82" a="1"/>
  <c r="U29" i="82" s="1"/>
  <c r="U30" i="82" a="1"/>
  <c r="U30" i="82" s="1"/>
  <c r="J15" i="117"/>
  <c r="E23" i="96"/>
  <c r="F23" i="96" s="1" a="1"/>
  <c r="F23" i="96" s="1"/>
  <c r="E19" i="95"/>
  <c r="H19" i="95" s="1" a="1"/>
  <c r="H19" i="95" s="1"/>
  <c r="E59" i="95" s="1"/>
  <c r="F59" i="95" s="1" a="1"/>
  <c r="F59" i="95" s="1"/>
  <c r="E60" i="91" a="1"/>
  <c r="E60" i="91" s="1"/>
  <c r="E64" i="92" a="1"/>
  <c r="E64" i="92" s="1"/>
  <c r="E75" i="91" a="1"/>
  <c r="E75" i="91" s="1"/>
  <c r="E34" i="95"/>
  <c r="H34" i="95" s="1" a="1"/>
  <c r="H34" i="95" s="1"/>
  <c r="E74" i="95" s="1"/>
  <c r="E38" i="96"/>
  <c r="F38" i="96" s="1" a="1"/>
  <c r="F38" i="96" s="1"/>
  <c r="T21" i="81"/>
  <c r="T42" i="81" s="1" a="1"/>
  <c r="T42" i="81" s="1"/>
  <c r="T42" i="83"/>
  <c r="E62" i="92" a="1"/>
  <c r="E62" i="92" s="1"/>
  <c r="J45" i="86"/>
  <c r="H25" i="94" a="1"/>
  <c r="H25" i="94" s="1"/>
  <c r="E31" i="94" s="1"/>
  <c r="E18" i="13" s="1" a="1"/>
  <c r="E18" i="13" s="1"/>
  <c r="J37" i="109"/>
  <c r="J34" i="109" s="1" a="1"/>
  <c r="J34" i="109" s="1"/>
  <c r="J17" i="117"/>
  <c r="J14" i="117" s="1"/>
  <c r="J46" i="84"/>
  <c r="J44" i="84" s="1"/>
  <c r="U51" i="84" s="1" a="1"/>
  <c r="U51" i="84" s="1"/>
  <c r="K48" i="93"/>
  <c r="K45" i="93" s="1"/>
  <c r="K46" i="93"/>
  <c r="I63" i="81"/>
  <c r="E27" i="96"/>
  <c r="F27" i="96" s="1" a="1"/>
  <c r="F27" i="96" s="1"/>
  <c r="E23" i="95"/>
  <c r="H23" i="95" s="1" a="1"/>
  <c r="H23" i="95" s="1"/>
  <c r="E63" i="95" s="1"/>
  <c r="E64" i="91" a="1"/>
  <c r="E64" i="91" s="1"/>
  <c r="E61" i="92" a="1"/>
  <c r="E61" i="92" s="1"/>
  <c r="E33" i="96"/>
  <c r="F33" i="96" s="1" a="1"/>
  <c r="F33" i="96" s="1"/>
  <c r="E70" i="91" a="1"/>
  <c r="E70" i="91" s="1"/>
  <c r="E29" i="95"/>
  <c r="H29" i="95" s="1" a="1"/>
  <c r="H29" i="95" s="1"/>
  <c r="E69" i="95" s="1"/>
  <c r="T25" i="81"/>
  <c r="T46" i="81" s="1" a="1"/>
  <c r="T46" i="81" s="1"/>
  <c r="S284" i="80" a="1"/>
  <c r="S284" i="80" s="1"/>
  <c r="T46" i="83"/>
  <c r="E28" i="95"/>
  <c r="H28" i="95" s="1" a="1"/>
  <c r="H28" i="95" s="1"/>
  <c r="E68" i="95" s="1"/>
  <c r="F68" i="95" s="1" a="1"/>
  <c r="F68" i="95" s="1"/>
  <c r="E69" i="91" a="1"/>
  <c r="E69" i="91" s="1"/>
  <c r="E32" i="96"/>
  <c r="F32" i="96" s="1" a="1"/>
  <c r="F32" i="96" s="1"/>
  <c r="E77" i="91" a="1"/>
  <c r="E77" i="91" s="1"/>
  <c r="E40" i="96"/>
  <c r="F40" i="96" s="1" a="1"/>
  <c r="F40" i="96" s="1"/>
  <c r="E36" i="95"/>
  <c r="H36" i="95" s="1" a="1"/>
  <c r="H36" i="95" s="1"/>
  <c r="E76" i="95" s="1"/>
  <c r="E63" i="92" a="1"/>
  <c r="E63" i="92" s="1"/>
  <c r="T22" i="81"/>
  <c r="T43" i="81" s="1" a="1"/>
  <c r="T43" i="81" s="1"/>
  <c r="T23" i="82"/>
  <c r="T29" i="82" s="1" a="1"/>
  <c r="T29" i="82" s="1"/>
  <c r="T43" i="83"/>
  <c r="E73" i="92" a="1"/>
  <c r="E73" i="92" s="1"/>
  <c r="E65" i="92" a="1"/>
  <c r="E65" i="92" s="1"/>
  <c r="S279" i="80" a="1"/>
  <c r="S279" i="80" s="1"/>
  <c r="T20" i="81"/>
  <c r="T41" i="81" s="1" a="1"/>
  <c r="T41" i="81" s="1"/>
  <c r="T41" i="83"/>
  <c r="H29" i="94" a="1"/>
  <c r="H29" i="94" s="1"/>
  <c r="H28" i="94" a="1"/>
  <c r="H28" i="94" s="1"/>
  <c r="E68" i="92" a="1"/>
  <c r="E68" i="92" s="1"/>
  <c r="E60" i="92" a="1"/>
  <c r="E60" i="92" s="1"/>
  <c r="T23" i="86"/>
  <c r="T28" i="86" s="1" a="1"/>
  <c r="T28" i="86" s="1"/>
  <c r="T19" i="85"/>
  <c r="T24" i="85" s="1" a="1"/>
  <c r="T24" i="85" s="1"/>
  <c r="F305" i="116"/>
  <c r="J310" i="116" a="1"/>
  <c r="J310" i="116" s="1"/>
  <c r="I311" i="116" a="1"/>
  <c r="I311" i="116" s="1"/>
  <c r="J306" i="116" a="1"/>
  <c r="J306" i="116" s="1"/>
  <c r="J311" i="116" a="1"/>
  <c r="J311" i="116" s="1"/>
  <c r="I307" i="116" a="1"/>
  <c r="I307" i="116" s="1"/>
  <c r="J309" i="116" a="1"/>
  <c r="J309" i="116" s="1"/>
  <c r="I308" i="116" a="1"/>
  <c r="I308" i="116" s="1"/>
  <c r="J314" i="116" a="1"/>
  <c r="J314" i="116" s="1"/>
  <c r="I310" i="116" a="1"/>
  <c r="I310" i="116" s="1"/>
  <c r="J308" i="116" a="1"/>
  <c r="J308" i="116" s="1"/>
  <c r="I312" i="116" a="1"/>
  <c r="I312" i="116" s="1"/>
  <c r="I306" i="116" a="1"/>
  <c r="I306" i="116" s="1"/>
  <c r="I309" i="116" a="1"/>
  <c r="I309" i="116" s="1"/>
  <c r="I314" i="116" a="1"/>
  <c r="I314" i="116" s="1"/>
  <c r="J312" i="116" a="1"/>
  <c r="J312" i="116" s="1"/>
  <c r="I313" i="116" a="1"/>
  <c r="I313" i="116" s="1"/>
  <c r="J313" i="116" a="1"/>
  <c r="J313" i="116" s="1"/>
  <c r="J307" i="116" a="1"/>
  <c r="J307" i="116" s="1"/>
  <c r="S69" i="91"/>
  <c r="E70" i="92" a="1"/>
  <c r="E70" i="92" s="1"/>
  <c r="Q45" i="91"/>
  <c r="U45" i="91"/>
  <c r="J51" i="95"/>
  <c r="E65" i="91" a="1"/>
  <c r="E65" i="91" s="1"/>
  <c r="E28" i="96"/>
  <c r="F28" i="96" s="1" a="1"/>
  <c r="F28" i="96" s="1"/>
  <c r="E24" i="95"/>
  <c r="H24" i="95" s="1" a="1"/>
  <c r="H24" i="95" s="1"/>
  <c r="E64" i="95" s="1"/>
  <c r="F64" i="95" s="1" a="1"/>
  <c r="F64" i="95" s="1"/>
  <c r="E68" i="91" a="1"/>
  <c r="E68" i="91" s="1"/>
  <c r="E31" i="96"/>
  <c r="F31" i="96" s="1" a="1"/>
  <c r="F31" i="96" s="1"/>
  <c r="E27" i="95"/>
  <c r="H27" i="95" s="1" a="1"/>
  <c r="H27" i="95" s="1"/>
  <c r="E67" i="95" s="1"/>
  <c r="F67" i="95" s="1" a="1"/>
  <c r="F67" i="95" s="1"/>
  <c r="E72" i="92" a="1"/>
  <c r="E72" i="92" s="1"/>
  <c r="F71" i="96" a="1"/>
  <c r="F71" i="96" s="1"/>
  <c r="F74" i="96" a="1"/>
  <c r="F74" i="96" s="1"/>
  <c r="F70" i="96" a="1"/>
  <c r="F70" i="96" s="1"/>
  <c r="F69" i="96" a="1"/>
  <c r="F69" i="96" s="1"/>
  <c r="F68" i="96" a="1"/>
  <c r="F68" i="96" s="1"/>
  <c r="F75" i="96" a="1"/>
  <c r="F75" i="96" s="1"/>
  <c r="F72" i="96" a="1"/>
  <c r="F72" i="96" s="1"/>
  <c r="F73" i="96" a="1"/>
  <c r="F73" i="96" s="1"/>
  <c r="J244" i="80" a="1"/>
  <c r="J244" i="80" s="1"/>
  <c r="P19" i="84"/>
  <c r="R31" i="84" s="1" a="1"/>
  <c r="R31" i="84" s="1"/>
  <c r="Q248" i="80" a="1"/>
  <c r="Q248" i="80" s="1"/>
  <c r="Q249" i="80" a="1"/>
  <c r="Q249" i="80" s="1"/>
  <c r="Q246" i="80" a="1"/>
  <c r="Q246" i="80" s="1"/>
  <c r="Q247" i="80" a="1"/>
  <c r="Q247" i="80" s="1"/>
  <c r="Q245" i="80" a="1"/>
  <c r="Q245" i="80" s="1"/>
  <c r="Q243" i="80" a="1"/>
  <c r="Q243" i="80" s="1"/>
  <c r="Q244" i="80" a="1"/>
  <c r="Q244" i="80" s="1"/>
  <c r="Q250" i="80" a="1"/>
  <c r="Q250" i="80" s="1"/>
  <c r="E78" i="91" a="1"/>
  <c r="E78" i="91" s="1"/>
  <c r="E37" i="95"/>
  <c r="H37" i="95" s="1" a="1"/>
  <c r="H37" i="95" s="1"/>
  <c r="E77" i="95" s="1"/>
  <c r="F77" i="95" s="1" a="1"/>
  <c r="F77" i="95" s="1"/>
  <c r="E41" i="96"/>
  <c r="F41" i="96" s="1" a="1"/>
  <c r="F41" i="96" s="1"/>
  <c r="E72" i="91" a="1"/>
  <c r="E72" i="91" s="1"/>
  <c r="E35" i="96"/>
  <c r="F35" i="96" s="1" a="1"/>
  <c r="F35" i="96" s="1"/>
  <c r="E31" i="95"/>
  <c r="H31" i="95" s="1" a="1"/>
  <c r="H31" i="95" s="1"/>
  <c r="E71" i="95" s="1"/>
  <c r="F71" i="95" s="1" a="1"/>
  <c r="F71" i="95" s="1"/>
  <c r="E67" i="92" a="1"/>
  <c r="E67" i="92" s="1"/>
  <c r="E34" i="96"/>
  <c r="F34" i="96" s="1" a="1"/>
  <c r="F34" i="96" s="1"/>
  <c r="E30" i="95"/>
  <c r="H30" i="95" s="1" a="1"/>
  <c r="H30" i="95" s="1"/>
  <c r="E70" i="95" s="1"/>
  <c r="F70" i="95" s="1" a="1"/>
  <c r="F70" i="95" s="1"/>
  <c r="E71" i="91" a="1"/>
  <c r="E71" i="91" s="1"/>
  <c r="I126" i="95"/>
  <c r="F144" i="95" s="1" a="1"/>
  <c r="F144" i="95" s="1"/>
  <c r="I50" i="117"/>
  <c r="E55" i="117" s="1" a="1"/>
  <c r="E55" i="117" s="1"/>
  <c r="J570" i="116" s="1"/>
  <c r="J237" i="116" a="1"/>
  <c r="J237" i="116" s="1"/>
  <c r="K237" i="116" a="1"/>
  <c r="K237" i="116" s="1"/>
  <c r="H237" i="116" a="1"/>
  <c r="H237" i="116" s="1"/>
  <c r="G237" i="116" a="1"/>
  <c r="G237" i="116" s="1"/>
  <c r="J92" i="96"/>
  <c r="H224" i="116" a="1"/>
  <c r="H224" i="116" s="1"/>
  <c r="K225" i="116" a="1"/>
  <c r="K225" i="116" s="1"/>
  <c r="H229" i="116" a="1"/>
  <c r="H229" i="116" s="1"/>
  <c r="K223" i="116" a="1"/>
  <c r="K223" i="116" s="1"/>
  <c r="H226" i="116" a="1"/>
  <c r="H226" i="116" s="1"/>
  <c r="H225" i="116" a="1"/>
  <c r="H225" i="116" s="1"/>
  <c r="J223" i="116" a="1"/>
  <c r="J223" i="116" s="1"/>
  <c r="H227" i="116" a="1"/>
  <c r="H227" i="116" s="1"/>
  <c r="G230" i="116" a="1"/>
  <c r="G230" i="116" s="1"/>
  <c r="H223" i="116" a="1"/>
  <c r="H223" i="116" s="1"/>
  <c r="K226" i="116" a="1"/>
  <c r="K226" i="116" s="1"/>
  <c r="H222" i="116" a="1"/>
  <c r="H222" i="116" s="1"/>
  <c r="J225" i="116" a="1"/>
  <c r="J225" i="116" s="1"/>
  <c r="J230" i="116" a="1"/>
  <c r="J230" i="116" s="1"/>
  <c r="K224" i="116" a="1"/>
  <c r="K224" i="116" s="1"/>
  <c r="H230" i="116" a="1"/>
  <c r="H230" i="116" s="1"/>
  <c r="K222" i="116" a="1"/>
  <c r="K222" i="116" s="1"/>
  <c r="H228" i="116" a="1"/>
  <c r="H228" i="116" s="1"/>
  <c r="G226" i="116" a="1"/>
  <c r="G226" i="116" s="1"/>
  <c r="J226" i="116" a="1"/>
  <c r="J226" i="116" s="1"/>
  <c r="G227" i="116" a="1"/>
  <c r="G227" i="116" s="1"/>
  <c r="J228" i="116" a="1"/>
  <c r="J228" i="116" s="1"/>
  <c r="G225" i="116" a="1"/>
  <c r="G225" i="116" s="1"/>
  <c r="K228" i="116" a="1"/>
  <c r="K228" i="116" s="1"/>
  <c r="J222" i="116" a="1"/>
  <c r="J222" i="116" s="1"/>
  <c r="J229" i="116" a="1"/>
  <c r="J229" i="116" s="1"/>
  <c r="K227" i="116" a="1"/>
  <c r="K227" i="116" s="1"/>
  <c r="J227" i="116" a="1"/>
  <c r="J227" i="116" s="1"/>
  <c r="G228" i="116" a="1"/>
  <c r="G228" i="116" s="1"/>
  <c r="E221" i="116"/>
  <c r="G223" i="116" a="1"/>
  <c r="G223" i="116" s="1"/>
  <c r="J224" i="116" a="1"/>
  <c r="J224" i="116" s="1"/>
  <c r="K229" i="116" a="1"/>
  <c r="K229" i="116" s="1"/>
  <c r="K230" i="116" a="1"/>
  <c r="K230" i="116" s="1"/>
  <c r="G224" i="116" a="1"/>
  <c r="G224" i="116" s="1"/>
  <c r="G222" i="116" a="1"/>
  <c r="G222" i="116" s="1"/>
  <c r="G229" i="116" a="1"/>
  <c r="G229" i="116" s="1"/>
  <c r="U242" i="79" a="1"/>
  <c r="U242" i="79" s="1"/>
  <c r="U295" i="79" s="1" a="1"/>
  <c r="U295" i="79" s="1"/>
  <c r="U238" i="79" a="1"/>
  <c r="U238" i="79" s="1"/>
  <c r="U291" i="79" s="1" a="1"/>
  <c r="U291" i="79" s="1"/>
  <c r="T238" i="79" a="1"/>
  <c r="T238" i="79" s="1"/>
  <c r="T291" i="79" s="1" a="1"/>
  <c r="T291" i="79" s="1"/>
  <c r="T242" i="79" a="1"/>
  <c r="T242" i="79" s="1"/>
  <c r="T295" i="79" s="1" a="1"/>
  <c r="T295" i="79" s="1"/>
  <c r="S238" i="79" a="1"/>
  <c r="S238" i="79" s="1"/>
  <c r="S291" i="79" s="1" a="1"/>
  <c r="S291" i="79" s="1"/>
  <c r="S242" i="79" a="1"/>
  <c r="S242" i="79" s="1"/>
  <c r="S295" i="79" s="1" a="1"/>
  <c r="S295" i="79" s="1"/>
  <c r="R238" i="79" a="1"/>
  <c r="R238" i="79" s="1"/>
  <c r="R291" i="79" s="1" a="1"/>
  <c r="R291" i="79" s="1"/>
  <c r="Q242" i="79" a="1"/>
  <c r="Q242" i="79" s="1"/>
  <c r="Q295" i="79" s="1" a="1"/>
  <c r="Q295" i="79" s="1"/>
  <c r="R242" i="79" a="1"/>
  <c r="R242" i="79" s="1"/>
  <c r="R295" i="79" s="1" a="1"/>
  <c r="R295" i="79" s="1"/>
  <c r="Q238" i="79" a="1"/>
  <c r="Q238" i="79" s="1"/>
  <c r="Q291" i="79" s="1" a="1"/>
  <c r="Q291" i="79" s="1"/>
  <c r="H19" i="84"/>
  <c r="J31" i="84" s="1" a="1"/>
  <c r="J31" i="84" s="1"/>
  <c r="T241" i="79" a="1"/>
  <c r="T241" i="79" s="1"/>
  <c r="T294" i="79" s="1" a="1"/>
  <c r="T294" i="79" s="1"/>
  <c r="U245" i="79" a="1"/>
  <c r="U245" i="79" s="1"/>
  <c r="U298" i="79" s="1" a="1"/>
  <c r="U298" i="79" s="1"/>
  <c r="U241" i="79" a="1"/>
  <c r="U241" i="79" s="1"/>
  <c r="U294" i="79" s="1" a="1"/>
  <c r="U294" i="79" s="1"/>
  <c r="T245" i="79" a="1"/>
  <c r="T245" i="79" s="1"/>
  <c r="T298" i="79" s="1" a="1"/>
  <c r="T298" i="79" s="1"/>
  <c r="S245" i="79" a="1"/>
  <c r="S245" i="79" s="1"/>
  <c r="S298" i="79" s="1" a="1"/>
  <c r="S298" i="79" s="1"/>
  <c r="S241" i="79" a="1"/>
  <c r="S241" i="79" s="1"/>
  <c r="S294" i="79" s="1" a="1"/>
  <c r="S294" i="79" s="1"/>
  <c r="R241" i="79" a="1"/>
  <c r="R241" i="79" s="1"/>
  <c r="R294" i="79" s="1" a="1"/>
  <c r="R294" i="79" s="1"/>
  <c r="Q245" i="79" a="1"/>
  <c r="Q245" i="79" s="1"/>
  <c r="Q298" i="79" s="1" a="1"/>
  <c r="Q298" i="79" s="1"/>
  <c r="R245" i="79" a="1"/>
  <c r="R245" i="79" s="1"/>
  <c r="R298" i="79" s="1" a="1"/>
  <c r="R298" i="79" s="1"/>
  <c r="Q241" i="79" a="1"/>
  <c r="Q241" i="79" s="1"/>
  <c r="Q294" i="79" s="1" a="1"/>
  <c r="Q294" i="79" s="1"/>
  <c r="J88" i="117"/>
  <c r="E73" i="91" a="1"/>
  <c r="E73" i="91" s="1"/>
  <c r="E32" i="95"/>
  <c r="H32" i="95" s="1" a="1"/>
  <c r="H32" i="95" s="1"/>
  <c r="E72" i="95" s="1"/>
  <c r="F72" i="95" s="1" a="1"/>
  <c r="F72" i="95" s="1"/>
  <c r="E36" i="96"/>
  <c r="F36" i="96" s="1" a="1"/>
  <c r="F36" i="96" s="1"/>
  <c r="E75" i="92" a="1"/>
  <c r="E75" i="92" s="1"/>
  <c r="E104" i="95"/>
  <c r="F104" i="95" s="1" a="1"/>
  <c r="F104" i="95" s="1"/>
  <c r="E136" i="95" s="1"/>
  <c r="F136" i="95" s="1" a="1"/>
  <c r="F136" i="95" s="1"/>
  <c r="E67" i="96"/>
  <c r="F67" i="96" s="1" a="1"/>
  <c r="F67" i="96" s="1"/>
  <c r="E25" i="95"/>
  <c r="H25" i="95" s="1" a="1"/>
  <c r="H25" i="95" s="1"/>
  <c r="E65" i="95" s="1"/>
  <c r="F65" i="95" s="1" a="1"/>
  <c r="F65" i="95" s="1"/>
  <c r="E66" i="91" a="1"/>
  <c r="E66" i="91" s="1"/>
  <c r="E29" i="96"/>
  <c r="F29" i="96" s="1" a="1"/>
  <c r="F29" i="96" s="1"/>
  <c r="I44" i="82"/>
  <c r="E62" i="91" a="1"/>
  <c r="E62" i="91" s="1"/>
  <c r="E21" i="95"/>
  <c r="H21" i="95" s="1" a="1"/>
  <c r="H21" i="95" s="1"/>
  <c r="E61" i="95" s="1"/>
  <c r="F61" i="95" s="1" a="1"/>
  <c r="F61" i="95" s="1"/>
  <c r="E25" i="96"/>
  <c r="F25" i="96" s="1" a="1"/>
  <c r="F25" i="96" s="1"/>
  <c r="E103" i="95"/>
  <c r="F103" i="95" s="1" a="1"/>
  <c r="F103" i="95" s="1"/>
  <c r="E135" i="95" s="1"/>
  <c r="E66" i="96"/>
  <c r="F66" i="96" s="1" a="1"/>
  <c r="F66" i="96" s="1"/>
  <c r="U239" i="79" a="1"/>
  <c r="U239" i="79" s="1"/>
  <c r="U292" i="79" s="1" a="1"/>
  <c r="U292" i="79" s="1"/>
  <c r="U243" i="79" a="1"/>
  <c r="U243" i="79" s="1"/>
  <c r="U296" i="79" s="1" a="1"/>
  <c r="U296" i="79" s="1"/>
  <c r="T243" i="79" a="1"/>
  <c r="T243" i="79" s="1"/>
  <c r="T296" i="79" s="1" a="1"/>
  <c r="T296" i="79" s="1"/>
  <c r="T239" i="79" a="1"/>
  <c r="T239" i="79" s="1"/>
  <c r="T292" i="79" s="1" a="1"/>
  <c r="T292" i="79" s="1"/>
  <c r="R239" i="79" a="1"/>
  <c r="R239" i="79" s="1"/>
  <c r="R292" i="79" s="1" a="1"/>
  <c r="R292" i="79" s="1"/>
  <c r="R243" i="79" a="1"/>
  <c r="R243" i="79" s="1"/>
  <c r="R296" i="79" s="1" a="1"/>
  <c r="R296" i="79" s="1"/>
  <c r="S243" i="79" a="1"/>
  <c r="S243" i="79" s="1"/>
  <c r="S296" i="79" s="1" a="1"/>
  <c r="S296" i="79" s="1"/>
  <c r="Q243" i="79" a="1"/>
  <c r="Q243" i="79" s="1"/>
  <c r="Q296" i="79" s="1" a="1"/>
  <c r="Q296" i="79" s="1"/>
  <c r="S239" i="79" a="1"/>
  <c r="S239" i="79" s="1"/>
  <c r="S292" i="79" s="1" a="1"/>
  <c r="S292" i="79" s="1"/>
  <c r="Q239" i="79" a="1"/>
  <c r="Q239" i="79" s="1"/>
  <c r="Q292" i="79" s="1" a="1"/>
  <c r="Q292" i="79" s="1"/>
  <c r="E71" i="92" a="1"/>
  <c r="E71" i="92" s="1"/>
  <c r="J243" i="80" a="1"/>
  <c r="J243" i="80" s="1"/>
  <c r="P176" i="80" a="1"/>
  <c r="P176" i="80" s="1"/>
  <c r="P213" i="80" a="1"/>
  <c r="P213" i="80" s="1"/>
  <c r="U240" i="79" a="1"/>
  <c r="U240" i="79" s="1"/>
  <c r="U293" i="79" s="1" a="1"/>
  <c r="U293" i="79" s="1"/>
  <c r="U244" i="79" a="1"/>
  <c r="U244" i="79" s="1"/>
  <c r="U297" i="79" s="1" a="1"/>
  <c r="U297" i="79" s="1"/>
  <c r="T244" i="79" a="1"/>
  <c r="T244" i="79" s="1"/>
  <c r="T297" i="79" s="1" a="1"/>
  <c r="T297" i="79" s="1"/>
  <c r="T240" i="79" a="1"/>
  <c r="T240" i="79" s="1"/>
  <c r="T293" i="79" s="1" a="1"/>
  <c r="T293" i="79" s="1"/>
  <c r="Q244" i="79" a="1"/>
  <c r="Q244" i="79" s="1"/>
  <c r="Q297" i="79" s="1" a="1"/>
  <c r="Q297" i="79" s="1"/>
  <c r="R244" i="79" a="1"/>
  <c r="R244" i="79" s="1"/>
  <c r="R297" i="79" s="1" a="1"/>
  <c r="R297" i="79" s="1"/>
  <c r="Q240" i="79" a="1"/>
  <c r="Q240" i="79" s="1"/>
  <c r="Q293" i="79" s="1" a="1"/>
  <c r="Q293" i="79" s="1"/>
  <c r="S244" i="79" a="1"/>
  <c r="S244" i="79" s="1"/>
  <c r="S297" i="79" s="1" a="1"/>
  <c r="S297" i="79" s="1"/>
  <c r="S240" i="79" a="1"/>
  <c r="S240" i="79" s="1"/>
  <c r="S293" i="79" s="1" a="1"/>
  <c r="S293" i="79" s="1"/>
  <c r="R240" i="79" a="1"/>
  <c r="R240" i="79" s="1"/>
  <c r="R293" i="79" s="1" a="1"/>
  <c r="R293" i="79" s="1"/>
  <c r="I264" i="80"/>
  <c r="S280" i="80" s="1" a="1"/>
  <c r="S280" i="80" s="1"/>
  <c r="Q50" i="91"/>
  <c r="U50" i="91"/>
  <c r="E76" i="91" a="1"/>
  <c r="E76" i="91" s="1"/>
  <c r="E35" i="95"/>
  <c r="H35" i="95" s="1" a="1"/>
  <c r="H35" i="95" s="1"/>
  <c r="E75" i="95" s="1"/>
  <c r="F75" i="95" s="1" a="1"/>
  <c r="F75" i="95" s="1"/>
  <c r="E39" i="96"/>
  <c r="F39" i="96" s="1" a="1"/>
  <c r="F39" i="96" s="1"/>
  <c r="E67" i="91" a="1"/>
  <c r="E67" i="91" s="1"/>
  <c r="E26" i="95"/>
  <c r="H26" i="95" s="1" a="1"/>
  <c r="H26" i="95" s="1"/>
  <c r="E66" i="95" s="1"/>
  <c r="F66" i="95" s="1" a="1"/>
  <c r="F66" i="95" s="1"/>
  <c r="E30" i="96"/>
  <c r="F30" i="96" s="1" a="1"/>
  <c r="F30" i="96" s="1"/>
  <c r="S278" i="80" a="1"/>
  <c r="S278" i="80" s="1"/>
  <c r="T19" i="81"/>
  <c r="T40" i="81" s="1" a="1"/>
  <c r="T40" i="81" s="1"/>
  <c r="T40" i="83"/>
  <c r="E102" i="95"/>
  <c r="F102" i="95" s="1" a="1"/>
  <c r="F102" i="95" s="1"/>
  <c r="E134" i="95" s="1"/>
  <c r="E32" i="93"/>
  <c r="K44" i="93" s="1"/>
  <c r="E50" i="93" s="1" a="1"/>
  <c r="E50" i="93" s="1"/>
  <c r="E65" i="96"/>
  <c r="F65" i="96" s="1" a="1"/>
  <c r="F65" i="96" s="1"/>
  <c r="I53" i="117"/>
  <c r="J54" i="95"/>
  <c r="I55" i="91"/>
  <c r="I66" i="81"/>
  <c r="S74" i="91"/>
  <c r="S68" i="91" s="1" a="1"/>
  <c r="S68" i="91" s="1"/>
  <c r="I129" i="95"/>
  <c r="I43" i="85"/>
  <c r="E76" i="92" a="1"/>
  <c r="E76" i="92" s="1"/>
  <c r="E69" i="92" a="1"/>
  <c r="E69" i="92" s="1"/>
  <c r="E66" i="92" a="1"/>
  <c r="E66" i="92" s="1"/>
  <c r="T47" i="83"/>
  <c r="S285" i="80" a="1"/>
  <c r="S285" i="80" s="1"/>
  <c r="T24" i="82"/>
  <c r="T30" i="82" s="1" a="1"/>
  <c r="T30" i="82" s="1"/>
  <c r="T26" i="81"/>
  <c r="T47" i="81" s="1" a="1"/>
  <c r="T47" i="81" s="1"/>
  <c r="F143" i="95" a="1"/>
  <c r="F143" i="95" s="1"/>
  <c r="F142" i="95" a="1"/>
  <c r="F142" i="95" s="1"/>
  <c r="O55" i="117" a="1"/>
  <c r="O55" i="117" s="1"/>
  <c r="R570" i="116" s="1"/>
  <c r="I25" i="110" a="1"/>
  <c r="I25" i="110" s="1"/>
  <c r="D46" i="110" s="1"/>
  <c r="E46" i="110" s="1" a="1"/>
  <c r="E46" i="110" s="1"/>
  <c r="E48" i="110" s="1"/>
  <c r="S25" i="110" a="1"/>
  <c r="S25" i="110" s="1"/>
  <c r="N46" i="110" s="1"/>
  <c r="O46" i="110" s="1" a="1"/>
  <c r="O46" i="110" s="1"/>
  <c r="O48" i="110" s="1"/>
  <c r="J35" i="109"/>
  <c r="E61" i="91" a="1"/>
  <c r="E61" i="91" s="1"/>
  <c r="E20" i="95"/>
  <c r="H20" i="95" s="1" a="1"/>
  <c r="H20" i="95" s="1"/>
  <c r="E60" i="95" s="1"/>
  <c r="F60" i="95" s="1" a="1"/>
  <c r="F60" i="95" s="1"/>
  <c r="E24" i="96"/>
  <c r="F24" i="96" s="1" a="1"/>
  <c r="F24" i="96" s="1"/>
  <c r="E63" i="91" a="1"/>
  <c r="E63" i="91" s="1"/>
  <c r="E26" i="96"/>
  <c r="F26" i="96" s="1" a="1"/>
  <c r="F26" i="96" s="1"/>
  <c r="E22" i="95"/>
  <c r="H22" i="95" s="1" a="1"/>
  <c r="H22" i="95" s="1"/>
  <c r="E62" i="95" s="1"/>
  <c r="F62" i="95" s="1" a="1"/>
  <c r="F62" i="95" s="1"/>
  <c r="E74" i="91" a="1"/>
  <c r="E74" i="91" s="1"/>
  <c r="E37" i="96"/>
  <c r="F37" i="96" s="1" a="1"/>
  <c r="F37" i="96" s="1"/>
  <c r="E33" i="95"/>
  <c r="H33" i="95" s="1" a="1"/>
  <c r="H33" i="95" s="1"/>
  <c r="E73" i="95" s="1"/>
  <c r="F73" i="95" s="1" a="1"/>
  <c r="F73" i="95" s="1"/>
  <c r="S283" i="80" a="1"/>
  <c r="S283" i="80" s="1"/>
  <c r="T24" i="81"/>
  <c r="T45" i="81" s="1" a="1"/>
  <c r="T45" i="81" s="1"/>
  <c r="T45" i="83"/>
  <c r="N176" i="80" a="1"/>
  <c r="N176" i="80" s="1"/>
  <c r="N213" i="80" a="1"/>
  <c r="N213" i="80" s="1"/>
  <c r="H27" i="94" a="1"/>
  <c r="H27" i="94" s="1"/>
  <c r="J249" i="80" a="1"/>
  <c r="J249" i="80" s="1"/>
  <c r="H26" i="94" a="1"/>
  <c r="H26" i="94" s="1"/>
  <c r="E74" i="117" a="1"/>
  <c r="E74" i="117" s="1"/>
  <c r="J86" i="117" s="1"/>
  <c r="E90" i="117" s="1" a="1"/>
  <c r="E90" i="117" s="1"/>
  <c r="J571" i="116" s="1"/>
  <c r="O74" i="117" a="1"/>
  <c r="O74" i="117" s="1"/>
  <c r="T86" i="117" s="1"/>
  <c r="O90" i="117" s="1" a="1"/>
  <c r="O90" i="117" s="1"/>
  <c r="R571" i="116" s="1"/>
  <c r="E74" i="92" a="1"/>
  <c r="E74" i="92" s="1"/>
  <c r="E59" i="92" a="1"/>
  <c r="E59" i="92" s="1"/>
  <c r="E58" i="92" a="1"/>
  <c r="E58" i="92" s="1"/>
  <c r="T23" i="81"/>
  <c r="T44" i="81" s="1" a="1"/>
  <c r="T44" i="81" s="1"/>
  <c r="T44" i="83"/>
  <c r="S282" i="80" a="1"/>
  <c r="S282" i="80" s="1"/>
  <c r="J19" i="81"/>
  <c r="J40" i="81" s="1" a="1"/>
  <c r="J40" i="81" s="1"/>
  <c r="J40" i="83"/>
  <c r="H278" i="80" a="1"/>
  <c r="H278" i="80" s="1"/>
  <c r="H19" i="81"/>
  <c r="H40" i="81" s="1" a="1"/>
  <c r="H40" i="81" s="1"/>
  <c r="H40" i="83"/>
  <c r="J281" i="80" a="1"/>
  <c r="J281" i="80" s="1"/>
  <c r="J22" i="81"/>
  <c r="J43" i="81" s="1" a="1"/>
  <c r="J43" i="81" s="1"/>
  <c r="J23" i="82"/>
  <c r="J29" i="82" s="1" a="1"/>
  <c r="J29" i="82" s="1"/>
  <c r="J43" i="83"/>
  <c r="H283" i="80" a="1"/>
  <c r="H283" i="80" s="1"/>
  <c r="H24" i="81"/>
  <c r="H45" i="81" s="1" a="1"/>
  <c r="H45" i="81" s="1"/>
  <c r="H45" i="83"/>
  <c r="J44" i="83"/>
  <c r="J23" i="81"/>
  <c r="J44" i="81" s="1" a="1"/>
  <c r="J44" i="81" s="1"/>
  <c r="H21" i="81"/>
  <c r="H42" i="81" s="1" a="1"/>
  <c r="H42" i="81" s="1"/>
  <c r="H42" i="83"/>
  <c r="J280" i="80" a="1"/>
  <c r="J280" i="80" s="1"/>
  <c r="J21" i="81"/>
  <c r="J42" i="81" s="1" a="1"/>
  <c r="J42" i="81" s="1"/>
  <c r="J42" i="83"/>
  <c r="H26" i="81"/>
  <c r="H47" i="81" s="1" a="1"/>
  <c r="H47" i="81" s="1"/>
  <c r="H24" i="82"/>
  <c r="H30" i="82" s="1" a="1"/>
  <c r="H30" i="82" s="1"/>
  <c r="H47" i="83"/>
  <c r="H285" i="80" a="1"/>
  <c r="H285" i="80" s="1"/>
  <c r="J25" i="81"/>
  <c r="J46" i="81" s="1" a="1"/>
  <c r="J46" i="81" s="1"/>
  <c r="J46" i="83"/>
  <c r="H284" i="80" a="1"/>
  <c r="H284" i="80" s="1"/>
  <c r="H46" i="83"/>
  <c r="H25" i="81"/>
  <c r="H46" i="81" s="1" a="1"/>
  <c r="H46" i="81" s="1"/>
  <c r="I46" i="83"/>
  <c r="I25" i="81"/>
  <c r="I46" i="81" s="1" a="1"/>
  <c r="I46" i="81" s="1"/>
  <c r="I282" i="80" a="1"/>
  <c r="I282" i="80" s="1"/>
  <c r="I44" i="83"/>
  <c r="I23" i="81"/>
  <c r="I44" i="81" s="1" a="1"/>
  <c r="I44" i="81" s="1"/>
  <c r="H281" i="80" a="1"/>
  <c r="H281" i="80" s="1"/>
  <c r="H43" i="83"/>
  <c r="H22" i="81"/>
  <c r="H43" i="81" s="1" a="1"/>
  <c r="H43" i="81" s="1"/>
  <c r="H23" i="82"/>
  <c r="H29" i="82" s="1" a="1"/>
  <c r="H29" i="82" s="1"/>
  <c r="I21" i="81"/>
  <c r="I42" i="81" s="1" a="1"/>
  <c r="I42" i="81" s="1"/>
  <c r="I42" i="83"/>
  <c r="I280" i="80" a="1"/>
  <c r="I280" i="80" s="1"/>
  <c r="H23" i="86"/>
  <c r="H28" i="86" s="1" a="1"/>
  <c r="H28" i="86" s="1"/>
  <c r="H19" i="85"/>
  <c r="H24" i="85" s="1" a="1"/>
  <c r="H24" i="85" s="1"/>
  <c r="I285" i="80" a="1"/>
  <c r="I285" i="80" s="1"/>
  <c r="I24" i="82"/>
  <c r="I30" i="82" s="1" a="1"/>
  <c r="I30" i="82" s="1"/>
  <c r="I47" i="83"/>
  <c r="I26" i="81"/>
  <c r="I47" i="81" s="1" a="1"/>
  <c r="I47" i="81" s="1"/>
  <c r="G245" i="80" a="1"/>
  <c r="G245" i="80" s="1"/>
  <c r="G248" i="80" a="1"/>
  <c r="G248" i="80" s="1"/>
  <c r="G249" i="80" a="1"/>
  <c r="G249" i="80" s="1"/>
  <c r="G247" i="80" a="1"/>
  <c r="G247" i="80" s="1"/>
  <c r="G246" i="80" a="1"/>
  <c r="G246" i="80" s="1"/>
  <c r="E19" i="84"/>
  <c r="G31" i="84" s="1" a="1"/>
  <c r="G31" i="84" s="1"/>
  <c r="G243" i="80" a="1"/>
  <c r="G243" i="80" s="1"/>
  <c r="G250" i="80" a="1"/>
  <c r="G250" i="80" s="1"/>
  <c r="G244" i="80" a="1"/>
  <c r="G244" i="80" s="1"/>
  <c r="I20" i="81"/>
  <c r="I41" i="81" s="1" a="1"/>
  <c r="I41" i="81" s="1"/>
  <c r="I41" i="83"/>
  <c r="I279" i="80" a="1"/>
  <c r="I279" i="80" s="1"/>
  <c r="J24" i="82"/>
  <c r="J30" i="82" s="1" a="1"/>
  <c r="J30" i="82" s="1"/>
  <c r="J285" i="80" a="1"/>
  <c r="J285" i="80" s="1"/>
  <c r="J26" i="81"/>
  <c r="J47" i="81" s="1" a="1"/>
  <c r="J47" i="81" s="1"/>
  <c r="J47" i="83"/>
  <c r="I51" i="84" a="1"/>
  <c r="I51" i="84" s="1"/>
  <c r="I23" i="86"/>
  <c r="I28" i="86" s="1" a="1"/>
  <c r="I28" i="86" s="1"/>
  <c r="I19" i="85"/>
  <c r="I24" i="85" s="1" a="1"/>
  <c r="I24" i="85" s="1"/>
  <c r="H282" i="80" a="1"/>
  <c r="H282" i="80" s="1"/>
  <c r="H44" i="83"/>
  <c r="H23" i="81"/>
  <c r="H44" i="81" s="1" a="1"/>
  <c r="H44" i="81" s="1"/>
  <c r="J20" i="81"/>
  <c r="J41" i="81" s="1" a="1"/>
  <c r="J41" i="81" s="1"/>
  <c r="J41" i="83"/>
  <c r="I278" i="80" a="1"/>
  <c r="I278" i="80" s="1"/>
  <c r="I19" i="81"/>
  <c r="I40" i="81" s="1" a="1"/>
  <c r="I40" i="81" s="1"/>
  <c r="I40" i="83"/>
  <c r="J19" i="85"/>
  <c r="J24" i="85" s="1" a="1"/>
  <c r="J24" i="85" s="1"/>
  <c r="J23" i="86"/>
  <c r="J28" i="86" s="1" a="1"/>
  <c r="J28" i="86" s="1"/>
  <c r="I283" i="80" a="1"/>
  <c r="I283" i="80" s="1"/>
  <c r="I24" i="81"/>
  <c r="I45" i="81" s="1" a="1"/>
  <c r="I45" i="81" s="1"/>
  <c r="I45" i="83"/>
  <c r="H20" i="81"/>
  <c r="H41" i="81" s="1" a="1"/>
  <c r="H41" i="81" s="1"/>
  <c r="H41" i="83"/>
  <c r="J45" i="83"/>
  <c r="J24" i="81"/>
  <c r="J45" i="81" s="1" a="1"/>
  <c r="J45" i="81" s="1"/>
  <c r="J283" i="80" a="1"/>
  <c r="J283" i="80" s="1"/>
  <c r="I281" i="80" a="1"/>
  <c r="I281" i="80" s="1"/>
  <c r="I43" i="83"/>
  <c r="I22" i="81"/>
  <c r="I43" i="81" s="1" a="1"/>
  <c r="I43" i="81" s="1"/>
  <c r="I23" i="82"/>
  <c r="I29" i="82" s="1" a="1"/>
  <c r="I29" i="82" s="1"/>
  <c r="F246" i="80" a="1"/>
  <c r="F246" i="80" s="1"/>
  <c r="F248" i="80" a="1"/>
  <c r="F248" i="80" s="1"/>
  <c r="F250" i="80" a="1"/>
  <c r="F250" i="80" s="1"/>
  <c r="D19" i="84"/>
  <c r="F31" i="84" s="1" a="1"/>
  <c r="F31" i="84" s="1"/>
  <c r="F245" i="80" a="1"/>
  <c r="F245" i="80" s="1"/>
  <c r="F244" i="80" a="1"/>
  <c r="F244" i="80" s="1"/>
  <c r="F247" i="80" a="1"/>
  <c r="F247" i="80" s="1"/>
  <c r="F243" i="80" a="1"/>
  <c r="F243" i="80" s="1"/>
  <c r="F249" i="80" a="1"/>
  <c r="F249" i="80" s="1"/>
  <c r="E56" i="13"/>
  <c r="Q278" i="80" l="1" a="1"/>
  <c r="Q278" i="80" s="1"/>
  <c r="R19" i="81"/>
  <c r="R40" i="81" s="1" a="1"/>
  <c r="R40" i="81" s="1"/>
  <c r="R40" i="83"/>
  <c r="T112" i="83" a="1"/>
  <c r="T112" i="83" s="1"/>
  <c r="T82" i="83" a="1"/>
  <c r="T82" i="83" s="1"/>
  <c r="T145" i="83" a="1"/>
  <c r="T145" i="83" s="1"/>
  <c r="F139" i="95" a="1"/>
  <c r="F139" i="95" s="1"/>
  <c r="P244" i="80" a="1"/>
  <c r="P244" i="80" s="1"/>
  <c r="P246" i="80" a="1"/>
  <c r="P246" i="80" s="1"/>
  <c r="P250" i="80" a="1"/>
  <c r="P250" i="80" s="1"/>
  <c r="P243" i="80" a="1"/>
  <c r="P243" i="80" s="1"/>
  <c r="P249" i="80" a="1"/>
  <c r="P249" i="80" s="1"/>
  <c r="P245" i="80" a="1"/>
  <c r="P245" i="80" s="1"/>
  <c r="O19" i="84"/>
  <c r="Q31" i="84" s="1" a="1"/>
  <c r="Q31" i="84" s="1"/>
  <c r="P247" i="80" a="1"/>
  <c r="P247" i="80" s="1"/>
  <c r="P248" i="80" a="1"/>
  <c r="P248" i="80" s="1"/>
  <c r="F134" i="95" a="1"/>
  <c r="F134" i="95" s="1"/>
  <c r="J284" i="80" a="1"/>
  <c r="J284" i="80" s="1"/>
  <c r="J282" i="80" a="1"/>
  <c r="J282" i="80" s="1"/>
  <c r="J278" i="80" a="1"/>
  <c r="J278" i="80" s="1"/>
  <c r="T81" i="83" a="1"/>
  <c r="T81" i="83" s="1"/>
  <c r="T111" i="83" a="1"/>
  <c r="T111" i="83" s="1"/>
  <c r="T144" i="83" a="1"/>
  <c r="T144" i="83" s="1"/>
  <c r="G50" i="110"/>
  <c r="E53" i="110" s="1" a="1"/>
  <c r="E53" i="110" s="1"/>
  <c r="E22" i="13" a="1"/>
  <c r="E22" i="13" s="1"/>
  <c r="H22" i="13" s="1" a="1"/>
  <c r="H22" i="13" s="1"/>
  <c r="T106" i="83" a="1"/>
  <c r="T106" i="83" s="1"/>
  <c r="T139" i="83" a="1"/>
  <c r="T139" i="83" s="1"/>
  <c r="T76" i="83" a="1"/>
  <c r="T76" i="83" s="1"/>
  <c r="Q50" i="110"/>
  <c r="O53" i="110" s="1" a="1"/>
  <c r="O53" i="110" s="1"/>
  <c r="F22" i="13" a="1"/>
  <c r="F22" i="13" s="1"/>
  <c r="I22" i="13" s="1" a="1"/>
  <c r="I22" i="13" s="1"/>
  <c r="R47" i="83"/>
  <c r="Q285" i="80" a="1"/>
  <c r="Q285" i="80" s="1"/>
  <c r="R24" i="82"/>
  <c r="R30" i="82" s="1" a="1"/>
  <c r="R30" i="82" s="1"/>
  <c r="R26" i="81"/>
  <c r="R47" i="81" s="1" a="1"/>
  <c r="R47" i="81" s="1"/>
  <c r="T140" i="83" a="1"/>
  <c r="T140" i="83" s="1"/>
  <c r="T77" i="83" a="1"/>
  <c r="T77" i="83" s="1"/>
  <c r="T107" i="83" a="1"/>
  <c r="T107" i="83" s="1"/>
  <c r="E80" i="91"/>
  <c r="E78" i="92"/>
  <c r="E16" i="13" s="1" a="1"/>
  <c r="E16" i="13" s="1"/>
  <c r="R23" i="82"/>
  <c r="R29" i="82" s="1" a="1"/>
  <c r="R29" i="82" s="1"/>
  <c r="R43" i="83"/>
  <c r="Q281" i="80" a="1"/>
  <c r="Q281" i="80" s="1"/>
  <c r="R22" i="81"/>
  <c r="R43" i="81" s="1" a="1"/>
  <c r="R43" i="81" s="1"/>
  <c r="T109" i="83" a="1"/>
  <c r="T109" i="83" s="1"/>
  <c r="T79" i="83" a="1"/>
  <c r="T79" i="83" s="1"/>
  <c r="T142" i="83" a="1"/>
  <c r="T142" i="83" s="1"/>
  <c r="F69" i="95" a="1"/>
  <c r="F69" i="95" s="1"/>
  <c r="U49" i="82" a="1"/>
  <c r="U49" i="82" s="1"/>
  <c r="U55" i="83"/>
  <c r="Q284" i="80" a="1"/>
  <c r="Q284" i="80" s="1"/>
  <c r="R25" i="81"/>
  <c r="R46" i="81" s="1" a="1"/>
  <c r="R46" i="81" s="1"/>
  <c r="R46" i="83"/>
  <c r="I305" i="116" a="1"/>
  <c r="I305" i="116" s="1"/>
  <c r="E316" i="116" s="1"/>
  <c r="J305" i="116" a="1"/>
  <c r="J305" i="116" s="1"/>
  <c r="E317" i="116" s="1"/>
  <c r="S281" i="80" a="1"/>
  <c r="S281" i="80" s="1"/>
  <c r="F241" i="79" a="1"/>
  <c r="F241" i="79" s="1"/>
  <c r="F294" i="79" s="1" a="1"/>
  <c r="F294" i="79" s="1"/>
  <c r="G241" i="79" a="1"/>
  <c r="G241" i="79" s="1"/>
  <c r="G294" i="79" s="1" a="1"/>
  <c r="G294" i="79" s="1"/>
  <c r="J241" i="79" a="1"/>
  <c r="J241" i="79" s="1"/>
  <c r="J294" i="79" s="1" a="1"/>
  <c r="J294" i="79" s="1"/>
  <c r="I241" i="79" a="1"/>
  <c r="I241" i="79" s="1"/>
  <c r="I294" i="79" s="1" a="1"/>
  <c r="I294" i="79" s="1"/>
  <c r="J245" i="79" a="1"/>
  <c r="J245" i="79" s="1"/>
  <c r="J298" i="79" s="1" a="1"/>
  <c r="J298" i="79" s="1"/>
  <c r="G245" i="79" a="1"/>
  <c r="G245" i="79" s="1"/>
  <c r="G298" i="79" s="1" a="1"/>
  <c r="G298" i="79" s="1"/>
  <c r="H245" i="79" a="1"/>
  <c r="H245" i="79" s="1"/>
  <c r="H298" i="79" s="1" a="1"/>
  <c r="H298" i="79" s="1"/>
  <c r="H241" i="79" a="1"/>
  <c r="H241" i="79" s="1"/>
  <c r="H294" i="79" s="1" a="1"/>
  <c r="H294" i="79" s="1"/>
  <c r="I245" i="79" a="1"/>
  <c r="I245" i="79" s="1"/>
  <c r="I298" i="79" s="1" a="1"/>
  <c r="I298" i="79" s="1"/>
  <c r="F245" i="79" a="1"/>
  <c r="F245" i="79" s="1"/>
  <c r="F298" i="79" s="1" a="1"/>
  <c r="F298" i="79" s="1"/>
  <c r="Q283" i="80" a="1"/>
  <c r="Q283" i="80" s="1"/>
  <c r="R45" i="83"/>
  <c r="R24" i="81"/>
  <c r="R45" i="81" s="1" a="1"/>
  <c r="R45" i="81" s="1"/>
  <c r="T49" i="82" a="1"/>
  <c r="T49" i="82" s="1"/>
  <c r="T55" i="83"/>
  <c r="T108" i="83" a="1"/>
  <c r="T108" i="83" s="1"/>
  <c r="T78" i="83" a="1"/>
  <c r="T78" i="83" s="1"/>
  <c r="T141" i="83" a="1"/>
  <c r="T141" i="83" s="1"/>
  <c r="F237" i="79" a="1"/>
  <c r="F237" i="79" s="1"/>
  <c r="F290" i="79" s="1" a="1"/>
  <c r="F290" i="79" s="1"/>
  <c r="J237" i="79" a="1"/>
  <c r="J237" i="79" s="1"/>
  <c r="J290" i="79" s="1" a="1"/>
  <c r="J290" i="79" s="1"/>
  <c r="G237" i="79" a="1"/>
  <c r="G237" i="79" s="1"/>
  <c r="G290" i="79" s="1" a="1"/>
  <c r="G290" i="79" s="1"/>
  <c r="H237" i="79" a="1"/>
  <c r="H237" i="79" s="1"/>
  <c r="H290" i="79" s="1" a="1"/>
  <c r="H290" i="79" s="1"/>
  <c r="I237" i="79" a="1"/>
  <c r="I237" i="79" s="1"/>
  <c r="I290" i="79" s="1" a="1"/>
  <c r="I290" i="79" s="1"/>
  <c r="Q279" i="80" a="1"/>
  <c r="Q279" i="80" s="1"/>
  <c r="R20" i="81"/>
  <c r="R41" i="81" s="1" a="1"/>
  <c r="R41" i="81" s="1"/>
  <c r="R41" i="83"/>
  <c r="J51" i="84" a="1"/>
  <c r="J51" i="84" s="1"/>
  <c r="E19" i="117" a="1"/>
  <c r="E19" i="117" s="1"/>
  <c r="J569" i="116" s="1"/>
  <c r="E573" i="116" s="1" a="1"/>
  <c r="E573" i="116" s="1"/>
  <c r="G575" i="116" s="1"/>
  <c r="E578" i="116" s="1" a="1"/>
  <c r="E578" i="116" s="1"/>
  <c r="O19" i="117" a="1"/>
  <c r="O19" i="117" s="1"/>
  <c r="R569" i="116" s="1"/>
  <c r="M573" i="116" s="1" a="1"/>
  <c r="M573" i="116" s="1"/>
  <c r="O575" i="116" s="1"/>
  <c r="M578" i="116" s="1" a="1"/>
  <c r="M578" i="116" s="1"/>
  <c r="R42" i="83"/>
  <c r="Q280" i="80" a="1"/>
  <c r="Q280" i="80" s="1"/>
  <c r="R21" i="81"/>
  <c r="R42" i="81" s="1" a="1"/>
  <c r="R42" i="81" s="1"/>
  <c r="F18" i="13"/>
  <c r="I18" i="13" s="1"/>
  <c r="H18" i="13"/>
  <c r="F141" i="95" a="1"/>
  <c r="F141" i="95" s="1"/>
  <c r="R19" i="85"/>
  <c r="R24" i="85" s="1" a="1"/>
  <c r="R24" i="85" s="1"/>
  <c r="R51" i="84" a="1"/>
  <c r="R51" i="84" s="1"/>
  <c r="R23" i="86"/>
  <c r="R28" i="86" s="1" a="1"/>
  <c r="R28" i="86" s="1"/>
  <c r="U237" i="79" a="1"/>
  <c r="U237" i="79" s="1"/>
  <c r="U290" i="79" s="1" a="1"/>
  <c r="U290" i="79" s="1"/>
  <c r="T237" i="79" a="1"/>
  <c r="T237" i="79" s="1"/>
  <c r="T290" i="79" s="1" a="1"/>
  <c r="T290" i="79" s="1"/>
  <c r="Q237" i="79" a="1"/>
  <c r="Q237" i="79" s="1"/>
  <c r="Q290" i="79" s="1" a="1"/>
  <c r="Q290" i="79" s="1"/>
  <c r="S237" i="79" a="1"/>
  <c r="S237" i="79" s="1"/>
  <c r="S290" i="79" s="1" a="1"/>
  <c r="S290" i="79" s="1"/>
  <c r="R237" i="79" a="1"/>
  <c r="R237" i="79" s="1"/>
  <c r="R290" i="79" s="1" a="1"/>
  <c r="R290" i="79" s="1"/>
  <c r="T80" i="83" a="1"/>
  <c r="T80" i="83" s="1"/>
  <c r="T143" i="83" a="1"/>
  <c r="T143" i="83" s="1"/>
  <c r="T110" i="83" a="1"/>
  <c r="T110" i="83" s="1"/>
  <c r="F140" i="95" a="1"/>
  <c r="F140" i="95" s="1"/>
  <c r="U50" i="82" a="1"/>
  <c r="U50" i="82" s="1"/>
  <c r="U59" i="83"/>
  <c r="O85" i="91" a="1"/>
  <c r="O85" i="91" s="1"/>
  <c r="P85" i="91" s="1" a="1"/>
  <c r="P85" i="91" s="1"/>
  <c r="O84" i="91" a="1"/>
  <c r="O84" i="91" s="1"/>
  <c r="P84" i="91" s="1" a="1"/>
  <c r="P84" i="91" s="1"/>
  <c r="O77" i="91" a="1"/>
  <c r="O77" i="91" s="1"/>
  <c r="P77" i="91" s="1" a="1"/>
  <c r="P77" i="91" s="1"/>
  <c r="O79" i="91" a="1"/>
  <c r="O79" i="91" s="1"/>
  <c r="P79" i="91" s="1" a="1"/>
  <c r="P79" i="91" s="1"/>
  <c r="O82" i="91" a="1"/>
  <c r="O82" i="91" s="1"/>
  <c r="O78" i="91" a="1"/>
  <c r="O78" i="91" s="1"/>
  <c r="P78" i="91" s="1" a="1"/>
  <c r="P78" i="91" s="1"/>
  <c r="O81" i="91" a="1"/>
  <c r="O81" i="91" s="1"/>
  <c r="P81" i="91" s="1" a="1"/>
  <c r="P81" i="91" s="1"/>
  <c r="O83" i="91" a="1"/>
  <c r="O83" i="91" s="1"/>
  <c r="P83" i="91" s="1" a="1"/>
  <c r="P83" i="91" s="1"/>
  <c r="O86" i="91" a="1"/>
  <c r="O86" i="91" s="1"/>
  <c r="P86" i="91" s="1" a="1"/>
  <c r="P86" i="91" s="1"/>
  <c r="O80" i="91" a="1"/>
  <c r="O80" i="91" s="1"/>
  <c r="P80" i="91" s="1" a="1"/>
  <c r="P80" i="91" s="1"/>
  <c r="F135" i="95" a="1"/>
  <c r="F135" i="95" s="1"/>
  <c r="H279" i="80" a="1"/>
  <c r="H279" i="80" s="1"/>
  <c r="J279" i="80" a="1"/>
  <c r="J279" i="80" s="1"/>
  <c r="I284" i="80" a="1"/>
  <c r="I284" i="80" s="1"/>
  <c r="F138" i="95" a="1"/>
  <c r="F138" i="95" s="1"/>
  <c r="P82" i="91" a="1"/>
  <c r="P82" i="91" s="1"/>
  <c r="G221" i="116" a="1"/>
  <c r="G221" i="116" s="1"/>
  <c r="E248" i="116" s="1"/>
  <c r="J221" i="116" a="1"/>
  <c r="J221" i="116" s="1"/>
  <c r="E249" i="116" s="1"/>
  <c r="H221" i="116" a="1"/>
  <c r="H221" i="116" s="1"/>
  <c r="E251" i="116" s="1"/>
  <c r="K221" i="116" a="1"/>
  <c r="K221" i="116" s="1"/>
  <c r="E252" i="116" s="1"/>
  <c r="T51" i="84" a="1"/>
  <c r="T51" i="84" s="1"/>
  <c r="I244" i="79" a="1"/>
  <c r="I244" i="79" s="1"/>
  <c r="I297" i="79" s="1" a="1"/>
  <c r="I297" i="79" s="1"/>
  <c r="F240" i="79" a="1"/>
  <c r="F240" i="79" s="1"/>
  <c r="F293" i="79" s="1" a="1"/>
  <c r="F293" i="79" s="1"/>
  <c r="G240" i="79" a="1"/>
  <c r="G240" i="79" s="1"/>
  <c r="G293" i="79" s="1" a="1"/>
  <c r="G293" i="79" s="1"/>
  <c r="F244" i="79" a="1"/>
  <c r="F244" i="79" s="1"/>
  <c r="F297" i="79" s="1" a="1"/>
  <c r="F297" i="79" s="1"/>
  <c r="G244" i="79" a="1"/>
  <c r="G244" i="79" s="1"/>
  <c r="G297" i="79" s="1" a="1"/>
  <c r="G297" i="79" s="1"/>
  <c r="H244" i="79" a="1"/>
  <c r="H244" i="79" s="1"/>
  <c r="H297" i="79" s="1" a="1"/>
  <c r="H297" i="79" s="1"/>
  <c r="H240" i="79" a="1"/>
  <c r="H240" i="79" s="1"/>
  <c r="H293" i="79" s="1" a="1"/>
  <c r="H293" i="79" s="1"/>
  <c r="I240" i="79" a="1"/>
  <c r="I240" i="79" s="1"/>
  <c r="I293" i="79" s="1" a="1"/>
  <c r="I293" i="79" s="1"/>
  <c r="J240" i="79" a="1"/>
  <c r="J240" i="79" s="1"/>
  <c r="J293" i="79" s="1" a="1"/>
  <c r="J293" i="79" s="1"/>
  <c r="J244" i="79" a="1"/>
  <c r="J244" i="79" s="1"/>
  <c r="J297" i="79" s="1" a="1"/>
  <c r="J297" i="79" s="1"/>
  <c r="E40" i="109" a="1"/>
  <c r="E40" i="109" s="1"/>
  <c r="O40" i="109" a="1"/>
  <c r="O40" i="109" s="1"/>
  <c r="F137" i="95" a="1"/>
  <c r="F137" i="95" s="1"/>
  <c r="E77" i="96"/>
  <c r="J90" i="96" s="1"/>
  <c r="T283" i="80" a="1"/>
  <c r="T283" i="80" s="1"/>
  <c r="T280" i="80" a="1"/>
  <c r="T280" i="80" s="1"/>
  <c r="T284" i="80" a="1"/>
  <c r="T284" i="80" s="1"/>
  <c r="T279" i="80" a="1"/>
  <c r="T279" i="80" s="1"/>
  <c r="T285" i="80" a="1"/>
  <c r="T285" i="80" s="1"/>
  <c r="T282" i="80" a="1"/>
  <c r="T282" i="80" s="1"/>
  <c r="T278" i="80" a="1"/>
  <c r="T278" i="80" s="1"/>
  <c r="T281" i="80" a="1"/>
  <c r="T281" i="80" s="1"/>
  <c r="F76" i="95" a="1"/>
  <c r="F76" i="95" s="1"/>
  <c r="F63" i="95" a="1"/>
  <c r="F63" i="95" s="1"/>
  <c r="H238" i="79" a="1"/>
  <c r="H238" i="79" s="1"/>
  <c r="H291" i="79" s="1" a="1"/>
  <c r="H291" i="79" s="1"/>
  <c r="G242" i="79" a="1"/>
  <c r="G242" i="79" s="1"/>
  <c r="G295" i="79" s="1" a="1"/>
  <c r="G295" i="79" s="1"/>
  <c r="F242" i="79" a="1"/>
  <c r="F242" i="79" s="1"/>
  <c r="F295" i="79" s="1" a="1"/>
  <c r="F295" i="79" s="1"/>
  <c r="G238" i="79" a="1"/>
  <c r="G238" i="79" s="1"/>
  <c r="G291" i="79" s="1" a="1"/>
  <c r="G291" i="79" s="1"/>
  <c r="J238" i="79" a="1"/>
  <c r="J238" i="79" s="1"/>
  <c r="J291" i="79" s="1" a="1"/>
  <c r="J291" i="79" s="1"/>
  <c r="F238" i="79" a="1"/>
  <c r="F238" i="79" s="1"/>
  <c r="F291" i="79" s="1" a="1"/>
  <c r="F291" i="79" s="1"/>
  <c r="I238" i="79" a="1"/>
  <c r="I238" i="79" s="1"/>
  <c r="I291" i="79" s="1" a="1"/>
  <c r="I291" i="79" s="1"/>
  <c r="J242" i="79" a="1"/>
  <c r="J242" i="79" s="1"/>
  <c r="J295" i="79" s="1" a="1"/>
  <c r="J295" i="79" s="1"/>
  <c r="I242" i="79" a="1"/>
  <c r="I242" i="79" s="1"/>
  <c r="I295" i="79" s="1" a="1"/>
  <c r="I295" i="79" s="1"/>
  <c r="H242" i="79" a="1"/>
  <c r="H242" i="79" s="1"/>
  <c r="H295" i="79" s="1" a="1"/>
  <c r="H295" i="79" s="1"/>
  <c r="E79" i="95"/>
  <c r="G81" i="95" s="1"/>
  <c r="E84" i="95" s="1" a="1"/>
  <c r="E84" i="95" s="1"/>
  <c r="E43" i="96"/>
  <c r="J89" i="96" s="1"/>
  <c r="E94" i="96" s="1" a="1"/>
  <c r="E94" i="96" s="1"/>
  <c r="Q282" i="80" a="1"/>
  <c r="Q282" i="80" s="1"/>
  <c r="R23" i="81"/>
  <c r="R44" i="81" s="1" a="1"/>
  <c r="R44" i="81" s="1"/>
  <c r="R44" i="83"/>
  <c r="R243" i="80" a="1"/>
  <c r="R243" i="80" s="1"/>
  <c r="R250" i="80" a="1"/>
  <c r="R250" i="80" s="1"/>
  <c r="Q19" i="84"/>
  <c r="S31" i="84" s="1" a="1"/>
  <c r="S31" i="84" s="1"/>
  <c r="R244" i="80" a="1"/>
  <c r="R244" i="80" s="1"/>
  <c r="R248" i="80" a="1"/>
  <c r="R248" i="80" s="1"/>
  <c r="R247" i="80" a="1"/>
  <c r="R247" i="80" s="1"/>
  <c r="R246" i="80" a="1"/>
  <c r="R246" i="80" s="1"/>
  <c r="R245" i="80" a="1"/>
  <c r="R245" i="80" s="1"/>
  <c r="R249" i="80" a="1"/>
  <c r="R249" i="80" s="1"/>
  <c r="H51" i="84" a="1"/>
  <c r="H51" i="84" s="1"/>
  <c r="H280" i="80" a="1"/>
  <c r="H280" i="80" s="1"/>
  <c r="T50" i="82" a="1"/>
  <c r="T50" i="82" s="1"/>
  <c r="T59" i="83"/>
  <c r="T113" i="83" s="1" a="1"/>
  <c r="T113" i="83" s="1"/>
  <c r="G52" i="93"/>
  <c r="E55" i="93" s="1" a="1"/>
  <c r="E55" i="93" s="1"/>
  <c r="E17" i="13" a="1"/>
  <c r="E17" i="13" s="1"/>
  <c r="F74" i="95" a="1"/>
  <c r="F74" i="95" s="1"/>
  <c r="H239" i="79" a="1"/>
  <c r="H239" i="79" s="1"/>
  <c r="H292" i="79" s="1" a="1"/>
  <c r="H292" i="79" s="1"/>
  <c r="G239" i="79" a="1"/>
  <c r="G239" i="79" s="1"/>
  <c r="G292" i="79" s="1" a="1"/>
  <c r="G292" i="79" s="1"/>
  <c r="F243" i="79" a="1"/>
  <c r="F243" i="79" s="1"/>
  <c r="F296" i="79" s="1" a="1"/>
  <c r="F296" i="79" s="1"/>
  <c r="J243" i="79" a="1"/>
  <c r="J243" i="79" s="1"/>
  <c r="J296" i="79" s="1" a="1"/>
  <c r="J296" i="79" s="1"/>
  <c r="I239" i="79" a="1"/>
  <c r="I239" i="79" s="1"/>
  <c r="I292" i="79" s="1" a="1"/>
  <c r="I292" i="79" s="1"/>
  <c r="J239" i="79" a="1"/>
  <c r="J239" i="79" s="1"/>
  <c r="J292" i="79" s="1" a="1"/>
  <c r="J292" i="79" s="1"/>
  <c r="G243" i="79" a="1"/>
  <c r="G243" i="79" s="1"/>
  <c r="G296" i="79" s="1" a="1"/>
  <c r="G296" i="79" s="1"/>
  <c r="H243" i="79" a="1"/>
  <c r="H243" i="79" s="1"/>
  <c r="H296" i="79" s="1" a="1"/>
  <c r="H296" i="79" s="1"/>
  <c r="I243" i="79" a="1"/>
  <c r="I243" i="79" s="1"/>
  <c r="I296" i="79" s="1" a="1"/>
  <c r="I296" i="79" s="1"/>
  <c r="F239" i="79" a="1"/>
  <c r="F239" i="79" s="1"/>
  <c r="F292" i="79" s="1" a="1"/>
  <c r="F292" i="79" s="1"/>
  <c r="G282" i="80" a="1"/>
  <c r="G282" i="80" s="1"/>
  <c r="G23" i="81"/>
  <c r="G44" i="81" s="1" a="1"/>
  <c r="G44" i="81" s="1"/>
  <c r="G44" i="83"/>
  <c r="H49" i="82" a="1"/>
  <c r="H49" i="82" s="1"/>
  <c r="H55" i="83"/>
  <c r="J112" i="83" a="1"/>
  <c r="J112" i="83" s="1"/>
  <c r="J82" i="83" a="1"/>
  <c r="J82" i="83" s="1"/>
  <c r="J145" i="83" a="1"/>
  <c r="J145" i="83" s="1"/>
  <c r="J143" i="83" a="1"/>
  <c r="J143" i="83" s="1"/>
  <c r="J110" i="83" a="1"/>
  <c r="J110" i="83" s="1"/>
  <c r="J80" i="83" a="1"/>
  <c r="J80" i="83" s="1"/>
  <c r="G284" i="80" a="1"/>
  <c r="G284" i="80" s="1"/>
  <c r="G46" i="83"/>
  <c r="G25" i="81"/>
  <c r="G46" i="81" s="1" a="1"/>
  <c r="G46" i="81" s="1"/>
  <c r="H111" i="83" a="1"/>
  <c r="H111" i="83" s="1"/>
  <c r="H144" i="83" a="1"/>
  <c r="H144" i="83" s="1"/>
  <c r="H81" i="83" a="1"/>
  <c r="H81" i="83" s="1"/>
  <c r="G42" i="83"/>
  <c r="G280" i="80" a="1"/>
  <c r="G280" i="80" s="1"/>
  <c r="G21" i="81"/>
  <c r="G42" i="81" s="1" a="1"/>
  <c r="G42" i="81" s="1"/>
  <c r="I55" i="83"/>
  <c r="I49" i="82" a="1"/>
  <c r="I49" i="82" s="1"/>
  <c r="G45" i="83"/>
  <c r="G24" i="81"/>
  <c r="G45" i="81" s="1" a="1"/>
  <c r="G45" i="81" s="1"/>
  <c r="G283" i="80" a="1"/>
  <c r="G283" i="80" s="1"/>
  <c r="H50" i="82" a="1"/>
  <c r="H50" i="82" s="1"/>
  <c r="H59" i="83"/>
  <c r="H83" i="83" s="1" a="1"/>
  <c r="H83" i="83" s="1"/>
  <c r="J50" i="82" a="1"/>
  <c r="J50" i="82" s="1"/>
  <c r="J59" i="83"/>
  <c r="J113" i="83" s="1" a="1"/>
  <c r="J113" i="83" s="1"/>
  <c r="I110" i="83" a="1"/>
  <c r="I110" i="83" s="1"/>
  <c r="I80" i="83" a="1"/>
  <c r="I80" i="83" s="1"/>
  <c r="I143" i="83" a="1"/>
  <c r="I143" i="83" s="1"/>
  <c r="J55" i="83"/>
  <c r="J49" i="82" a="1"/>
  <c r="J49" i="82" s="1"/>
  <c r="I76" i="83" a="1"/>
  <c r="I76" i="83" s="1"/>
  <c r="I139" i="83" a="1"/>
  <c r="I139" i="83" s="1"/>
  <c r="I106" i="83" a="1"/>
  <c r="I106" i="83" s="1"/>
  <c r="I82" i="83" a="1"/>
  <c r="I82" i="83" s="1"/>
  <c r="I145" i="83" a="1"/>
  <c r="I145" i="83" s="1"/>
  <c r="I112" i="83" a="1"/>
  <c r="I112" i="83" s="1"/>
  <c r="H106" i="83" a="1"/>
  <c r="H106" i="83" s="1"/>
  <c r="H76" i="83" a="1"/>
  <c r="H76" i="83" s="1"/>
  <c r="H139" i="83" a="1"/>
  <c r="H139" i="83" s="1"/>
  <c r="J140" i="83" a="1"/>
  <c r="J140" i="83" s="1"/>
  <c r="J77" i="83" a="1"/>
  <c r="J77" i="83" s="1"/>
  <c r="J107" i="83" a="1"/>
  <c r="J107" i="83" s="1"/>
  <c r="G41" i="83"/>
  <c r="G20" i="81"/>
  <c r="G41" i="81" s="1" a="1"/>
  <c r="G41" i="81" s="1"/>
  <c r="G279" i="80" a="1"/>
  <c r="G279" i="80" s="1"/>
  <c r="H141" i="83" a="1"/>
  <c r="H141" i="83" s="1"/>
  <c r="H78" i="83" a="1"/>
  <c r="H78" i="83" s="1"/>
  <c r="H108" i="83" a="1"/>
  <c r="H108" i="83" s="1"/>
  <c r="I77" i="83" a="1"/>
  <c r="I77" i="83" s="1"/>
  <c r="I140" i="83" a="1"/>
  <c r="I140" i="83" s="1"/>
  <c r="I107" i="83" a="1"/>
  <c r="I107" i="83" s="1"/>
  <c r="J144" i="83" a="1"/>
  <c r="J144" i="83" s="1"/>
  <c r="J111" i="83" a="1"/>
  <c r="J111" i="83" s="1"/>
  <c r="J81" i="83" a="1"/>
  <c r="J81" i="83" s="1"/>
  <c r="H77" i="83" a="1"/>
  <c r="H77" i="83" s="1"/>
  <c r="H107" i="83" a="1"/>
  <c r="H107" i="83" s="1"/>
  <c r="H140" i="83" a="1"/>
  <c r="H140" i="83" s="1"/>
  <c r="G24" i="82"/>
  <c r="G30" i="82" s="1" a="1"/>
  <c r="G30" i="82" s="1"/>
  <c r="G47" i="83"/>
  <c r="G285" i="80" a="1"/>
  <c r="G285" i="80" s="1"/>
  <c r="G26" i="81"/>
  <c r="G47" i="81" s="1" a="1"/>
  <c r="G47" i="81" s="1"/>
  <c r="H110" i="83" a="1"/>
  <c r="H110" i="83" s="1"/>
  <c r="H143" i="83" a="1"/>
  <c r="H143" i="83" s="1"/>
  <c r="H80" i="83" a="1"/>
  <c r="H80" i="83" s="1"/>
  <c r="G19" i="81"/>
  <c r="G40" i="81" s="1" a="1"/>
  <c r="G40" i="81" s="1"/>
  <c r="G40" i="83"/>
  <c r="G278" i="80" a="1"/>
  <c r="G278" i="80" s="1"/>
  <c r="H82" i="83" a="1"/>
  <c r="H82" i="83" s="1"/>
  <c r="H145" i="83" a="1"/>
  <c r="H145" i="83" s="1"/>
  <c r="H112" i="83" a="1"/>
  <c r="H112" i="83" s="1"/>
  <c r="J139" i="83" a="1"/>
  <c r="J139" i="83" s="1"/>
  <c r="J76" i="83" a="1"/>
  <c r="J76" i="83" s="1"/>
  <c r="J106" i="83" a="1"/>
  <c r="J106" i="83" s="1"/>
  <c r="I81" i="83" a="1"/>
  <c r="I81" i="83" s="1"/>
  <c r="I111" i="83" a="1"/>
  <c r="I111" i="83" s="1"/>
  <c r="I144" i="83" a="1"/>
  <c r="I144" i="83" s="1"/>
  <c r="G19" i="85"/>
  <c r="G24" i="85" s="1" a="1"/>
  <c r="G24" i="85" s="1"/>
  <c r="G51" i="84" a="1"/>
  <c r="G51" i="84" s="1"/>
  <c r="G23" i="86"/>
  <c r="G28" i="86" s="1" a="1"/>
  <c r="G28" i="86" s="1"/>
  <c r="I78" i="83" a="1"/>
  <c r="I78" i="83" s="1"/>
  <c r="I108" i="83" a="1"/>
  <c r="I108" i="83" s="1"/>
  <c r="I141" i="83" a="1"/>
  <c r="I141" i="83" s="1"/>
  <c r="I59" i="83"/>
  <c r="I50" i="82" a="1"/>
  <c r="I50" i="82" s="1"/>
  <c r="J141" i="83" a="1"/>
  <c r="J141" i="83" s="1"/>
  <c r="J78" i="83" a="1"/>
  <c r="J78" i="83" s="1"/>
  <c r="J108" i="83" a="1"/>
  <c r="J108" i="83" s="1"/>
  <c r="G281" i="80" a="1"/>
  <c r="G281" i="80" s="1"/>
  <c r="G23" i="82"/>
  <c r="G29" i="82" s="1" a="1"/>
  <c r="G29" i="82" s="1"/>
  <c r="G43" i="83"/>
  <c r="G22" i="81"/>
  <c r="G43" i="81" s="1" a="1"/>
  <c r="G43" i="81" s="1"/>
  <c r="F21" i="81"/>
  <c r="F42" i="81" s="1" a="1"/>
  <c r="F42" i="81" s="1"/>
  <c r="F42" i="83"/>
  <c r="F280" i="80" a="1"/>
  <c r="F280" i="80" s="1"/>
  <c r="F51" i="84" a="1"/>
  <c r="F51" i="84" s="1"/>
  <c r="F19" i="85"/>
  <c r="F24" i="85" s="1" a="1"/>
  <c r="F24" i="85" s="1"/>
  <c r="F23" i="86"/>
  <c r="F28" i="86" s="1" a="1"/>
  <c r="F28" i="86" s="1"/>
  <c r="F285" i="80" a="1"/>
  <c r="F285" i="80" s="1"/>
  <c r="F47" i="83"/>
  <c r="F24" i="82"/>
  <c r="F30" i="82" s="1" a="1"/>
  <c r="F30" i="82" s="1"/>
  <c r="F26" i="81"/>
  <c r="F47" i="81" s="1" a="1"/>
  <c r="F47" i="81" s="1"/>
  <c r="F281" i="80" a="1"/>
  <c r="F281" i="80" s="1"/>
  <c r="F43" i="83"/>
  <c r="F23" i="82"/>
  <c r="F29" i="82" s="1" a="1"/>
  <c r="F29" i="82" s="1"/>
  <c r="F22" i="81"/>
  <c r="F43" i="81" s="1" a="1"/>
  <c r="F43" i="81" s="1"/>
  <c r="F46" i="83"/>
  <c r="F284" i="80" a="1"/>
  <c r="F284" i="80" s="1"/>
  <c r="F25" i="81"/>
  <c r="F46" i="81" s="1" a="1"/>
  <c r="F46" i="81" s="1"/>
  <c r="F278" i="80" a="1"/>
  <c r="F278" i="80" s="1"/>
  <c r="F19" i="81"/>
  <c r="F40" i="81" s="1" a="1"/>
  <c r="F40" i="81" s="1"/>
  <c r="F40" i="83"/>
  <c r="F23" i="81"/>
  <c r="F44" i="81" s="1" a="1"/>
  <c r="F44" i="81" s="1"/>
  <c r="F282" i="80" a="1"/>
  <c r="F282" i="80" s="1"/>
  <c r="F44" i="83"/>
  <c r="F283" i="80" a="1"/>
  <c r="F283" i="80" s="1"/>
  <c r="F24" i="81"/>
  <c r="F45" i="81" s="1" a="1"/>
  <c r="F45" i="81" s="1"/>
  <c r="F45" i="83"/>
  <c r="F279" i="80" a="1"/>
  <c r="F279" i="80" s="1"/>
  <c r="F41" i="83"/>
  <c r="F20" i="81"/>
  <c r="F41" i="81" s="1" a="1"/>
  <c r="F41" i="81" s="1"/>
  <c r="P285" i="80" l="1" a="1"/>
  <c r="P285" i="80" s="1"/>
  <c r="Q26" i="81"/>
  <c r="Q47" i="81" s="1" a="1"/>
  <c r="Q47" i="81" s="1"/>
  <c r="Q47" i="83"/>
  <c r="Q24" i="82"/>
  <c r="Q30" i="82" s="1" a="1"/>
  <c r="Q30" i="82" s="1"/>
  <c r="R50" i="82" a="1"/>
  <c r="R50" i="82" s="1"/>
  <c r="R59" i="83"/>
  <c r="E300" i="79"/>
  <c r="R78" i="83" a="1"/>
  <c r="R78" i="83" s="1"/>
  <c r="R141" i="83" a="1"/>
  <c r="R141" i="83" s="1"/>
  <c r="R108" i="83" a="1"/>
  <c r="R108" i="83" s="1"/>
  <c r="E53" i="84"/>
  <c r="G55" i="84" s="1"/>
  <c r="E58" i="84" s="1" a="1"/>
  <c r="E58" i="84" s="1"/>
  <c r="R80" i="83" a="1"/>
  <c r="R80" i="83" s="1"/>
  <c r="R110" i="83" a="1"/>
  <c r="R110" i="83" s="1"/>
  <c r="R143" i="83" a="1"/>
  <c r="R143" i="83" s="1"/>
  <c r="G42" i="109"/>
  <c r="E45" i="109" s="1" a="1"/>
  <c r="E45" i="109" s="1"/>
  <c r="E21" i="13" a="1"/>
  <c r="E21" i="13" s="1"/>
  <c r="H21" i="13" s="1" a="1"/>
  <c r="H21" i="13" s="1"/>
  <c r="R112" i="83" a="1"/>
  <c r="R112" i="83" s="1"/>
  <c r="R145" i="83" a="1"/>
  <c r="R145" i="83" s="1"/>
  <c r="R82" i="83" a="1"/>
  <c r="R82" i="83" s="1"/>
  <c r="G82" i="91"/>
  <c r="E85" i="91" s="1" a="1"/>
  <c r="E85" i="91" s="1"/>
  <c r="E15" i="13" a="1"/>
  <c r="E15" i="13" s="1"/>
  <c r="H15" i="13" s="1" a="1"/>
  <c r="H15" i="13" s="1"/>
  <c r="T83" i="83" a="1"/>
  <c r="T83" i="83" s="1"/>
  <c r="Q21" i="81"/>
  <c r="Q42" i="81" s="1" a="1"/>
  <c r="Q42" i="81" s="1"/>
  <c r="Q42" i="83"/>
  <c r="P280" i="80" a="1"/>
  <c r="P280" i="80" s="1"/>
  <c r="T146" i="83" a="1"/>
  <c r="T146" i="83" s="1"/>
  <c r="Q25" i="81"/>
  <c r="Q46" i="81" s="1" a="1"/>
  <c r="Q46" i="81" s="1"/>
  <c r="P284" i="80" a="1"/>
  <c r="P284" i="80" s="1"/>
  <c r="Q46" i="83"/>
  <c r="R284" i="80" a="1"/>
  <c r="R284" i="80" s="1"/>
  <c r="S46" i="83"/>
  <c r="S25" i="81"/>
  <c r="S46" i="81" s="1" a="1"/>
  <c r="S46" i="81" s="1"/>
  <c r="N88" i="91"/>
  <c r="Q19" i="81"/>
  <c r="Q40" i="81" s="1" a="1"/>
  <c r="Q40" i="81" s="1"/>
  <c r="Q40" i="83"/>
  <c r="P278" i="80" a="1"/>
  <c r="P278" i="80" s="1"/>
  <c r="S44" i="83"/>
  <c r="R282" i="80" a="1"/>
  <c r="R282" i="80" s="1"/>
  <c r="S23" i="81"/>
  <c r="S44" i="81" s="1" a="1"/>
  <c r="S44" i="81" s="1"/>
  <c r="R279" i="80" a="1"/>
  <c r="R279" i="80" s="1"/>
  <c r="S41" i="83"/>
  <c r="S20" i="81"/>
  <c r="S41" i="81" s="1" a="1"/>
  <c r="S41" i="81" s="1"/>
  <c r="E146" i="95"/>
  <c r="R139" i="83" a="1"/>
  <c r="R139" i="83" s="1"/>
  <c r="R106" i="83" a="1"/>
  <c r="R106" i="83" s="1"/>
  <c r="R76" i="83" a="1"/>
  <c r="R76" i="83" s="1"/>
  <c r="U79" i="83" a="1"/>
  <c r="U79" i="83" s="1"/>
  <c r="U142" i="83" a="1"/>
  <c r="U142" i="83" s="1"/>
  <c r="U109" i="83" a="1"/>
  <c r="U109" i="83" s="1"/>
  <c r="P279" i="80" a="1"/>
  <c r="P279" i="80" s="1"/>
  <c r="Q20" i="81"/>
  <c r="Q41" i="81" s="1" a="1"/>
  <c r="Q41" i="81" s="1"/>
  <c r="Q41" i="83"/>
  <c r="R281" i="80" a="1"/>
  <c r="R281" i="80" s="1"/>
  <c r="S22" i="81"/>
  <c r="S43" i="81" s="1" a="1"/>
  <c r="S43" i="81" s="1"/>
  <c r="S23" i="82"/>
  <c r="S29" i="82" s="1" a="1"/>
  <c r="S29" i="82" s="1"/>
  <c r="S43" i="83"/>
  <c r="R283" i="80" a="1"/>
  <c r="R283" i="80" s="1"/>
  <c r="S45" i="83"/>
  <c r="S24" i="81"/>
  <c r="S45" i="81" s="1" a="1"/>
  <c r="S45" i="81" s="1"/>
  <c r="S51" i="84" a="1"/>
  <c r="S51" i="84" s="1"/>
  <c r="S23" i="86"/>
  <c r="S28" i="86" s="1" a="1"/>
  <c r="S28" i="86" s="1"/>
  <c r="S19" i="85"/>
  <c r="S24" i="85" s="1" a="1"/>
  <c r="S24" i="85" s="1"/>
  <c r="R79" i="83" a="1"/>
  <c r="R79" i="83" s="1"/>
  <c r="Q24" i="81"/>
  <c r="Q45" i="81" s="1" a="1"/>
  <c r="Q45" i="81" s="1"/>
  <c r="P283" i="80" a="1"/>
  <c r="P283" i="80" s="1"/>
  <c r="Q45" i="83"/>
  <c r="R280" i="80" a="1"/>
  <c r="R280" i="80" s="1"/>
  <c r="S42" i="83"/>
  <c r="S21" i="81"/>
  <c r="S42" i="81" s="1" a="1"/>
  <c r="S42" i="81" s="1"/>
  <c r="S26" i="81"/>
  <c r="S47" i="81" s="1" a="1"/>
  <c r="S47" i="81" s="1"/>
  <c r="S24" i="82"/>
  <c r="S30" i="82" s="1" a="1"/>
  <c r="S30" i="82" s="1"/>
  <c r="R285" i="80" a="1"/>
  <c r="R285" i="80" s="1"/>
  <c r="S47" i="83"/>
  <c r="P300" i="79"/>
  <c r="R49" i="82" a="1"/>
  <c r="R49" i="82" s="1"/>
  <c r="R55" i="83"/>
  <c r="R142" i="83" s="1" a="1"/>
  <c r="R142" i="83" s="1"/>
  <c r="Q23" i="81"/>
  <c r="Q44" i="81" s="1" a="1"/>
  <c r="Q44" i="81" s="1"/>
  <c r="Q44" i="83"/>
  <c r="P282" i="80" a="1"/>
  <c r="P282" i="80" s="1"/>
  <c r="G96" i="96"/>
  <c r="E99" i="96" s="1" a="1"/>
  <c r="E99" i="96" s="1"/>
  <c r="E20" i="13" a="1"/>
  <c r="E20" i="13" s="1"/>
  <c r="U146" i="83" a="1"/>
  <c r="U146" i="83" s="1"/>
  <c r="U113" i="83" a="1"/>
  <c r="U113" i="83" s="1"/>
  <c r="U83" i="83" a="1"/>
  <c r="U83" i="83" s="1"/>
  <c r="Q22" i="81"/>
  <c r="Q43" i="81" s="1" a="1"/>
  <c r="Q43" i="81" s="1"/>
  <c r="P281" i="80" a="1"/>
  <c r="P281" i="80" s="1"/>
  <c r="Q43" i="83"/>
  <c r="Q23" i="82"/>
  <c r="Q29" i="82" s="1" a="1"/>
  <c r="Q29" i="82" s="1"/>
  <c r="R146" i="83" a="1"/>
  <c r="R146" i="83" s="1"/>
  <c r="R83" i="83" a="1"/>
  <c r="R83" i="83" s="1"/>
  <c r="R113" i="83" a="1"/>
  <c r="R113" i="83" s="1"/>
  <c r="H17" i="13" a="1"/>
  <c r="H17" i="13" s="1"/>
  <c r="F17" i="13"/>
  <c r="I17" i="13" s="1" a="1"/>
  <c r="I17" i="13" s="1"/>
  <c r="R278" i="80" a="1"/>
  <c r="R278" i="80" s="1"/>
  <c r="S40" i="83"/>
  <c r="S19" i="81"/>
  <c r="S40" i="81" s="1" a="1"/>
  <c r="S40" i="81" s="1"/>
  <c r="Q42" i="109"/>
  <c r="O45" i="109" s="1" a="1"/>
  <c r="O45" i="109" s="1"/>
  <c r="F21" i="13" a="1"/>
  <c r="F21" i="13" s="1"/>
  <c r="I21" i="13" s="1" a="1"/>
  <c r="I21" i="13" s="1"/>
  <c r="R77" i="83" a="1"/>
  <c r="R77" i="83" s="1"/>
  <c r="R140" i="83" a="1"/>
  <c r="R140" i="83" s="1"/>
  <c r="R107" i="83" a="1"/>
  <c r="R107" i="83" s="1"/>
  <c r="R81" i="83" a="1"/>
  <c r="R81" i="83" s="1"/>
  <c r="R111" i="83" a="1"/>
  <c r="R111" i="83" s="1"/>
  <c r="R144" i="83" a="1"/>
  <c r="R144" i="83" s="1"/>
  <c r="F16" i="13"/>
  <c r="I16" i="13" s="1"/>
  <c r="H16" i="13"/>
  <c r="Q19" i="85"/>
  <c r="Q24" i="85" s="1" a="1"/>
  <c r="Q24" i="85" s="1"/>
  <c r="Q51" i="84" a="1"/>
  <c r="Q51" i="84" s="1"/>
  <c r="P53" i="84" s="1"/>
  <c r="Q23" i="86"/>
  <c r="Q28" i="86" s="1" a="1"/>
  <c r="Q28" i="86" s="1"/>
  <c r="E30" i="86"/>
  <c r="J43" i="86" s="1"/>
  <c r="E47" i="86" s="1" a="1"/>
  <c r="E47" i="86" s="1"/>
  <c r="G49" i="86" s="1"/>
  <c r="E52" i="86" s="1" a="1"/>
  <c r="E52" i="86" s="1"/>
  <c r="E26" i="85"/>
  <c r="I38" i="85" s="1"/>
  <c r="E45" i="85" s="1" a="1"/>
  <c r="E45" i="85" s="1"/>
  <c r="E13" i="13" s="1" a="1"/>
  <c r="E13" i="13" s="1"/>
  <c r="H13" i="13" s="1" a="1"/>
  <c r="H13" i="13" s="1"/>
  <c r="H146" i="83" a="1"/>
  <c r="H146" i="83" s="1"/>
  <c r="G144" i="83" a="1"/>
  <c r="G144" i="83" s="1"/>
  <c r="G81" i="83" a="1"/>
  <c r="G81" i="83" s="1"/>
  <c r="G111" i="83" a="1"/>
  <c r="G111" i="83" s="1"/>
  <c r="G50" i="82" a="1"/>
  <c r="G50" i="82" s="1"/>
  <c r="G59" i="83"/>
  <c r="G83" i="83" s="1" a="1"/>
  <c r="G83" i="83" s="1"/>
  <c r="J146" i="83" a="1"/>
  <c r="J146" i="83" s="1"/>
  <c r="G146" i="83" a="1"/>
  <c r="G146" i="83" s="1"/>
  <c r="G113" i="83" a="1"/>
  <c r="G113" i="83" s="1"/>
  <c r="H79" i="83" a="1"/>
  <c r="H79" i="83" s="1"/>
  <c r="H109" i="83" a="1"/>
  <c r="H109" i="83" s="1"/>
  <c r="H142" i="83" a="1"/>
  <c r="H142" i="83" s="1"/>
  <c r="I109" i="83" a="1"/>
  <c r="I109" i="83" s="1"/>
  <c r="I79" i="83" a="1"/>
  <c r="I79" i="83" s="1"/>
  <c r="G108" i="83" a="1"/>
  <c r="G108" i="83" s="1"/>
  <c r="G141" i="83" a="1"/>
  <c r="G141" i="83" s="1"/>
  <c r="G78" i="83" a="1"/>
  <c r="G78" i="83" s="1"/>
  <c r="G80" i="83" a="1"/>
  <c r="G80" i="83" s="1"/>
  <c r="G110" i="83" a="1"/>
  <c r="G110" i="83" s="1"/>
  <c r="G143" i="83" a="1"/>
  <c r="G143" i="83" s="1"/>
  <c r="G106" i="83" a="1"/>
  <c r="G106" i="83" s="1"/>
  <c r="G139" i="83" a="1"/>
  <c r="G139" i="83" s="1"/>
  <c r="G76" i="83" a="1"/>
  <c r="G76" i="83" s="1"/>
  <c r="G140" i="83" a="1"/>
  <c r="G140" i="83" s="1"/>
  <c r="G107" i="83" a="1"/>
  <c r="G107" i="83" s="1"/>
  <c r="G77" i="83" a="1"/>
  <c r="G77" i="83" s="1"/>
  <c r="J109" i="83" a="1"/>
  <c r="J109" i="83" s="1"/>
  <c r="J142" i="83" a="1"/>
  <c r="J142" i="83" s="1"/>
  <c r="J79" i="83" a="1"/>
  <c r="J79" i="83" s="1"/>
  <c r="H113" i="83" a="1"/>
  <c r="H113" i="83" s="1"/>
  <c r="I146" i="83" a="1"/>
  <c r="I146" i="83" s="1"/>
  <c r="I83" i="83" a="1"/>
  <c r="I83" i="83" s="1"/>
  <c r="G145" i="83" a="1"/>
  <c r="G145" i="83" s="1"/>
  <c r="G82" i="83" a="1"/>
  <c r="G82" i="83" s="1"/>
  <c r="G112" i="83" a="1"/>
  <c r="G112" i="83" s="1"/>
  <c r="J83" i="83" a="1"/>
  <c r="J83" i="83" s="1"/>
  <c r="I142" i="83" a="1"/>
  <c r="I142" i="83" s="1"/>
  <c r="G49" i="82" a="1"/>
  <c r="G49" i="82" s="1"/>
  <c r="G55" i="83"/>
  <c r="G142" i="83" s="1" a="1"/>
  <c r="G142" i="83" s="1"/>
  <c r="I113" i="83" a="1"/>
  <c r="I113" i="83" s="1"/>
  <c r="F111" i="83" a="1"/>
  <c r="F111" i="83" s="1"/>
  <c r="F81" i="83" a="1"/>
  <c r="F81" i="83" s="1"/>
  <c r="F144" i="83" a="1"/>
  <c r="F144" i="83" s="1"/>
  <c r="F59" i="83"/>
  <c r="F83" i="83" s="1" a="1"/>
  <c r="F83" i="83" s="1"/>
  <c r="F50" i="82" a="1"/>
  <c r="F50" i="82" s="1"/>
  <c r="F82" i="83" a="1"/>
  <c r="F82" i="83" s="1"/>
  <c r="F145" i="83" a="1"/>
  <c r="F145" i="83" s="1"/>
  <c r="F112" i="83" a="1"/>
  <c r="F112" i="83" s="1"/>
  <c r="F110" i="83" a="1"/>
  <c r="F110" i="83" s="1"/>
  <c r="F143" i="83" a="1"/>
  <c r="F143" i="83" s="1"/>
  <c r="F80" i="83" a="1"/>
  <c r="F80" i="83" s="1"/>
  <c r="F139" i="83" a="1"/>
  <c r="F139" i="83" s="1"/>
  <c r="F106" i="83" a="1"/>
  <c r="F106" i="83" s="1"/>
  <c r="F76" i="83" a="1"/>
  <c r="F76" i="83" s="1"/>
  <c r="F78" i="83" a="1"/>
  <c r="F78" i="83" s="1"/>
  <c r="F108" i="83" a="1"/>
  <c r="F108" i="83" s="1"/>
  <c r="F141" i="83" a="1"/>
  <c r="F141" i="83" s="1"/>
  <c r="E49" i="81"/>
  <c r="I61" i="81" s="1"/>
  <c r="E68" i="81" s="1" a="1"/>
  <c r="E68" i="81" s="1"/>
  <c r="F49" i="82" a="1"/>
  <c r="F49" i="82" s="1"/>
  <c r="F55" i="83"/>
  <c r="F142" i="83" s="1" a="1"/>
  <c r="F142" i="83" s="1"/>
  <c r="F107" i="83" a="1"/>
  <c r="F107" i="83" s="1"/>
  <c r="F77" i="83" a="1"/>
  <c r="F77" i="83" s="1"/>
  <c r="F140" i="83" a="1"/>
  <c r="F140" i="83" s="1"/>
  <c r="E287" i="80"/>
  <c r="S78" i="83" l="1" a="1"/>
  <c r="S78" i="83" s="1"/>
  <c r="S108" i="83" a="1"/>
  <c r="S108" i="83" s="1"/>
  <c r="S141" i="83" a="1"/>
  <c r="S141" i="83" s="1"/>
  <c r="P30" i="86"/>
  <c r="U43" i="86" s="1"/>
  <c r="P47" i="86" s="1" a="1"/>
  <c r="P47" i="86" s="1"/>
  <c r="S76" i="83" a="1"/>
  <c r="S76" i="83" s="1"/>
  <c r="S106" i="83" a="1"/>
  <c r="S106" i="83" s="1"/>
  <c r="S139" i="83" a="1"/>
  <c r="S139" i="83" s="1"/>
  <c r="F20" i="13"/>
  <c r="I20" i="13" s="1" a="1"/>
  <c r="I20" i="13" s="1"/>
  <c r="H20" i="13" a="1"/>
  <c r="H20" i="13" s="1"/>
  <c r="S49" i="82" a="1"/>
  <c r="S49" i="82" s="1"/>
  <c r="S55" i="83"/>
  <c r="S142" i="83" s="1" a="1"/>
  <c r="S142" i="83" s="1"/>
  <c r="S107" i="83" a="1"/>
  <c r="S107" i="83" s="1"/>
  <c r="S77" i="83" a="1"/>
  <c r="S77" i="83" s="1"/>
  <c r="S140" i="83" a="1"/>
  <c r="S140" i="83" s="1"/>
  <c r="F12" i="13" a="1"/>
  <c r="F12" i="13" s="1"/>
  <c r="I12" i="13" s="1" a="1"/>
  <c r="I12" i="13" s="1"/>
  <c r="R55" i="84"/>
  <c r="P58" i="84" s="1" a="1"/>
  <c r="P58" i="84" s="1"/>
  <c r="Q111" i="83" a="1"/>
  <c r="Q111" i="83" s="1"/>
  <c r="Q81" i="83" a="1"/>
  <c r="Q81" i="83" s="1"/>
  <c r="Q144" i="83" a="1"/>
  <c r="Q144" i="83" s="1"/>
  <c r="P26" i="85"/>
  <c r="S38" i="85" s="1"/>
  <c r="P45" i="85" s="1" a="1"/>
  <c r="P45" i="85" s="1"/>
  <c r="Q80" i="83" a="1"/>
  <c r="Q80" i="83" s="1"/>
  <c r="Q143" i="83" a="1"/>
  <c r="Q143" i="83" s="1"/>
  <c r="Q110" i="83" a="1"/>
  <c r="Q110" i="83" s="1"/>
  <c r="Q140" i="83" a="1"/>
  <c r="Q140" i="83" s="1"/>
  <c r="Q107" i="83" a="1"/>
  <c r="Q107" i="83" s="1"/>
  <c r="Q77" i="83" a="1"/>
  <c r="Q77" i="83" s="1"/>
  <c r="Q108" i="83" a="1"/>
  <c r="Q108" i="83" s="1"/>
  <c r="Q141" i="83" a="1"/>
  <c r="Q141" i="83" s="1"/>
  <c r="Q78" i="83" a="1"/>
  <c r="Q78" i="83" s="1"/>
  <c r="S110" i="83" a="1"/>
  <c r="S110" i="83" s="1"/>
  <c r="S80" i="83" a="1"/>
  <c r="S80" i="83" s="1"/>
  <c r="S143" i="83" a="1"/>
  <c r="S143" i="83" s="1"/>
  <c r="R109" i="83" a="1"/>
  <c r="R109" i="83" s="1"/>
  <c r="O287" i="80"/>
  <c r="Q76" i="83" a="1"/>
  <c r="Q76" i="83" s="1"/>
  <c r="Q106" i="83" a="1"/>
  <c r="Q106" i="83" s="1"/>
  <c r="Q139" i="83" a="1"/>
  <c r="Q139" i="83" s="1"/>
  <c r="P90" i="91"/>
  <c r="N93" i="91" s="1" a="1"/>
  <c r="N93" i="91" s="1"/>
  <c r="F15" i="13" a="1"/>
  <c r="F15" i="13" s="1"/>
  <c r="I15" i="13" s="1" a="1"/>
  <c r="I15" i="13" s="1"/>
  <c r="Q59" i="83"/>
  <c r="Q50" i="82" a="1"/>
  <c r="Q50" i="82" s="1"/>
  <c r="P49" i="81"/>
  <c r="R61" i="81" s="1"/>
  <c r="P68" i="81" s="1" a="1"/>
  <c r="P68" i="81" s="1"/>
  <c r="S50" i="82" a="1"/>
  <c r="S50" i="82" s="1"/>
  <c r="S59" i="83"/>
  <c r="S82" i="83" a="1"/>
  <c r="S82" i="83" s="1"/>
  <c r="S145" i="83" a="1"/>
  <c r="S145" i="83" s="1"/>
  <c r="S112" i="83" a="1"/>
  <c r="S112" i="83" s="1"/>
  <c r="Q49" i="82" a="1"/>
  <c r="Q49" i="82" s="1"/>
  <c r="P52" i="82" s="1"/>
  <c r="F11" i="13" s="1" a="1"/>
  <c r="F11" i="13" s="1"/>
  <c r="I11" i="13" s="1" a="1"/>
  <c r="I11" i="13" s="1"/>
  <c r="Q55" i="83"/>
  <c r="E12" i="13" a="1"/>
  <c r="E12" i="13" s="1"/>
  <c r="H12" i="13" s="1" a="1"/>
  <c r="H12" i="13" s="1"/>
  <c r="S81" i="83" a="1"/>
  <c r="S81" i="83" s="1"/>
  <c r="S144" i="83" a="1"/>
  <c r="S144" i="83" s="1"/>
  <c r="S111" i="83" a="1"/>
  <c r="S111" i="83" s="1"/>
  <c r="S113" i="83" a="1"/>
  <c r="S113" i="83" s="1"/>
  <c r="S146" i="83" a="1"/>
  <c r="S146" i="83" s="1"/>
  <c r="S83" i="83" a="1"/>
  <c r="S83" i="83" s="1"/>
  <c r="G148" i="95"/>
  <c r="E151" i="95" s="1" a="1"/>
  <c r="E151" i="95" s="1"/>
  <c r="E19" i="13" a="1"/>
  <c r="E19" i="13" s="1"/>
  <c r="Q112" i="83" a="1"/>
  <c r="Q112" i="83" s="1"/>
  <c r="Q82" i="83" a="1"/>
  <c r="Q82" i="83" s="1"/>
  <c r="Q145" i="83" a="1"/>
  <c r="Q145" i="83" s="1"/>
  <c r="F109" i="83" a="1"/>
  <c r="F109" i="83" s="1"/>
  <c r="G109" i="83" a="1"/>
  <c r="G109" i="83" s="1"/>
  <c r="G79" i="83" a="1"/>
  <c r="G79" i="83" s="1"/>
  <c r="G47" i="85"/>
  <c r="E50" i="85" s="1" a="1"/>
  <c r="E50" i="85" s="1"/>
  <c r="E14" i="13" a="1"/>
  <c r="E14" i="13" s="1"/>
  <c r="H14" i="13" s="1" a="1"/>
  <c r="H14" i="13" s="1"/>
  <c r="R54" i="82"/>
  <c r="P57" i="82" s="1" a="1"/>
  <c r="P57" i="82" s="1"/>
  <c r="F146" i="83" a="1"/>
  <c r="F146" i="83" s="1"/>
  <c r="E148" i="83" s="1"/>
  <c r="F79" i="83" a="1"/>
  <c r="F79" i="83" s="1"/>
  <c r="F113" i="83" a="1"/>
  <c r="F113" i="83" s="1"/>
  <c r="E52" i="82"/>
  <c r="G54" i="82" s="1"/>
  <c r="E57" i="82" s="1" a="1"/>
  <c r="E57" i="82" s="1"/>
  <c r="G289" i="80"/>
  <c r="E292" i="80" s="1" a="1"/>
  <c r="E292" i="80" s="1"/>
  <c r="E9" i="13" a="1"/>
  <c r="E9" i="13" s="1"/>
  <c r="H9" i="13" s="1" a="1"/>
  <c r="H9" i="13" s="1"/>
  <c r="E11" i="13" a="1"/>
  <c r="E11" i="13" s="1"/>
  <c r="H11" i="13" s="1" a="1"/>
  <c r="H11" i="13" s="1"/>
  <c r="E10" i="13" a="1"/>
  <c r="E10" i="13" s="1"/>
  <c r="H10" i="13" s="1" a="1"/>
  <c r="H10" i="13" s="1"/>
  <c r="G70" i="81"/>
  <c r="E73" i="81" s="1" a="1"/>
  <c r="E73" i="81" s="1"/>
  <c r="S109" i="83" l="1" a="1"/>
  <c r="S109" i="83" s="1"/>
  <c r="R47" i="85"/>
  <c r="P50" i="85" s="1" a="1"/>
  <c r="P50" i="85" s="1"/>
  <c r="F13" i="13" a="1"/>
  <c r="F13" i="13" s="1"/>
  <c r="I13" i="13" s="1" a="1"/>
  <c r="I13" i="13" s="1"/>
  <c r="F14" i="13" a="1"/>
  <c r="F14" i="13" s="1"/>
  <c r="I14" i="13" s="1" a="1"/>
  <c r="I14" i="13" s="1"/>
  <c r="R49" i="86"/>
  <c r="P52" i="86" s="1" a="1"/>
  <c r="P52" i="86" s="1"/>
  <c r="H19" i="13" a="1"/>
  <c r="H19" i="13" s="1"/>
  <c r="F19" i="13"/>
  <c r="I19" i="13" s="1" a="1"/>
  <c r="I19" i="13" s="1"/>
  <c r="S79" i="83" a="1"/>
  <c r="S79" i="83" s="1"/>
  <c r="Q79" i="83" a="1"/>
  <c r="Q79" i="83" s="1"/>
  <c r="Q142" i="83" a="1"/>
  <c r="Q142" i="83" s="1"/>
  <c r="P148" i="83" s="1"/>
  <c r="F9" i="13" a="1"/>
  <c r="F9" i="13" s="1"/>
  <c r="I9" i="13" s="1" a="1"/>
  <c r="I9" i="13" s="1"/>
  <c r="Q289" i="80"/>
  <c r="O292" i="80" s="1" a="1"/>
  <c r="O292" i="80" s="1"/>
  <c r="R70" i="81"/>
  <c r="P73" i="81" s="1" a="1"/>
  <c r="P73" i="81" s="1"/>
  <c r="F10" i="13" a="1"/>
  <c r="F10" i="13" s="1"/>
  <c r="I10" i="13" s="1" a="1"/>
  <c r="I10" i="13" s="1"/>
  <c r="Q113" i="83" a="1"/>
  <c r="Q113" i="83" s="1"/>
  <c r="Q83" i="83" a="1"/>
  <c r="Q83" i="83" s="1"/>
  <c r="Q146" i="83" a="1"/>
  <c r="Q146" i="83" s="1"/>
  <c r="Q109" i="83" a="1"/>
  <c r="Q109" i="83" s="1"/>
  <c r="E115" i="83"/>
  <c r="E85" i="83"/>
  <c r="P115" i="83" l="1"/>
  <c r="P85" i="83"/>
  <c r="R302" i="79"/>
  <c r="P305" i="79" s="1" a="1"/>
  <c r="P305" i="79" s="1"/>
  <c r="G302" i="79"/>
  <c r="E305" i="79" s="1" a="1"/>
  <c r="E305" i="79" s="1"/>
  <c r="E8" i="13" l="1" a="1"/>
  <c r="E8" i="13" s="1"/>
  <c r="H8" i="13" s="1" a="1"/>
  <c r="H8" i="13" s="1"/>
  <c r="H31" i="13" s="1"/>
  <c r="E41" i="13" s="1"/>
  <c r="E45" i="13" s="1"/>
  <c r="F8" i="13" a="1"/>
  <c r="F8" i="13" s="1"/>
  <c r="I8" i="13" s="1" a="1"/>
  <c r="I8" i="13" s="1"/>
  <c r="I31" i="13" s="1"/>
  <c r="F41" i="13" s="1"/>
  <c r="F45" i="13" s="1"/>
  <c r="H67" i="13" l="1"/>
  <c r="H75" i="13"/>
  <c r="H69" i="13"/>
  <c r="H77" i="13"/>
  <c r="E62" i="13"/>
  <c r="I77" i="13"/>
  <c r="I69" i="13"/>
  <c r="I75" i="13"/>
  <c r="I67" i="13"/>
  <c r="F62" i="13"/>
  <c r="I76" i="13" l="1"/>
  <c r="I78" i="13"/>
  <c r="I84" i="13"/>
  <c r="I68" i="13"/>
  <c r="I70" i="13"/>
  <c r="H70" i="13"/>
  <c r="H76" i="13"/>
  <c r="H78" i="13"/>
  <c r="H83" i="13"/>
  <c r="H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<sst xmlns="http://schemas.openxmlformats.org/spreadsheetml/2006/main" count="4217" uniqueCount="1286">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</sst>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7" fillId="0" borderId="0"/>
    <xf numFmtId="0" fontId="1" fillId="0" borderId="0"/>
    <xf numFmtId="0" fontId="83" fillId="4" borderId="0">
      <alignment horizontal="left" vertical="center"/>
    </xf>
    <xf numFmtId="0" fontId="42" fillId="17" borderId="2">
      <alignment horizontal="center" vertical="center"/>
    </xf>
  </cellStyleXfs>
  <cellXfs count="28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6" fillId="4" borderId="0" xfId="59" applyFont="1">
      <alignment horizontal="left" vertical="center"/>
    </xf>
    <xf numFmtId="0" fontId="30" fillId="4" borderId="0" xfId="8"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7" fillId="0" borderId="0" xfId="69"/>
    <xf numFmtId="0" fontId="58" fillId="4" borderId="0" xfId="8" applyFont="1">
      <alignment horizontal="left" vertical="center"/>
    </xf>
    <xf numFmtId="0" fontId="59"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1"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7" fillId="2" borderId="0" xfId="8" applyFont="1" applyFill="1">
      <alignment horizontal="left" vertical="center"/>
    </xf>
    <xf numFmtId="0" fontId="30" fillId="16" borderId="0" xfId="8" applyFill="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BBFF5794-2E94-491C-A60D-D301F88EC706}"/>
    <cellStyle name="Block heading" xfId="5" xr:uid="{74527274-3B4A-494A-B37C-EA50686E114C}"/>
    <cellStyle name="Block subheading" xfId="47" xr:uid="{34E62905-A3E0-4883-B81A-BDB58FC88DA7}"/>
    <cellStyle name="Block subheading 2" xfId="71" xr:uid="{C5B31AFF-738B-4616-8109-D783299340F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84810FCE-47F4-4E4D-9266-5DD07DE8ED0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732E8033-F16D-4888-83A8-64BA66FC7B3F}"/>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haredStrings" Target="sharedStrings.xml" /><Relationship Id="rId7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9064640A-C28D-4A2E-B875-4DAB8D8A6847}"/>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CE85B4F9-B201-44D5-8FE3-5AA2C941DEC3}"/>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48333D2B-2A05-4F25-B746-61BC7E09A9BD}"/>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04B7556B-B15B-4620-864B-C95290EF1C91}"/>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BE914A85-6CF4-4E06-A52C-5BD62B735AA6}"/>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966F6D80-339A-499A-A34D-68E2DC247B4B}"/>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7C6D42F1-2A9F-46A1-919B-0D22C39DDDB7}"/>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39671ADF-5DFF-4356-B65A-FF82EE239EAA}"/>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9E70DBCD-C940-4FEF-AB4C-BEC7F904B9CC}"/>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A3FE9CB6-3A73-4839-A014-5AE3DFF59BD1}"/>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26BAE332-D44D-4CF3-BE14-7A4075299FB8}"/>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7614A2E9-7677-4E94-A42F-2E2EBF99014D}"/>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95A3DFCD-BA63-4B90-A71A-1D2E5AED706B}"/>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8B924DA5-B32D-4B39-9921-D3D89BB85C30}"/>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13663289-7A79-4BD9-97E9-02BA2D51363D}"/>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708D4D0-4EAD-47A3-847D-647083DB8DD6}"/>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13CE204-075F-4D5F-BE01-8C2A964819FF}"/>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33CC5CAE-8D1C-4956-838F-3A3489C1740A}"/>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900B5149-01E9-4FE0-AEEA-FCE78213EF05}"/>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0B2F0331-E936-4218-AC2A-0FC0D97CDC8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F6DF887A-21A5-4CB9-98BB-1ED259A2E239}"/>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C874EB25-20C0-441A-B9B1-552225CEDB50}"/>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3768CE1C-0D19-418A-B898-E88B114B84A1}"/>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A1F44913-9B6C-4C61-BECE-2185BBC950F8}"/>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8161C4F3-8D18-4AFB-B3A0-5C9DFAB42DCD}"/>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6216E992-CCAC-45B4-B845-330EDD607F5D}"/>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31626F61-EECB-44DA-AC13-26DCEE8B97B3}"/>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CACFA06C-6623-4ACE-B75C-045AE0CFC974}"/>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BAC915F5-ABD8-4B29-9134-B9F39E2D9DBA}"/>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4CCE5915-63D9-4270-873B-ECD4F79B6901}"/>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0407708D-8D32-4F8A-AA2A-F3AD3BCB17E4}"/>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BE9BE72F-49A3-4FB4-BCA2-CEEB64CDE964}"/>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65A38D7C-37C8-4241-BDC8-DB9D6DCA32EF}"/>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0C99F490-D72E-4018-9B2C-CF26E4441081}"/>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229DE002-31D6-4D53-90DC-53495BE562AD}"/>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C0B4D2F7-CBBB-4079-BA28-2C2BFF298436}"/>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D3E92F78-8A84-4F33-856D-814A00C324BA}"/>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B513C3F4-4093-4B4F-A9DF-1E982C08EE5E}"/>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2AEA82A9-A847-4755-A4B4-F4094B1F735F}"/>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C3C4E182-60DE-429C-AB01-102FA132FA98}"/>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6A0992C0-6325-4461-941B-730F24DEB7CA}"/>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FD625D00-FB41-49DE-870C-75C4892E927F}"/>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3D706341-F8AF-4A15-BAC6-94DDA0F86C21}"/>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5A822B2F-74B6-4736-931F-7C3BF8D8474F}"/>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3C8CEB08-37F5-4079-AA36-23768B8DDB97}"/>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D884AF6B-38A9-4B49-A708-C21BD7D93D0D}"/>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2556E455-C0C7-4850-B67F-865DA579DEAE}"/>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96D2D714-7C40-4609-8D72-04D0F4371690}"/>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700B2857-6350-4969-BE80-CFE4CA4CD742}"/>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E6EF0E7E-42E2-4E94-9E1F-AB3472BDDF4B}"/>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AC949501-EE7D-496F-922B-E866931AB5F8}"/>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13E7E0C8-FADF-43BE-BAEB-D173BCA0EC34}"/>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D3B0C3C2-67EE-46A1-BF3A-1FB195D8DB01}"/>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F584979C-2B59-44E6-9EE8-6FD82D8D3114}"/>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35940F75-ED00-402B-A6C4-5F47A7C77F00}"/>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11A3AAA7-4422-4FE5-92DC-D58233C8EF06}"/>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BE66835A-FEFD-416A-B878-C0BC98EC5D1D}"/>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3D3E495B-B1BC-4D5C-B700-C865A1208ECF}"/>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E4120EAF-A3BB-4380-A656-EE90E36D0642}"/>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F8D6749D-5878-42DA-AC43-3DD77377A8B8}"/>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EEDDECC2-AC8C-45AB-8C29-54C6C044E920}"/>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CC525F5D-F4B2-40BB-B3F4-58BC1DA0F56A}"/>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1653FD06-7B33-49EE-B38B-D3EBE88F27F9}"/>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3D0E05A6-C495-4F9E-98BA-81F9CE533586}"/>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5F437A9E-8479-47E5-83D0-35F6298D78E5}"/>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80BD0E0C-034A-4390-B7B4-D22719C55C11}"/>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6B37242B-A892-4AEC-9093-FAE56963AB29}"/>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79C807FE-0A92-4176-9980-E243BF638AED}"/>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FDD90873-C2A3-4C0F-AE31-6F540989740B}"/>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07935CAF-AEB9-4F63-9338-AF54309F0C06}"/>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8BFD9491-B215-485B-A026-79ED925425D8}"/>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FCEDF38B-E5C0-4359-8DA1-3CE65D42544A}"/>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0074A052-08E6-44F9-A514-E966C8CC4888}"/>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4ED343B1-C91A-41F4-BC15-91FA3CB8C342}"/>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8AC5B52F-1B19-470B-940F-810B187135DF}"/>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CCF7208A-4127-46BE-9A82-3D880765924A}"/>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0D2A1A82-1110-4871-8042-D87B7036784D}"/>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F9DB22DB-83CC-489A-99FE-36506A22330F}"/>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E9FECA6D-C8C2-4852-9BD2-24D7E6BC3D42}"/>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39134DE7-B1EA-4427-A6D6-4DAACEE58C4F}"/>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315735A6-68DF-4E00-A279-6F76A924CD83}"/>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BFBCCDB0-B84D-4FA8-BB65-E375EC70FCD7}"/>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C8E6EB84-7D98-4834-A3FF-456CB55C0F07}"/>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0EE22985-1EED-4807-ABA4-F7B1098982D2}"/>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95A7946A-0848-4053-8714-B57FE1C5CC1F}"/>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32E76F24-854A-4EAD-8638-57368A3A5336}"/>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95749184-AEA9-4995-8C8A-D3294F08B56D}"/>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E48D11C1-EFC3-49F3-8BBB-A8EEC6F84767}"/>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74E57F8B-AB9F-4B43-9F6A-60979B27E534}"/>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534DE8C1-15CA-4964-AC46-BA41B504B6F1}"/>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A58DCB2D-53E4-48DB-A4A9-773143775937}"/>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9DABAF42-213E-4BA5-9573-37BD41D2AD2E}"/>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4326D580-96EF-4251-8A0C-F98BD1E5E0C5}"/>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FE12397F-9DA9-4069-BFE6-A52375CBA86E}"/>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1C347EF7-47F2-497D-891F-57AF977E9F31}"/>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44E2D69-EC8F-4ED6-A67A-5AFDB293C488}" name="Table_Input_LivestockPurchases_Dairy" displayName="Table_Input_LivestockPurchases_Dairy" ref="D6:I16" totalsRowShown="0" headerRowDxfId="459">
  <autoFilter ref="D6:I16" xr:uid="{E938BFB3-949A-45DE-8033-0682BC494B81}"/>
  <tableColumns count="6">
    <tableColumn id="9" xr3:uid="{687EB097-4575-41C1-824F-2A60E0B00A98}" name="Transaction name" dataCellStyle="Input text"/>
    <tableColumn id="11" xr3:uid="{46691E75-A345-4103-B0DB-37EFD3013990}" name="Class (select)" dataDxfId="458" dataCellStyle="Input select"/>
    <tableColumn id="2" xr3:uid="{C62D256B-9C1B-4D2F-9145-E4E44E63AA6B}" name="Breed (select)" dataCellStyle="Input select"/>
    <tableColumn id="3" xr3:uid="{64C0C6F1-375A-48E7-A0ED-D39DB997C40E}" name="Quantity (head)" dataCellStyle="Input number general"/>
    <tableColumn id="12" xr3:uid="{7B18D372-5977-4DC1-85C5-DF746697E336}" name="Liveweight (kg/head) Method 1" dataCellStyle="Input number general calculated"/>
    <tableColumn id="4" xr3:uid="{10E7080C-53EF-4386-ACED-E37CC98FB5DF}"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5CC03B1-D830-4300-A3AB-07D72F6DAA3E}"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FCFDAC04-9063-4503-92F0-CD737A5F517E}" name="Product (select)" dataDxfId="454" totalsRowDxfId="453" dataCellStyle="Input select"/>
    <tableColumn id="23" xr3:uid="{CAE35226-8D8F-42F5-BF32-E039680D2416}" name="Amount applied per hectare" totalsRowFunction="custom" dataDxfId="452" totalsRowDxfId="451">
      <totalsRowFormula>SUM(Table_Input_InorganicFertiliser_Brands[[#Headers],[#Data],[Amount applied per hectare]])</totalsRowFormula>
    </tableColumn>
    <tableColumn id="12" xr3:uid="{56A5E3EC-1C56-42CA-9226-F5F92FCA5FB5}" name="Application unit" dataDxfId="450" totalsRowDxfId="449" dataCellStyle="Input number 2 decimal places"/>
    <tableColumn id="9" xr3:uid="{9F35CD09-9926-49B8-B8B8-4951EA04F658}" name="Density" dataDxfId="448" totalsRowDxfId="447" dataCellStyle="Input number 2 decimal places"/>
    <tableColumn id="6" xr3:uid="{1B9C83DF-D9C3-4C92-ABEB-36780A9640EA}" name="Application area (ha)" dataDxfId="446" totalsRowDxfId="445">
      <calculatedColumnFormula>X_Cell_Fertiliser_AreaUnderCropping</calculatedColumnFormula>
    </tableColumn>
    <tableColumn id="1" xr3:uid="{0C73216A-FB47-496A-87A5-CD4FED9F12A4}"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B8C4B0D-6BB1-4A09-9F84-05ED04E1FEB6}" name="Ingredient 1" dataDxfId="442" totalsRowDxfId="441" dataCellStyle="Input number general calculated"/>
    <tableColumn id="4" xr3:uid="{49D8C141-EF35-4BF5-BAB6-DC470C7E6AFC}" name="Ingredient 1 percent" dataDxfId="440" totalsRowDxfId="439" dataCellStyle="Input number general calculated"/>
    <tableColumn id="7" xr3:uid="{59504687-A67F-4763-AD2E-2719279FB6C9}" name="Ingredient 2" dataDxfId="438" dataCellStyle="Input number general calculated"/>
    <tableColumn id="8" xr3:uid="{B9810E9D-F598-49F8-8302-BD933041B9E6}" name="Ingredient 2 percent" dataDxfId="437" totalsRowDxfId="436" dataCellStyle="Input number general calculated"/>
    <tableColumn id="10" xr3:uid="{11379859-0285-421F-96F6-EB81F817F6CB}" name="Ingredient 3" dataDxfId="435" totalsRowDxfId="434" dataCellStyle="Input number general calculated"/>
    <tableColumn id="11" xr3:uid="{114D2D80-93DB-4542-9DF4-18EAB0E71491}" name="Ingredient 3 percent" dataDxfId="433" totalsRowDxfId="432" dataCellStyle="Input number general calculated"/>
    <tableColumn id="13" xr3:uid="{76CC4D34-FD75-4837-B521-9D8A143CB67A}" name="Ingredient 4" dataDxfId="431" totalsRowDxfId="430" dataCellStyle="Input number general calculated"/>
    <tableColumn id="14" xr3:uid="{403AF3F9-9AD3-48EA-A7FB-A73915BA6136}" name="Ingredient 4 percent" dataDxfId="429" dataCellStyle="Input number general calculated"/>
    <tableColumn id="16" xr3:uid="{845E3DAF-6D40-4DF1-8AD7-60A09A597F81}" name="Ingredient 5" dataDxfId="428" dataCellStyle="Input number general calculated"/>
    <tableColumn id="17" xr3:uid="{892931D9-BC28-455B-92F6-70DB647C2F96}" name="Ingredient 5 percent" dataDxfId="427" dataCellStyle="Input number general calculated"/>
    <tableColumn id="19" xr3:uid="{E9A52FCB-59AC-4340-97A1-6612C2499D2B}" name="Ingredient 6" dataDxfId="426" dataCellStyle="Input number general calculated"/>
    <tableColumn id="20" xr3:uid="{1DCBB6A2-1EC2-4E8A-93B9-7A182223D436}" name="Ingredient 6 percent" dataDxfId="425" dataCellStyle="Input number general calculated"/>
    <tableColumn id="5" xr3:uid="{961BC50D-2CC1-432D-8F9A-8087FB644BAD}" name="N application rate (kg/ha)" dataDxfId="424" totalsRowDxfId="423" dataCellStyle="Input number general calculated"/>
    <tableColumn id="15" xr3:uid="{E24A614F-F35E-4BD2-ACF7-139BF78F14E1}" name="Urea source" dataDxfId="422" totalsRowDxfId="421" dataCellStyle="Input number general calculated"/>
    <tableColumn id="18" xr3:uid="{AFBF2946-2C66-41B0-A77D-9D75F79DD051}"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3BE992F-4AA5-4859-9D79-27337F61D025}"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A6ADA16-AE53-4F2C-89D1-F3E41A18F22E}" name="Custom blend name" dataCellStyle="Input text"/>
    <tableColumn id="2" xr3:uid="{4F3053A2-ECF0-4777-8ED0-10310D0EF092}" name="Amount applied (kg / ha)" dataDxfId="416"/>
    <tableColumn id="3" xr3:uid="{7AB9E682-28BB-4493-8D4D-C8A93C16A605}" name="Application area (ha)" dataDxfId="415" dataCellStyle="Input number 2 decimal places">
      <calculatedColumnFormula>X_Cell_Fertiliser_AreaUnderCropping</calculatedColumnFormula>
    </tableColumn>
    <tableColumn id="4" xr3:uid="{C8BA49EE-16C4-4EC3-86B1-DED98A8EF7F2}"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544F8236-BC03-4E6F-A05F-7461BFD6D6C7}" name="Ingredient 1 (select)" dataDxfId="413" dataCellStyle="Input select"/>
    <tableColumn id="6" xr3:uid="{C8D7CA65-18A0-4C03-AC26-5F6363361E67}" name="Ingredient 1 percent" dataDxfId="412"/>
    <tableColumn id="8" xr3:uid="{224ED532-A1FB-42A4-BFBD-6C742B610015}" name="Ingredient 2" dataDxfId="411" dataCellStyle="Input select"/>
    <tableColumn id="9" xr3:uid="{A8214F02-9F96-4ADB-8A58-94FA5BC64C9B}" name="Ingredient 2 percent" dataDxfId="410"/>
    <tableColumn id="11" xr3:uid="{D63F4264-6C57-4562-B63C-AF4E3AF64CF1}" name="Ingredient 3" dataDxfId="409" dataCellStyle="Input select"/>
    <tableColumn id="12" xr3:uid="{F33B620E-2A56-4B39-A565-46D5AB60B49D}" name="Ingredient 3 percent" dataDxfId="408"/>
    <tableColumn id="14" xr3:uid="{912ACC79-D60A-4E3A-8CF5-E7C63532A0C6}" name="Ingredient 4" dataDxfId="407" dataCellStyle="Input select"/>
    <tableColumn id="15" xr3:uid="{CEB1F1E1-52CB-454C-B085-B24EDD66DF0E}" name="Ingredient 4 percent" dataCellStyle="Input percent"/>
    <tableColumn id="7" xr3:uid="{78F87135-1184-4891-8015-B5A16FC376FE}" name="N application rate (kg/ha)" dataDxfId="406" dataCellStyle="Input number general calculated"/>
    <tableColumn id="10" xr3:uid="{FA156A2A-E52D-4CFC-96C5-AD28C86ACB24}" name="Urea source (Select)" dataCellStyle="Input select"/>
    <tableColumn id="13" xr3:uid="{CDB882B1-41A0-4120-AAA6-BE3080C9CB73}"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9EE830-6769-4877-9985-48400DF17F2B}"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9ED6F5F-5877-4F60-9C0B-938E1BE252C2}" name="Product" dataDxfId="403"/>
    <tableColumn id="2" xr3:uid="{B6AF4B72-2C55-42A3-977F-9BAA3E0BD0FB}" name="Amount applied (t/hectare)" dataDxfId="402"/>
    <tableColumn id="4" xr3:uid="{07EC4E6A-117A-4344-ACA8-803C8B58FE80}" name="Application area (ha)" dataDxfId="401" dataCellStyle="Input number 2 decimal places">
      <calculatedColumnFormula>X_Cell_Fertiliser_AreaUnderCropping</calculatedColumnFormula>
    </tableColumn>
    <tableColumn id="3" xr3:uid="{491FD1A8-05D6-4E37-AEFA-7E7A74B6D1FB}" name="Total amount applied (t)" dataDxfId="400" dataCellStyle="Input number general calculated">
      <calculatedColumnFormula>IFERROR(Table_Input_Lime[[#This Row],[Amount applied (t/hectare)]]*Table_Input_Lime[[#This Row],[Application area (ha)]], 0)</calculatedColumnFormula>
    </tableColumn>
    <tableColumn id="6" xr3:uid="{B3EFFDB6-0F69-45C9-93B1-5FBA57A9DE57}" name="Percent Lime CaCO3" dataDxfId="399"/>
    <tableColumn id="8" xr3:uid="{4371CD93-A825-46E8-8A4B-D85C5F464859}" name="Percent Dolomite CaMg(CO3)2" dataDxfId="398"/>
    <tableColumn id="7" xr3:uid="{9E425718-3B71-49DD-8F68-12546904FDF6}" name="Percent Gypsum" dataDxfId="397"/>
    <tableColumn id="10" xr3:uid="{AEBF9C72-D59E-42D6-B25D-956F3B8354A9}"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1470E16-61C4-4CAA-B20C-B84C6C9CC471}"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0D196AF-3F84-47E1-9FD2-A5B091EEAA9F}" name="Organic fertiliser type (select)" dataDxfId="393" dataCellStyle="Input select"/>
    <tableColumn id="5" xr3:uid="{B8E2B4AB-3183-4134-AF3F-56D2F88D43C4}" name="Percentage of N in fertiliser" dataDxfId="392"/>
    <tableColumn id="2" xr3:uid="{28CA76B6-81A9-440D-A030-CA56781B345F}" name="Amount applied (kg/hectare)" dataDxfId="391"/>
    <tableColumn id="11" xr3:uid="{1D01DB98-82CB-4A39-B945-1E99FAEE925A}"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03DC83DD-96B7-48D3-89C3-70F875131CBD}" name="Application area (ha)" dataDxfId="389" dataCellStyle="Input number 2 decimal places">
      <calculatedColumnFormula>X_Cell_Fertiliser_AreaUnderCropping</calculatedColumnFormula>
    </tableColumn>
    <tableColumn id="7" xr3:uid="{BC85C968-9075-4E2E-ADAC-0790E950ECFE}"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260629FA-B61D-4925-AFEE-69A423CC92C2}"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4419A4C-630F-49C9-841E-8022D75449AB}"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3BF4659-0B21-4D14-9847-3291C031325B}" name="Fuel use (select)" totalsRowFunction="average" totalsRowDxfId="385" dataCellStyle="Input select" totalsRowCellStyle="Input select"/>
    <tableColumn id="3" xr3:uid="{B408F431-F3AA-49C1-9A9F-924C8EE17994}" name="Fuel type (select)" totalsRowDxfId="384" dataCellStyle="Input select" totalsRowCellStyle="Input select"/>
    <tableColumn id="4" xr3:uid="{F5C91A7A-7741-4BA2-9A07-46C14E34F107}" name="Amount purchased" totalsRowDxfId="383" totalsRowCellStyle="Content bold"/>
    <tableColumn id="6" xr3:uid="{8B1618B6-E2B5-442A-98F8-5B0E97ACA018}" name="Amount unit" totalsRowDxfId="382" dataCellStyle="Input number general calculated" totalsRowCellStyle="Input text calculated"/>
    <tableColumn id="5" xr3:uid="{716EE7CF-9F4B-4BAC-A7DD-9B17715BAC80}" name="Percent consumed" totalsRowDxfId="381" totalsRowCellStyle="Input percent">
      <calculatedColumnFormula>1</calculatedColumnFormula>
    </tableColumn>
    <tableColumn id="1" xr3:uid="{81FA5302-F985-4C73-A865-4F7D26DD3702}"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B298CE0-7D62-4E1B-8085-C0C232A0371F}"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CB4C01B-4F46-4B78-A6BE-A9CA949E4FC3}"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FC33BE1-4177-4AC2-A098-02B6ADAEEE17}" name="Description"/>
    <tableColumn id="5" xr3:uid="{DBFA81F3-A6E1-48FD-BD8D-A713B021D083}" name="Source (select)" dataCellStyle="Input select"/>
    <tableColumn id="2" xr3:uid="{A9421D7A-893F-4983-8E7E-4F11594DBEF5}" name="Generation date" dataDxfId="378"/>
    <tableColumn id="3" xr3:uid="{6E1147B0-FC24-4B72-928C-7ADF60DD3BFB}" name="Number of certificates"/>
    <tableColumn id="4" xr3:uid="{F3A6D3A7-7684-45AB-91C7-9A367ED67E51}" name="MWh" dataCellStyle="Input number general calculated">
      <calculatedColumnFormula>Table_Input_RECSurrendered[[#This Row],[Number of certificates]]</calculatedColumnFormula>
    </tableColumn>
    <tableColumn id="7" xr3:uid="{565A9410-B75B-4B8E-8CDC-E74432A430C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0C2BF79-0628-4D62-A258-C43F25CAF58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784204C-7B89-4876-B584-1644B9392FFD}" name="Description"/>
    <tableColumn id="5" xr3:uid="{27DA76BD-E1C2-4299-945C-7C23CC6EE498}" name="Source" dataCellStyle="Input text calculated">
      <calculatedColumnFormula>"Issued for generated electricity"</calculatedColumnFormula>
    </tableColumn>
    <tableColumn id="2" xr3:uid="{39E96A25-63C0-4561-B716-91F1C7323AA9}" name="Generation date" dataDxfId="377"/>
    <tableColumn id="3" xr3:uid="{3E9C3420-D960-4CE5-8C5D-60763594C705}" name="Number of certificates"/>
    <tableColumn id="4" xr3:uid="{87CAEF6E-1528-4C7D-99F9-BB061D09E5C9}" name="MWh" dataCellStyle="Input number general calculated">
      <calculatedColumnFormula>Table_Input_RECConsumedByEntity[[#This Row],[Number of certificates]]</calculatedColumnFormula>
    </tableColumn>
    <tableColumn id="7" xr3:uid="{4CCB4862-F3E4-46DB-8A7D-8398D0233CDC}"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6A31BFD-90C9-4247-A078-22895F877CA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A2AC3C3-6C43-4B13-852A-A36491390E6E}" name="Product name" dataCellStyle="Input text"/>
    <tableColumn id="1" xr3:uid="{04C1FC25-6B8C-4AFE-869F-74FF2FB48214}" name="Type (select)" dataCellStyle="Input select"/>
    <tableColumn id="2" xr3:uid="{5ADAD04A-8E60-41C4-B1E7-8D16521E1FCD}"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A59C8F7-2414-466E-B1D5-896713B129EE}"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BF52C0BA-71C3-47C1-97BD-B9F1D7766774}" name="Packaging name"/>
    <tableColumn id="3" xr3:uid="{25A80FCD-3804-4AAF-8D4A-C485D6DA8027}" name="Quantity purchased" dataDxfId="375" dataCellStyle="Input number general"/>
    <tableColumn id="2" xr3:uid="{ABF7C2BA-7C3D-47E6-ACA9-E52F4AFCC94E}" name="Primary material" dataCellStyle="Input select"/>
    <tableColumn id="4" xr3:uid="{FEAE7713-BCF2-433A-BB70-8EA3857AB885}" name="Weight per unit (kg)" dataCellStyle="Input number general"/>
    <tableColumn id="6" xr3:uid="{8906FDED-EF83-4F89-B956-915A14B5E409}"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5C202A-B83A-4C30-87CF-F174780512E6}"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0DC280B-0AC8-4479-92CE-04D31B691EE2}" name="Product name"/>
    <tableColumn id="2" xr3:uid="{EEC2D245-E9A8-48CE-A3CE-916DB21FD576}" name="Amount applied per ha"/>
    <tableColumn id="7" xr3:uid="{D0D1D153-6C0A-4183-94B1-C42AA3E792D8}" name="Application unit (select)" dataCellStyle="Input select"/>
    <tableColumn id="6" xr3:uid="{33DA6528-C453-4A02-A5E7-B1D1EE9BEE78}" name="Application area (ha)" dataCellStyle="Input number general"/>
    <tableColumn id="3" xr3:uid="{CEC1A4D9-5114-462C-9833-F21EC7AFA384}" name="Total applied" dataCellStyle="Input number general calculated">
      <calculatedColumnFormula>Table_Input_Pesticides[[#This Row],[Amount applied per ha]]*Table_Input_Pesticides[[#This Row],[Application area (ha)]]</calculatedColumnFormula>
    </tableColumn>
    <tableColumn id="5" xr3:uid="{FBFB7B2C-769D-4D6B-81CE-DC6C7EBD734F}" name="Constituent unit (select)" dataCellStyle="Input select"/>
    <tableColumn id="4" xr3:uid="{EFC767C8-FFA6-4D76-BB38-3B8D5AF27213}" name="Active ingredient 1 (select)" dataCellStyle="Input select"/>
    <tableColumn id="8" xr3:uid="{D7EF2671-FEEA-4A90-8478-8F671932EE8A}" name="Active ingredient 1 amount" dataCellStyle="Input number general"/>
    <tableColumn id="16" xr3:uid="{7C95F9EA-B0AB-4794-8F73-5EE3049C724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B9AE69C1-9DAA-4B74-A58D-2656C24E9EC8}" name="Active ingredient 2 (select)" dataCellStyle="Input select"/>
    <tableColumn id="11" xr3:uid="{70B99BE9-A5CB-4587-B542-367177F2EEAE}" name="Active ingredient 2 amount" dataCellStyle="Input number general"/>
    <tableColumn id="17" xr3:uid="{93DDD13B-F059-4144-950A-277670F86E0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4AC07818-0C63-49B8-AD97-7436C1F96F21}" name="Active ingredient 3 (select)" dataCellStyle="Input select"/>
    <tableColumn id="14" xr3:uid="{DF68AB8D-A2FF-42E2-B84F-BE84197C2DAA}" name="Active ingredient 3 amount" dataCellStyle="Input number general"/>
    <tableColumn id="18" xr3:uid="{ADFF76AA-5E5E-41E6-91F1-8CCE5F4360B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4AA91D1-CD1C-4A18-AA7E-7B4F797BBF55}"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34DA5ADE-772C-465E-B68E-6100BBC99C7B}" name="Product name" dataCellStyle="Input text"/>
    <tableColumn id="1" xr3:uid="{10D2209D-2030-438B-AEAD-90F5F9274C3B}" name="Type (select)" dataDxfId="373" dataCellStyle="Input select"/>
    <tableColumn id="2" xr3:uid="{4FB3B7CD-AA1A-4B85-8532-482E0C7846CB}"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ECAD44E-3E41-4BA5-9636-B416C13DA079}"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633185A-133D-4519-B027-629D9FFC020A}" name="Product / service name" dataCellStyle="Input text"/>
    <tableColumn id="2" xr3:uid="{0B5CF7A4-CCE9-464C-B476-517F9D325BD3}" name="Amount" dataCellStyle="Input number general"/>
    <tableColumn id="3" xr3:uid="{A9CAF1EF-F197-494B-9B31-95B7B4A4B398}"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69F8E525-545A-4A7C-B171-15FAE67A3FFC}"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6937638-1CB9-4DF9-8222-0AEC5F63187A}" name="Feed blend name"/>
    <tableColumn id="2" xr3:uid="{40B61E5A-5ABC-44EB-B938-1E48F6050D55}" name="Amount fed (kg)"/>
    <tableColumn id="4" xr3:uid="{BC88F882-4ABD-41AA-9AFF-15894E92931E}" name="Ingredient 1 (select)" dataCellStyle="Input select"/>
    <tableColumn id="3" xr3:uid="{8E482B93-FB68-4F43-8D83-64ABA7834D0C}" name="Ingredient 1 source region" dataCellStyle="Input select"/>
    <tableColumn id="5" xr3:uid="{F3D259F5-7851-4A2F-A783-64009B574AD3}" name="Ingredient 1 percent"/>
    <tableColumn id="6" xr3:uid="{2879CC5B-EACB-4731-BE66-99CF20345B6B}" name="Ingredient 2 (select)" dataCellStyle="Input select"/>
    <tableColumn id="14" xr3:uid="{B518B6DB-D48D-4C01-807F-E4625A85B1B2}" name="Ingredient 2 source region" dataCellStyle="Input select"/>
    <tableColumn id="7" xr3:uid="{F5AD68C8-0734-4922-8BC2-5AA0BA36B68E}" name="Ingredient 2 percent"/>
    <tableColumn id="8" xr3:uid="{D025A40F-4A7C-4EE7-8D92-F87872A3C824}" name="Ingredient 3 (select)" dataCellStyle="Input select"/>
    <tableColumn id="15" xr3:uid="{DF0B1987-37AB-4BA7-9F17-C10F0E0713F7}" name="Ingredient 3 source region" dataCellStyle="Input select"/>
    <tableColumn id="9" xr3:uid="{49C1BAC5-9048-48E1-9C92-B3131E567741}" name="Ingredient 3 percent"/>
    <tableColumn id="10" xr3:uid="{2BEA8F84-FE84-40A0-AF32-B109B1B1EC52}" name="Ingredient 4 (select)" dataCellStyle="Input select"/>
    <tableColumn id="16" xr3:uid="{6C787B5B-879B-4E6E-A1A7-6BE2DFFEC549}" name="Ingredient 4 source region" dataCellStyle="Input select"/>
    <tableColumn id="11" xr3:uid="{97FE95DF-A0B9-47EC-9336-6B51D5A92E1B}"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1D4F4F2-83B5-465B-9C72-09CC769BDD8B}"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107856D0-139C-4CE4-9EBC-C3A7C92C9349}" name="Service provider / contractor" dataCellStyle="Input text"/>
    <tableColumn id="4" xr3:uid="{537FD78B-9A91-46D8-9220-5C31D90BBA94}" name="Activity" dataCellStyle="Input text"/>
    <tableColumn id="2" xr3:uid="{E054C079-D36F-40B9-8808-40F0423D53C5}" name="Total amount" dataCellStyle="Input number general"/>
    <tableColumn id="3" xr3:uid="{5BC33204-938C-4A59-8F45-1610786D6090}"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DA9709F-0403-461B-A539-7E2DEBA682A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CDDA9DB6-45FE-4A37-A074-429E57485336}" name="Grow media type" dataCellStyle="Input text"/>
    <tableColumn id="2" xr3:uid="{4E3AD183-FB44-4AA7-8A44-8F9EC934D901}" name="Total amount" dataCellStyle="Input number general"/>
    <tableColumn id="3" xr3:uid="{2F8D8FD9-5E22-4005-9722-20E280A765F3}"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4929CDF-E70A-40B3-BBC3-0850BF6B543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F3AC65F7-97B0-4281-BE10-7F2B32D9F64D}" name="Route name"/>
    <tableColumn id="2" xr3:uid="{32D1D6E1-1DF3-470D-BE23-42112A1D4DB7}" name="Freight type (select)" dataCellStyle="Input select"/>
    <tableColumn id="3" xr3:uid="{782C3DD1-EA17-4988-B02F-DB3A8F6D582A}" name="Route distance (km)"/>
    <tableColumn id="4" xr3:uid="{6941EA71-207F-4EFA-BBD8-4A16308CD628}" name="Average weight of freight per trip (t)"/>
    <tableColumn id="5" xr3:uid="{F08C428E-52EF-41CF-A9CB-3B2ACEA62608}"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80F4978-A242-43BB-8264-9C091D57CA95}"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15CB6D-11E3-4933-973A-21D230B277DB}" name="Route name"/>
    <tableColumn id="2" xr3:uid="{FC281119-EBA4-489A-BB61-3AF39CE55DCA}" name="Freight type (select)" dataCellStyle="Input select"/>
    <tableColumn id="3" xr3:uid="{6C20B61B-18B3-4B9A-8B5E-9A7034E541A4}" name="Route distance (km)"/>
    <tableColumn id="4" xr3:uid="{CCE9576D-AEA4-46D9-AFF0-4BA12A844698}" name="Average weight of freight per trip (t)"/>
    <tableColumn id="5" xr3:uid="{8DD1DF5E-D21B-4E8B-88F5-F488AF60FAA8}"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E6E060-BE34-4A61-AD21-74BB07C321E8}" name="Table_SourceData_Dairy_MMS" displayName="Table_SourceData_Dairy_MMS" ref="D7:E11" totalsRowShown="0">
  <autoFilter ref="D7:E11" xr:uid="{D5C443B2-EDE2-4250-B2EE-016878D19AD9}">
    <filterColumn colId="0" hiddenButton="1"/>
    <filterColumn colId="1" hiddenButton="1"/>
  </autoFilter>
  <tableColumns count="2">
    <tableColumn id="1" xr3:uid="{ED6BDFF6-D19D-4BB4-8BB3-14D55D5393D6}" name="MMS"/>
    <tableColumn id="2" xr3:uid="{A5E83900-970F-4F8C-930B-ED7EBB6EBAA1}"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BB03B-6DD3-4F74-8F3B-C0C0756E910F}" name="Table_SourceData_Dairy_CropProdSystems" displayName="Table_SourceData_Dairy_CropProdSystems" ref="G7:G9" totalsRowShown="0">
  <autoFilter ref="G7:G9" xr:uid="{B6F3FE3A-A0B5-47E7-85B2-8426FB75A7C8}">
    <filterColumn colId="0" hiddenButton="1"/>
  </autoFilter>
  <tableColumns count="1">
    <tableColumn id="1" xr3:uid="{D124AFC0-5A97-4631-A51C-CE35EF212FC2}"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F50F840-CA89-48C9-98B2-137AFE505478}" name="Table_SourceData_Dairy_IrrigationMethods" displayName="Table_SourceData_Dairy_IrrigationMethods" ref="J7:J12" totalsRowShown="0">
  <autoFilter ref="J7:J12" xr:uid="{FE172B77-CEA3-430C-84BC-392A64D0B8FF}">
    <filterColumn colId="0" hiddenButton="1"/>
  </autoFilter>
  <tableColumns count="1">
    <tableColumn id="1" xr3:uid="{DE89D366-F40B-4F0E-AC1E-D7D83C3D6326}"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3AF8C8C-CE43-4308-BC1C-9B8CE78F3C4B}"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587AC2F-15E0-4C49-A7A6-BAD119195389}" name="Breed">
      <calculatedColumnFormula array="1">Common_InputFunctions.Utility_DisplayArrayInTable(SourceData_Dairy.SourceData_Dairy_LiveweightCowsAndHeifers_Data(), Table_SourceData_Dairy_WjCowsHeifers[[#Headers],[Breed]], 0)</calculatedColumnFormula>
    </tableColumn>
    <tableColumn id="2" xr3:uid="{38830480-FA29-4BDF-835E-1CA3F7409E67}"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960D828-0B64-4E2D-8F9A-A0B5B52272BF}"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547810CA-D50C-4C1D-832D-6809D9D2AA38}"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E1FC132-E2D6-40CE-BF25-7D80C08508CD}"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736289D0-8115-40C8-BD3B-6F2C3E02E572}" name="Breed">
      <calculatedColumnFormula array="1">Common_InputFunctions.Utility_DisplayArrayInTable(SourceData_Dairy.SourceData_Dairy_LiveweightBulls_Data(), Table_SourceData_Dairy_WjBulls[[#Headers],[Breed]], 0)</calculatedColumnFormula>
    </tableColumn>
    <tableColumn id="2" xr3:uid="{1C74F5BE-4856-4A2A-9E87-25AA26067156}"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63EB730B-9915-4FF3-849C-E548EF0C73BF}"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9453AD7-ED67-4195-8F50-077B053D301C}"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FF9F0AB1-1477-48A6-912D-DF18003660B4}" name="Milking cows">
      <calculatedColumnFormula array="1">Common_InputFunctions.Utility_DisplayArrayInTable(SourceData_Dairy.SourceData_Dairy_LiveweightGain_Data(), Table_SourceData_Dairy_LWGj[[#Headers],[Milking cows]], 0)</calculatedColumnFormula>
    </tableColumn>
    <tableColumn id="2" xr3:uid="{C4C6CDEB-8C73-4FB7-A367-6A00039EC0A0}"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7B7B9F2D-E955-4A91-808F-761B014C6B62}"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4CE4CC3A-6926-4F33-8770-F02FA19E77C4}"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74AC297A-1B88-43D7-A6F8-9E3BCF1F3CF0}"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96C8CD-E04A-4DAD-A71E-4D9FD22D0EC0}"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293F45D9-BB6F-4F14-9119-BF2028F2B12D}"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E9B00DB9-01FB-42B0-B72E-A133FEF192D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5BA6F337-D7FE-44BE-94B9-8B8E158D02DD}"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45A3E37A-CA5E-418F-89FF-D2182C019F9C}"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59ED7FBF-0C1C-4D15-A581-E8039AD354B6}"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5ADF9BE-AE17-4181-A5A9-0F1779023199}"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F2C255B0-8AAC-4034-BC6C-DD1947E29555}"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F268CFBD-39AE-4F0B-BAE7-4438B2566FC5}"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E64462A3-714B-4BE2-8850-C317F148C057}"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6A4C1EF-E974-4E41-986A-77B94A237615}"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288D318-452C-47BF-A9D2-11F1196732F7}"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53ED606-0B4E-4E41-A297-1D2FB9E31BDE}" name="MMS m">
      <calculatedColumnFormula array="1">Common_InputFunctions.Utility_DisplayArrayInTable(SourceData_Dairy.SourceData_Dairy_MCF_Data(), Table_SourceData_Dairy_MCFjm[[#Headers],[MMS m]], 0)</calculatedColumnFormula>
    </tableColumn>
    <tableColumn id="2" xr3:uid="{478B9AC3-F39D-4C8B-9A0C-7A1017CECFCD}" name="ACT" dataDxfId="355" dataCellStyle="Content normal">
      <calculatedColumnFormula array="1">Common_InputFunctions.Utility_DisplayArrayInTable(SourceData_Dairy.SourceData_Dairy_MCF_Data(), Table_SourceData_Dairy_MCFjm[[#Headers],[MMS m]], 0)</calculatedColumnFormula>
    </tableColumn>
    <tableColumn id="3" xr3:uid="{E8CA6563-2989-4799-81EF-2A4ACC67D6E7}" name="NSW" dataDxfId="354" dataCellStyle="Content normal">
      <calculatedColumnFormula array="1">Common_InputFunctions.Utility_DisplayArrayInTable(SourceData_Dairy.SourceData_Dairy_MCF_Data(), Table_SourceData_Dairy_MCFjm[[#Headers],[MMS m]], 0)</calculatedColumnFormula>
    </tableColumn>
    <tableColumn id="4" xr3:uid="{6475743D-724A-4878-84E8-4FF43D5DA805}" name="NT" dataDxfId="353" dataCellStyle="Content normal">
      <calculatedColumnFormula array="1">Common_InputFunctions.Utility_DisplayArrayInTable(SourceData_Dairy.SourceData_Dairy_MCF_Data(), Table_SourceData_Dairy_MCFjm[[#Headers],[MMS m]], 0)</calculatedColumnFormula>
    </tableColumn>
    <tableColumn id="5" xr3:uid="{E50E22C1-DDAC-46E5-9A0D-094980FBFCCF}" name="QLD" dataDxfId="352" dataCellStyle="Content normal">
      <calculatedColumnFormula array="1">Common_InputFunctions.Utility_DisplayArrayInTable(SourceData_Dairy.SourceData_Dairy_MCF_Data(), Table_SourceData_Dairy_MCFjm[[#Headers],[MMS m]], 0)</calculatedColumnFormula>
    </tableColumn>
    <tableColumn id="6" xr3:uid="{5324A90B-F8E4-4D1C-9CF3-AA9CEBFCB3ED}" name="SA" dataDxfId="351" dataCellStyle="Content normal">
      <calculatedColumnFormula array="1">Common_InputFunctions.Utility_DisplayArrayInTable(SourceData_Dairy.SourceData_Dairy_MCF_Data(), Table_SourceData_Dairy_MCFjm[[#Headers],[MMS m]], 0)</calculatedColumnFormula>
    </tableColumn>
    <tableColumn id="7" xr3:uid="{2C84CA99-5DFD-446D-8BEC-D73B081E8F16}" name="TAS" dataDxfId="350" dataCellStyle="Content normal">
      <calculatedColumnFormula array="1">Common_InputFunctions.Utility_DisplayArrayInTable(SourceData_Dairy.SourceData_Dairy_MCF_Data(), Table_SourceData_Dairy_MCFjm[[#Headers],[MMS m]], 0)</calculatedColumnFormula>
    </tableColumn>
    <tableColumn id="8" xr3:uid="{4482663D-8505-4AD3-90CF-7FF32735BA19}" name="VIC" dataDxfId="349" dataCellStyle="Content normal">
      <calculatedColumnFormula array="1">Common_InputFunctions.Utility_DisplayArrayInTable(SourceData_Dairy.SourceData_Dairy_MCF_Data(), Table_SourceData_Dairy_MCFjm[[#Headers],[MMS m]], 0)</calculatedColumnFormula>
    </tableColumn>
    <tableColumn id="9" xr3:uid="{2B9479D3-7DE6-42A0-8217-9172B5EA77BD}" name="WA" dataDxfId="348" dataCellStyle="Content normal">
      <calculatedColumnFormula array="1">Common_InputFunctions.Utility_DisplayArrayInTable(SourceData_Dairy.SourceData_Dairy_MCF_Data(), Table_SourceData_Dairy_MCFjm[[#Headers],[MMS m]], 0)</calculatedColumnFormula>
    </tableColumn>
    <tableColumn id="10" xr3:uid="{B40CA1B1-F74A-4E86-9DAF-9D75BFA67933}"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E86E-5935-4BCF-B2D8-618F9E8FCF91}"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341B43AF-2810-40EA-894E-0F1841FD002B}" name="MMS m">
      <calculatedColumnFormula array="1">Common_InputFunctions.Utility_DisplayArrayInTable(SourceData_Dairy.SourceData_Dairy_NitrousOxideEFsAndFracGASM_Data(), Table_SourceData_Dairy_EFmFracGASM[[#Headers],[MMS m]], 0)</calculatedColumnFormula>
    </tableColumn>
    <tableColumn id="2" xr3:uid="{4CAF24AF-E22F-4628-89C2-2494577AD6C5}"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3DBE8F64-A63C-403A-B71C-74FAE5D3266A}"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372AC55C-C5AF-4FB7-B58A-7CAD1C121A84}"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189EEF-5E9C-41F9-8869-E2D384971426}"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D4CF428-8699-4154-BF7F-B6043350C819}"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0533905-FD80-462D-88C3-6337B40D24E3}"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0AFE8CE-01C7-40DF-99DC-D8B3BB7469F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C90560ED-A41A-41F0-9314-A78774F3CE77}" name="Animal class j">
      <calculatedColumnFormula array="1">Common_InputFunctions.Utility_DisplayArrayInTable(SourceData_Dairy.SourceData_Dairy_IncreasedMetabolicRateMilk_Data(), Table_SourceData_Dairy_MRj[[#Headers],[Animal class j]], 0)</calculatedColumnFormula>
    </tableColumn>
    <tableColumn id="2" xr3:uid="{63FB95A8-EBA7-4031-9BF6-A7EA9F0D19D6}"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1094BC9-37C8-4CCB-A021-18788C3F5C9C}"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DC19FB02-F6A8-4D17-8E67-C4A02550CE09}" name="Area">
      <calculatedColumnFormula array="1">Common_InputFunctions.Utility_DisplayArrayInTable(SourceData_Dairy.SourceData_Dairy_FractionVolatileSolidsVoidedMMS_Data(), Table_SourceData_Dairy_ProductionSystemTemplates[[#Headers],[Area]], 0)</calculatedColumnFormula>
    </tableColumn>
    <tableColumn id="2" xr3:uid="{CB5DA004-8819-4FBC-A166-82D9C29A2AD3}"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60F3F4FE-FE3A-4C4B-979D-E35937562A3B}"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4DAB450-9363-4F65-8DDC-509A9533DABA}"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9D93437-FC0D-43FC-A0AF-9850F931E30E}"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04C7646D-69C0-4D07-9A73-0C67D11E8629}" name="MMS m">
      <calculatedColumnFormula array="1">Common_InputFunctions.Utility_DisplayArrayInTable(SourceData_Dairy.SourceData_Dairy_EFNitrousOxidePerMMS_Data(), Table_SourceData_Dairy_EFm[[#Headers],[MMS m]], 0)</calculatedColumnFormula>
    </tableColumn>
    <tableColumn id="2" xr3:uid="{260B0069-405B-4BB9-9ADB-D05D637ADF9A}"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268163D6-A1A3-4887-B470-19F4235E797E}"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39F6D12-17EC-4C4A-A0EE-A3FC0B083759}"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E76E9A1-4D25-447C-A59D-371CF7B8AA51}" name="Animal class j">
      <calculatedColumnFormula array="1">Common_InputFunctions.Utility_DisplayArrayInTable(SourceData_Dairy.SourceData_Dairy_DurationOfStay_Data(), Table_SourceData_Dairy_Duration[[#Headers],[Animal class j]], 0)</calculatedColumnFormula>
    </tableColumn>
    <tableColumn id="2" xr3:uid="{E8EDB6BA-4F30-46D0-8EBA-F3047653CBDE}"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447DA5BE-42AF-4A15-94A3-E8C4EC56FD5A}"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015CA25-AC6C-4F60-B5CA-D031C6D425AA}" name="Table_LivestockClasses_Dairy" displayName="Table_LivestockClasses_Dairy" ref="L7:L12" totalsRowShown="0">
  <autoFilter ref="L7:L12" xr:uid="{F006A23F-3930-4C16-9B92-37DD408BCC17}">
    <filterColumn colId="0" hiddenButton="1"/>
  </autoFilter>
  <tableColumns count="1">
    <tableColumn id="1" xr3:uid="{BD96A956-5721-4C3F-B3D1-01EE5BFCA211}"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27176C5-8E21-448C-84C4-98E398FFB132}"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C676761-A86D-43BA-B64F-6C64D2A24A1E}" name="Crop type">
      <calculatedColumnFormula array="1">Common_InputFunctions.Utility_DisplayArrayInTable(Agresidue_SourceData.CropAttributes_Data(),Table_SourceData_CropAttributes[[#Headers],[Crop type]], -1)</calculatedColumnFormula>
    </tableColumn>
    <tableColumn id="2" xr3:uid="{C4AE5E9A-1160-4C4A-A9AB-26E5D6E762A8}" name="Residue: Crop ratio">
      <calculatedColumnFormula array="1">Common_InputFunctions.Utility_DisplayArrayInTable(Agresidue_SourceData.CropAttributes_Data(),Table_SourceData_CropAttributes[[#Headers],[Crop type]], -1)</calculatedColumnFormula>
    </tableColumn>
    <tableColumn id="3" xr3:uid="{FE854BA4-CD10-40C3-940F-B3B2BD8BCB5F}" name="Below-ground: above-ground residue ratio">
      <calculatedColumnFormula array="1">Common_InputFunctions.Utility_DisplayArrayInTable(Agresidue_SourceData.CropAttributes_Data(),Table_SourceData_CropAttributes[[#Headers],[Crop type]], -1)</calculatedColumnFormula>
    </tableColumn>
    <tableColumn id="4" xr3:uid="{54E9A7A5-68C8-4C1B-8BAA-7171511E45A6}" name="Dry matter content">
      <calculatedColumnFormula array="1">Common_InputFunctions.Utility_DisplayArrayInTable(Agresidue_SourceData.CropAttributes_Data(),Table_SourceData_CropAttributes[[#Headers],[Crop type]], -1)</calculatedColumnFormula>
    </tableColumn>
    <tableColumn id="5" xr3:uid="{F7A7EE2E-2BCB-451E-ABE4-D5F89D8B9B64}" name="Carbon fraction in dry matter">
      <calculatedColumnFormula array="1">Common_InputFunctions.Utility_DisplayArrayInTable(Agresidue_SourceData.CropAttributes_Data(),Table_SourceData_CropAttributes[[#Headers],[Crop type]], -1)</calculatedColumnFormula>
    </tableColumn>
    <tableColumn id="6" xr3:uid="{D387C3D7-F43A-490A-8C5F-D394237B3E69}" name="N content above-ground">
      <calculatedColumnFormula array="1">Common_InputFunctions.Utility_DisplayArrayInTable(Agresidue_SourceData.CropAttributes_Data(),Table_SourceData_CropAttributes[[#Headers],[Crop type]], -1)</calculatedColumnFormula>
    </tableColumn>
    <tableColumn id="7" xr3:uid="{215D323F-DCFA-4EB7-BFFA-5AE347FA19E7}" name="N content below-ground">
      <calculatedColumnFormula array="1">Common_InputFunctions.Utility_DisplayArrayInTable(Agresidue_SourceData.CropAttributes_Data(),Table_SourceData_CropAttributes[[#Headers],[Crop type]], -1)</calculatedColumnFormula>
    </tableColumn>
    <tableColumn id="8" xr3:uid="{46E53526-7249-4636-B85F-08F879C356CD}"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DE9F4A5-DC71-476F-89D2-7DFEE571F48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3D1DE7B-52D1-477F-8AD8-D2A43F0A5BD8}" name="Table76" displayName="Table76" ref="D73:F89" totalsRowShown="0">
  <autoFilter ref="D73:F89" xr:uid="{7CD0B032-9881-4EF1-81E3-483C7C16D9D0}">
    <filterColumn colId="0" hiddenButton="1"/>
    <filterColumn colId="1" hiddenButton="1"/>
    <filterColumn colId="2" hiddenButton="1"/>
  </autoFilter>
  <tableColumns count="3">
    <tableColumn id="1" xr3:uid="{E2780C9E-4C32-4441-9FB0-C724B5739594}" name="Crop type c">
      <calculatedColumnFormula array="1">Common_InputFunctions.Utility_DisplayArrayInTable(Agresidue_SourceData.CropFractionRemoved_Data(), Table76[[#Headers],[Crop type c]], 0)</calculatedColumnFormula>
    </tableColumn>
    <tableColumn id="2" xr3:uid="{9EB0D35C-5844-472E-B4D9-0F970CEA8925}" name="State" dataDxfId="334">
      <calculatedColumnFormula array="1">Common_InputFunctions.Utility_DisplayArrayInTable(Agresidue_SourceData.CropFractionRemoved_Data(), Table76[[#Headers],[Crop type c]], 0)</calculatedColumnFormula>
    </tableColumn>
    <tableColumn id="3" xr3:uid="{10A97847-2FEF-4520-A606-EBD17C5CA8BF}"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D0244EAA-BFD3-4B6E-A827-937F57E94183}" name="Table77" displayName="Table77" ref="D92:F235" totalsRowShown="0">
  <autoFilter ref="D92:F235" xr:uid="{1FA7CC86-1C1E-41FA-9AA1-AAD48AA2EEF0}">
    <filterColumn colId="0" hiddenButton="1"/>
    <filterColumn colId="1" hiddenButton="1"/>
    <filterColumn colId="2" hiddenButton="1"/>
  </autoFilter>
  <tableColumns count="3">
    <tableColumn id="1" xr3:uid="{EBCAAEBD-6644-4ADF-AC0C-0A4775558405}" name="Crop type c">
      <calculatedColumnFormula array="1">Common_InputFunctions.Utility_DisplayArrayInTable(Agresidue_SourceData.CropFractionRemoved_CustomisedData(), Table77[[#Headers],[Crop type c]], 0)</calculatedColumnFormula>
    </tableColumn>
    <tableColumn id="2" xr3:uid="{D5B891AE-487B-4351-A0E6-AD68ED6B89EE}" name="State" dataDxfId="332">
      <calculatedColumnFormula array="1">Common_InputFunctions.Utility_DisplayArrayInTable(Agresidue_SourceData.CropFractionRemoved_CustomisedData(), Table77[[#Headers],[Crop type c]], 0)</calculatedColumnFormula>
    </tableColumn>
    <tableColumn id="3" xr3:uid="{3A073144-F36A-4D94-9C50-6EB8A204F145}"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ABFF7D8-1961-472C-93BC-B6BDDF448497}"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D0633C02-1495-48A4-8567-CC6A71BD45A9}"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3A1D3F87-DDDC-4448-89EF-5AB2D676963F}"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BE8572E-57BC-4DF6-8CC4-2DECFBE65566}"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9C1F5982-B9D3-4E7A-B5DC-9F1E6BDB4C4B}"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32DACF3D-60E8-455E-9D60-CB91E1A82076}"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775CDB10-6409-4A5A-A655-8C99CA47B44D}"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6D4F07A7-84C8-4113-B62A-894F1C0AD3A1}"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ED745CA2-EDD2-4314-A0A9-94C532B1E278}"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A0A4532C-A4B7-4ED2-ADDB-414823E88433}"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377AE8C4-CCDE-481F-A34A-04355928314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E98AA9D-37F9-4455-A5E1-98B7D66C49A1}" name="Gas species">
      <calculatedColumnFormula array="1">Common_InputFunctions.Utility_DisplayArrayInTable(AgResidues_SourceData.BurningOfAgriculturalResiduesEFs_Data(), Table_SourceData_BurningResidueEFs[[#Headers],[Gas species]], 0)</calculatedColumnFormula>
    </tableColumn>
    <tableColumn id="2" xr3:uid="{4012EE83-43C6-456A-B86B-8EA37B8AB8C2}"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6A0E3F00-C749-4B9B-8AA0-A77EE80EEF9F}"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501238C-ACE9-4433-A614-DD3358925B6F}"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27F88A2-977E-49FB-9D62-CCBBAFFEC377}" name="Purpose">
      <calculatedColumnFormula array="1">Common_InputFunctions.Utility_DisplayArrayInTable(Agresidue_SourceData.CropPurposeAndYield_Data(), Table_SourceData_CropPurposeAndYields[[#Headers],[Purpose]], 0)</calculatedColumnFormula>
    </tableColumn>
    <tableColumn id="2" xr3:uid="{379F521B-8F4D-41CB-92B4-5C507F29C5C4}" name="Per hectare unit">
      <calculatedColumnFormula array="1">Common_InputFunctions.Utility_DisplayArrayInTable(Agresidue_SourceData.CropPurposeAndYield_Data(), Table_SourceData_CropPurposeAndYields[[#Headers],[Purpose]], 0)</calculatedColumnFormula>
    </tableColumn>
    <tableColumn id="3" xr3:uid="{9E92A5E4-E6C1-48A2-A6CF-9C46F45EDB4B}" name="harvest term">
      <calculatedColumnFormula array="1">Common_InputFunctions.Utility_DisplayArrayInTable(Agresidue_SourceData.CropPurposeAndYield_Data(), Table_SourceData_CropPurposeAndYields[[#Headers],[Purpose]], 0)</calculatedColumnFormula>
    </tableColumn>
    <tableColumn id="4" xr3:uid="{CAC6574A-3CC5-4F74-88FD-78332CD8E110}" name="harvest endpoint">
      <calculatedColumnFormula array="1">Common_InputFunctions.Utility_DisplayArrayInTable(Agresidue_SourceData.CropPurposeAndYield_Data(), Table_SourceData_CropPurposeAndYields[[#Headers],[Purpose]], 0)</calculatedColumnFormula>
    </tableColumn>
    <tableColumn id="5" xr3:uid="{0412AB08-F510-42B4-B9B4-60486C05B5AA}" name="Harvest uit">
      <calculatedColumnFormula array="1">Common_InputFunctions.Utility_DisplayArrayInTable(Agresidue_SourceData.CropPurposeAndYield_Data(), Table_SourceData_CropPurposeAndYields[[#Headers],[Purpose]], 0)</calculatedColumnFormula>
    </tableColumn>
    <tableColumn id="6" xr3:uid="{42357971-0D3D-45BE-8217-24237FE0C278}" name="Yield note">
      <calculatedColumnFormula array="1">Common_InputFunctions.Utility_DisplayArrayInTable(Agresidue_SourceData.CropPurposeAndYield_Data(), Table_SourceData_CropPurposeAndYields[[#Headers],[Purpose]], 0)</calculatedColumnFormula>
    </tableColumn>
    <tableColumn id="8" xr3:uid="{B35F254F-5AEF-410D-A64C-EFB793B781B5}" name="Residue crop ratio note">
      <calculatedColumnFormula array="1">Common_InputFunctions.Utility_DisplayArrayInTable(Agresidue_SourceData.CropPurposeAndYield_Data(), Table_SourceData_CropPurposeAndYields[[#Headers],[Purpose]], 0)</calculatedColumnFormula>
    </tableColumn>
    <tableColumn id="9" xr3:uid="{20ED0F18-6E39-409A-8C51-ED0FC618268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DE572B5-4C75-4D99-9399-EE1F97B9D954}"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4A61CDF7-8989-4217-9BD5-ADD92A7C0CF1}"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6955AE0F-B68D-417A-9680-9162E548AEB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A5BF6E-465F-438C-9F86-FC0ED02F7F1E}" name="Symbol">
      <calculatedColumnFormula array="1">Common_InputFunctions.Utility_DisplayArrayInTable(CommonLivestock_SourceData.SourceData_Livestock_Common_SymbolsMMS_Data(), Table_Data_MMSSymbols[[#Headers],[Symbol]], 0)</calculatedColumnFormula>
    </tableColumn>
    <tableColumn id="2" xr3:uid="{FDDA0DE7-E2FE-44C3-97BC-7CDCCA3D86AB}" name="Manure management system">
      <calculatedColumnFormula array="1">Common_InputFunctions.Utility_DisplayArrayInTable(CommonLivestock_SourceData.SourceData_Livestock_Common_SymbolsMMS_Data(), Table_Data_MMSSymbols[[#Headers],[Symbol]], 0)</calculatedColumnFormula>
    </tableColumn>
    <tableColumn id="3" xr3:uid="{2E8FAFEB-26A0-46F2-8583-74A08D2B91F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89C9F22-B815-463B-AED6-02C96CD55B38}"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07825206-0F97-4223-9513-979096242F9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6F68FE5-9212-4858-B466-A362E2A0B9F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D554BA9-20A5-410D-A2C6-C5B8F5F419B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5A23CB0-36A8-4611-877C-D2B17889CA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895F8C2-71ED-4ED0-B05E-0CD5BAA99CB9}"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0BF1582-F79F-493E-B186-A08160637E6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201248B-EA1A-433E-AF39-2934E60F1F0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F0C7527-AB7B-41E7-8993-AF8ABD852C24}"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991825A-D105-421D-BF03-22784AEBB7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E3BFFC1-E22C-4815-A7D9-CA5B7E8C6D0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E0EA9BD-A050-4800-9396-DC99AF838A2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B5F1554-973B-4696-9D96-19FADF0D5CC7}" name="FNinorganic f">
      <calculatedColumnFormula array="1">Common_InputFunctions.Utility_DisplayArrayInTable(Fertiliser_SourceData.Fertiliser_ChemicalCompoundElements_Data(),Table_Fertiliser_ChemicalCompounds[[#Headers],[Fertiliser type f]], 0)</calculatedColumnFormula>
    </tableColumn>
    <tableColumn id="3" xr3:uid="{86A00C2F-E27A-4E80-9E01-0C173F1832C0}" name="FU f">
      <calculatedColumnFormula array="1">Common_InputFunctions.Utility_DisplayArrayInTable(Fertiliser_SourceData.Fertiliser_ChemicalCompoundElements_Data(),Table_Fertiliser_ChemicalCompounds[[#Headers],[Fertiliser type f]], 0)</calculatedColumnFormula>
    </tableColumn>
    <tableColumn id="4" xr3:uid="{E7299B74-F624-4F54-A3B5-8794B7C8DD24}" name="Basis">
      <calculatedColumnFormula array="1">Common_InputFunctions.Utility_DisplayArrayInTable(Fertiliser_SourceData.Fertiliser_ChemicalCompoundElements_Data(),Table_Fertiliser_ChemicalCompounds[[#Headers],[Fertiliser type f]], 0)</calculatedColumnFormula>
    </tableColumn>
    <tableColumn id="5" xr3:uid="{DF918CAD-36F6-4088-89B8-6A9BFB2266B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21796CE-102E-49D4-84A9-CA4207001A2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87F0006-32F1-4862-B2FD-3F2872D66FA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7A5E74A-A13C-4E6D-9325-C10ADECB367A}"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64CC17E5-EA78-42B6-833B-764E8975CA4A}" name="Notes" dataDxfId="314" totalsRowDxfId="313">
      <calculatedColumnFormula array="1">Common_InputFunctions.Utility_DisplayArrayInTable(Fertiliser_SourceData.Fertiliser_Products_Data1(),FertiliserProducts[[#Headers],[Include or Exclude]], 0)</calculatedColumnFormula>
    </tableColumn>
    <tableColumn id="3" xr3:uid="{1FE22342-695E-4AF5-92F7-1F8722AEB458}" name="Company" dataDxfId="312" totalsRowDxfId="311">
      <calculatedColumnFormula array="1">Common_InputFunctions.Utility_DisplayArrayInTable(Fertiliser_SourceData.Fertiliser_Products_Data1(),FertiliserProducts[[#Headers],[Include or Exclude]], 0)</calculatedColumnFormula>
    </tableColumn>
    <tableColumn id="4" xr3:uid="{F3EDF2B7-BFEB-47B1-9DDC-6C53488223B2}" name="Product name" dataDxfId="310" totalsRowDxfId="309">
      <calculatedColumnFormula array="1">Common_InputFunctions.Utility_DisplayArrayInTable(Fertiliser_SourceData.Fertiliser_Products_Data1(),FertiliserProducts[[#Headers],[Include or Exclude]], 0)</calculatedColumnFormula>
    </tableColumn>
    <tableColumn id="5" xr3:uid="{442AF32D-A143-4EE4-AF84-1DB000611219}" name="Unit" dataDxfId="308" totalsRowDxfId="307">
      <calculatedColumnFormula array="1">Common_InputFunctions.Utility_DisplayArrayInTable(Fertiliser_SourceData.Fertiliser_Products_Data1(),FertiliserProducts[[#Headers],[Include or Exclude]], 0,4)</calculatedColumnFormula>
    </tableColumn>
    <tableColumn id="6" xr3:uid="{F5B29F5E-578B-465D-B059-79D229A0471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9B6BA64B-408F-4D53-A1FA-EFBBB0505C18}" name="Urea source" dataDxfId="304" totalsRowDxfId="303">
      <calculatedColumnFormula array="1">Common_InputFunctions.Utility_DisplayArrayInTable(Fertiliser_SourceData.Fertiliser_Products_Data1(),FertiliserProducts[[#Headers],[Include or Exclude]], 0,4)</calculatedColumnFormula>
    </tableColumn>
    <tableColumn id="8" xr3:uid="{75852BBC-5ACB-4DBB-9B44-E6960B01CC7B}" name="Ammonia source" dataDxfId="302" totalsRowDxfId="301">
      <calculatedColumnFormula array="1">Common_InputFunctions.Utility_DisplayArrayInTable(Fertiliser_SourceData.Fertiliser_Products_Data1(),FertiliserProducts[[#Headers],[Include or Exclude]], 0,4)</calculatedColumnFormula>
    </tableColumn>
    <tableColumn id="9" xr3:uid="{DA296308-C902-4855-8D87-EC0D1874336B}" name="Ingredient 1" dataDxfId="300" totalsRowDxfId="299">
      <calculatedColumnFormula array="1">Common_InputFunctions.Utility_DisplayArrayInTable(Fertiliser_SourceData.Fertiliser_Products_Data1(),FertiliserProducts[[#Headers],[Include or Exclude]], 0,4)</calculatedColumnFormula>
    </tableColumn>
    <tableColumn id="10" xr3:uid="{6CAC48B3-AEF6-4BBC-BF5F-996D212B3B56}"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F90C9A90-6953-474E-AECA-BFC5FD33C73B}" name="Ingredient 2" dataDxfId="296" totalsRowDxfId="295">
      <calculatedColumnFormula array="1">Common_InputFunctions.Utility_DisplayArrayInTable(Fertiliser_SourceData.Fertiliser_Products_Data1(),FertiliserProducts[[#Headers],[Include or Exclude]], 0,4)</calculatedColumnFormula>
    </tableColumn>
    <tableColumn id="12" xr3:uid="{27B4141E-BEC1-492A-A560-C414CE985EC7}"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65837F69-622E-4CF3-A4ED-96EE988241CC}" name="Ingredient 3" dataDxfId="292" totalsRowDxfId="291">
      <calculatedColumnFormula array="1">Common_InputFunctions.Utility_DisplayArrayInTable(Fertiliser_SourceData.Fertiliser_Products_Data1(),FertiliserProducts[[#Headers],[Include or Exclude]], 0,4)</calculatedColumnFormula>
    </tableColumn>
    <tableColumn id="14" xr3:uid="{BB26B26B-A33A-4F6C-8A36-7587102828A3}"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2F1B08C1-B564-48B4-AC1A-66AAE049CBFB}" name="Ingredient 4" dataDxfId="288" totalsRowDxfId="287">
      <calculatedColumnFormula array="1">Common_InputFunctions.Utility_DisplayArrayInTable(Fertiliser_SourceData.Fertiliser_Products_Data1(),FertiliserProducts[[#Headers],[Include or Exclude]], 0,4)</calculatedColumnFormula>
    </tableColumn>
    <tableColumn id="16" xr3:uid="{AEAA1489-9D1E-4671-8D42-0D7AF85801CD}"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54BC127D-189C-4DB1-BA64-DF86901C0A4F}" name="Ingredient 5" dataDxfId="284" totalsRowDxfId="283">
      <calculatedColumnFormula array="1">Common_InputFunctions.Utility_DisplayArrayInTable(Fertiliser_SourceData.Fertiliser_Products_Data1(),FertiliserProducts[[#Headers],[Include or Exclude]], 0,4)</calculatedColumnFormula>
    </tableColumn>
    <tableColumn id="18" xr3:uid="{D33DF3EE-FA49-4F8B-A425-B6C425826DE3}"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35FDA131-1DB1-45F0-A615-FA7281C9903D}" name="Ingredient 6" dataDxfId="280" totalsRowDxfId="279">
      <calculatedColumnFormula array="1">Common_InputFunctions.Utility_DisplayArrayInTable(Fertiliser_SourceData.Fertiliser_Products_Data1(),FertiliserProducts[[#Headers],[Include or Exclude]], 0,4)</calculatedColumnFormula>
    </tableColumn>
    <tableColumn id="37" xr3:uid="{BFA018A7-D4B0-4B97-9727-28D32D69A280}"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349D0ACD-7569-462F-A122-F7C85E43AA5F}" name="Ingredient 7" dataDxfId="276">
      <calculatedColumnFormula array="1">Common_InputFunctions.Utility_DisplayArrayInTable(Fertiliser_SourceData.Fertiliser_Products_Data1(),FertiliserProducts[[#Headers],[Include or Exclude]], 0,4)</calculatedColumnFormula>
    </tableColumn>
    <tableColumn id="24" xr3:uid="{F6FC6454-E1F9-41A5-9E8B-21ECA1BD9E85}" name="Ingredient 7 percent" dataDxfId="275">
      <calculatedColumnFormula array="1">Common_InputFunctions.Utility_DisplayArrayInTable(Fertiliser_SourceData.Fertiliser_Products_Data1(),FertiliserProducts[[#Headers],[Include or Exclude]], 0,4)</calculatedColumnFormula>
    </tableColumn>
    <tableColumn id="23" xr3:uid="{92412BE7-6B1E-480B-9822-07C9AC569BDA}" name="Ingredient 8" dataDxfId="274">
      <calculatedColumnFormula array="1">Common_InputFunctions.Utility_DisplayArrayInTable(Fertiliser_SourceData.Fertiliser_Products_Data1(),FertiliserProducts[[#Headers],[Include or Exclude]], 0,4)</calculatedColumnFormula>
    </tableColumn>
    <tableColumn id="26" xr3:uid="{90F14E7A-6AD1-4081-B5EA-A2EC99293CCD}" name="Ingredient 8 percent" dataDxfId="273">
      <calculatedColumnFormula array="1">Common_InputFunctions.Utility_DisplayArrayInTable(Fertiliser_SourceData.Fertiliser_Products_Data1(),FertiliserProducts[[#Headers],[Include or Exclude]], 0,4)</calculatedColumnFormula>
    </tableColumn>
    <tableColumn id="25" xr3:uid="{25401202-3F80-4E55-93B8-D3138E244579}" name="Ingredient 9" dataDxfId="272">
      <calculatedColumnFormula array="1">Common_InputFunctions.Utility_DisplayArrayInTable(Fertiliser_SourceData.Fertiliser_Products_Data1(),FertiliserProducts[[#Headers],[Include or Exclude]], 0,4)</calculatedColumnFormula>
    </tableColumn>
    <tableColumn id="30" xr3:uid="{39ECAEDE-4536-48C4-8461-104295F4FF8A}" name="Ingredient 9 percent" dataDxfId="271">
      <calculatedColumnFormula array="1">Common_InputFunctions.Utility_DisplayArrayInTable(Fertiliser_SourceData.Fertiliser_Products_Data1(),FertiliserProducts[[#Headers],[Include or Exclude]], 0,4)</calculatedColumnFormula>
    </tableColumn>
    <tableColumn id="29" xr3:uid="{7101002F-577E-4A1F-8514-F3BCD3D13331}" name="Imngredient 10" dataDxfId="270">
      <calculatedColumnFormula array="1">Common_InputFunctions.Utility_DisplayArrayInTable(Fertiliser_SourceData.Fertiliser_Products_Data1(),FertiliserProducts[[#Headers],[Include or Exclude]], 0,4)</calculatedColumnFormula>
    </tableColumn>
    <tableColumn id="28" xr3:uid="{311B375B-F3B0-4F66-BACC-47EBC073493F}"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0387E8C-D0C2-424C-A0DB-D35FADA66FB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0AB3DAB-1201-4919-9B6B-830D193200F3}" name="Fertiliser type f">
      <calculatedColumnFormula array="1">Common_InputFunctions.Utility_DisplayArrayInTable(Fertiliser_SourceData.Fertiliser_FracGASF_Data(), Table_SourceData_Fertiliser_FracGASF[[#Headers],[Fertiliser type f]], 0)</calculatedColumnFormula>
    </tableColumn>
    <tableColumn id="2" xr3:uid="{6324408E-D6EF-41AB-B672-EE02CF04B21D}"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A0D65ED-DDEC-43B6-A551-E73AAAAD5306}" name="Table_SourceData_Fertiliser_CropProdSystems" displayName="Table_SourceData_Fertiliser_CropProdSystems" ref="D41:D43" totalsRowShown="0">
  <autoFilter ref="D41:D43" xr:uid="{24F3A11E-40F5-4BB9-BFF4-A71FA2ADA0EF}">
    <filterColumn colId="0" hiddenButton="1"/>
  </autoFilter>
  <tableColumns count="1">
    <tableColumn id="1" xr3:uid="{81583D19-B02C-470F-BDF0-20703B61889B}"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6469D13-DF3B-44D3-B673-BEF263C8973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DD839AA-6AA6-46E4-978E-28FAEB8994BD}"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681532-6AE9-47F3-B19E-32858EDB602B}" name="Table_SourceData_Fertiliser_CropTypes" displayName="Table_SourceData_Fertiliser_CropTypes" ref="F41:F45" totalsRowShown="0">
  <autoFilter ref="F41:F45" xr:uid="{CB5044B5-FA3C-4AA2-B1AB-72F7E61D072F}">
    <filterColumn colId="0" hiddenButton="1"/>
  </autoFilter>
  <tableColumns count="1">
    <tableColumn id="1" xr3:uid="{BC3AF976-7ACE-4311-A0A7-7FADB008DF7C}"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8A8B6D5-ACD4-4A09-A15F-454B9D21011A}" name="Table_SourceData_OrganicFertiliserTypes" displayName="Table_SourceData_OrganicFertiliserTypes" ref="J41:J46" totalsRowShown="0">
  <autoFilter ref="J41:J46" xr:uid="{B44627B1-537E-4ABC-92C3-57282CEE5B40}">
    <filterColumn colId="0" hiddenButton="1"/>
  </autoFilter>
  <tableColumns count="1">
    <tableColumn id="1" xr3:uid="{BC991247-1FCB-453F-8607-711812443712}"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0C862C3-7ED8-45A6-8E53-C8E13EB77A8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629AFF8-588A-4913-8E42-2CD6ED82A77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B31F9F-09A0-42CB-9E76-4C112127EAA3}"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E6B1BE-66E0-45D0-86E4-4C05C535D421}"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73596ED-0E93-41BA-B2BD-19C039B4138A}" name="Table2" displayName="Table2" ref="K19:L28" totalsRowShown="0" dataDxfId="265" dataCellStyle="Content normal">
  <autoFilter ref="K19:L28" xr:uid="{27B93029-EB1F-4C4A-A946-CD673A8A6C46}">
    <filterColumn colId="0" hiddenButton="1"/>
    <filterColumn colId="1" hiddenButton="1"/>
  </autoFilter>
  <tableColumns count="2">
    <tableColumn id="1" xr3:uid="{31AF9104-F023-426E-A263-66A48A03C269}"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654D346D-E420-4F73-A045-FD2C354ECDC3}"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02E31CC-76ED-4F79-A1B7-F9DE864684AE}" name="Table28" displayName="Table28" ref="Q19:R28" totalsRowShown="0" dataDxfId="262" dataCellStyle="Content normal">
  <autoFilter ref="Q19:R28" xr:uid="{791CEA59-796C-47AB-86BC-41E8F699030C}">
    <filterColumn colId="0" hiddenButton="1"/>
    <filterColumn colId="1" hiddenButton="1"/>
  </autoFilter>
  <tableColumns count="2">
    <tableColumn id="1" xr3:uid="{F7A41903-3CA1-4F51-98CF-0AE3BB5C9A4F}"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2F226D4F-70E1-479F-AA9D-779B95B85EA4}"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0434E4A-E1AC-4599-9E38-B2D2F4691EA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337AB68-6E73-41E2-998E-D5F2C234DF1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80EFA3E-79E7-450E-A7DD-C236575E69AC}"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8AA341A-2A25-447E-BAE1-3277DFF03799}"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241C33A6-CFC4-4322-9B82-8353DA8721F5}"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D6DD4F19-D206-49DE-9BDF-22887C4C3C4F}"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78182BF4-7CE8-4A59-B46F-62587E993DA6}"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BA0AE41A-A43B-48E2-9BAB-70562F48BDB6}"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897413D7-569E-408D-A164-28FAF745DEC9}"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ACCBC12D-2912-4F59-A33B-BC4B2936D26E}"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528EF4A2-0736-451A-B810-371044661C95}"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882C3D7-1B46-4D97-9BF7-30B008B921FE}"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EF20A24-51E1-4A6C-95FB-6E0DE2A74FC1}" name="Transport type" dataDxfId="247">
      <calculatedColumnFormula array="1">Common_InputFunctions.Utility_DisplayArrayInTable(Fuel_SourceData.Fuel_Scope1Scope3EmissionFactorsTransport_Data(), Table_Fuel_EFs_Transport[[#Headers],[Transport type]], 0)</calculatedColumnFormula>
    </tableColumn>
    <tableColumn id="2" xr3:uid="{6B90E0E7-F076-4743-9C8F-E6BE0B93073F}" name="Fuel combusted" dataDxfId="246">
      <calculatedColumnFormula array="1">Common_InputFunctions.Utility_DisplayArrayInTable(Fuel_SourceData.Fuel_Scope1Scope3EmissionFactorsTransport_Data(), Table_Fuel_EFs_Transport[[#Headers],[Transport type]], 0)</calculatedColumnFormula>
    </tableColumn>
    <tableColumn id="3" xr3:uid="{754098D4-4C3B-4E1F-B9C6-68C2B58E5046}"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86F052E3-9D8C-4EDE-912D-F9A071D996F9}" name="Fuel unit" dataDxfId="244">
      <calculatedColumnFormula array="1">Common_InputFunctions.Utility_DisplayArrayInTable(Fuel_SourceData.Fuel_Scope1Scope3EmissionFactorsTransport_Data(), Table_Fuel_EFs_Transport[[#Headers],[Transport type]], 0)</calculatedColumnFormula>
    </tableColumn>
    <tableColumn id="8" xr3:uid="{8AD54E8E-E20C-4D61-8A7D-004E3B342F17}"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59957529-F03B-40FA-8CDD-AAC14D914DBB}"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04CAC999-3856-4211-AEA0-227328A15981}"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D1E6A1AD-3854-46FF-A2E4-5A341BF0D5B2}"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D761EE82-5837-4418-960F-2D1249DDC844}"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CE3BA1F-5B4F-4D3B-A6FF-433A2B8B880B}"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4977A24-31C6-4EB2-A899-4AA824223B05}" name="Generators" dataDxfId="236"/>
    <tableColumn id="2" xr3:uid="{CC631D2B-2621-4F99-B2E3-CB51F5216749}" name="Power standalone machinery or heating" dataDxfId="235"/>
    <tableColumn id="3" xr3:uid="{A30EC07C-0E2A-4566-8097-B52E3AC5D990}" name="Aviation" dataDxfId="234"/>
    <tableColumn id="5" xr3:uid="{EAC06CBA-C1AB-494F-8B92-7413530D8D11}" name="Cars and light commercial vehicles" dataDxfId="233"/>
    <tableColumn id="7" xr3:uid="{F9DFF0A4-5369-48CC-9A29-CFAC4C09282F}" name="Off-road Agriculture and forestry equipment" dataDxfId="232" dataCellStyle="Content bold"/>
    <tableColumn id="8" xr3:uid="{BF67CCC2-7924-4F52-A78B-7DB4BC5491C9}"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F791625-E48D-4FEC-9F6A-AF89C1688995}"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C7382E-F813-4B71-8B6E-E0CD52CA8E11}"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6CCD29E4-61DA-4B7D-A3E4-FBDD9973B881}"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A7ACA82C-5FD1-4CE1-BE53-B430FA1745CB}"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1DDAFF5F-D107-4402-B47E-4E17AAEFC5C9}"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19EB900-BF25-4CD4-87BB-ED61090155CE}"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201FF160-7E57-4D3E-A73C-1F10C2E94A6D}"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29BB20CF-1546-4306-BA07-8C7D78278481}"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01D967F-378B-4B23-AB9E-92F44E869CC1}"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E9C3F28E-242E-4733-9892-D5E2C293D6DF}"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D2ED1DC1-9C74-4E5A-A47C-5A0AD028D6D9}"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D7F787BC-B6E4-4143-B607-013801B81221}"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DC6A519-3ECE-49DF-BF8E-5FB5427E814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FE4CAF8-35BD-4F74-A4EE-30E36B2E6BFD}" name="Fuel type"/>
    <tableColumn id="2" xr3:uid="{7FE3BBE1-8171-4088-99E9-A8CD86C6B7DF}" name="Unit"/>
    <tableColumn id="3" xr3:uid="{CC375466-0962-4ABA-B17C-FB9DEC2FCA4F}"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8ED560C7-83AD-4D15-BC40-A35F6789B0A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ED4AE3-8794-4CB3-A20A-2E1992D3136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00B6330-5635-4EAD-99BE-3F42E9C9837A}"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73690B6-949C-4185-9A95-44ED443F9260}"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3DA2C49-A705-4FB7-94CC-B456814591BE}"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1DE4336-55FE-4795-906A-1AF265AC4D30}"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7C5FBB2-18FF-4ABD-94FD-A6C097978EBE}"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9189413-179C-4239-B86A-4AF86E435C75}"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6217120-56F3-4681-B02A-6603D808D12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1090239-7120-47A6-AE46-8B2714B17333}"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1D4972EF-AE02-48F9-9DC0-B14FB5364E1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E0599189-563F-4E84-B3F8-D180858B6A02}"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80157A5A-46F0-4DE9-8276-6E355C43C55C}"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01173FFF-708F-4123-B4B7-A21CA4F788B5}"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160CA3EF-1D9F-48BD-B6A3-A1D9D93FE88C}"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993D978-3428-490D-8974-CF55D6518B87}"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63715CCC-FCB9-442E-9C0E-2267A482F18A}"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EE89393F-9ADA-4AE6-AE93-EF32FF8862B0}"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55DEC73C-27AC-43C6-868B-E43FDD20403F}"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2E38BFB3-084F-4D1C-BD3D-D024E56DA132}"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19645F29-9399-484B-9915-AF936C0F4D31}"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D500B2A5-D615-48E7-BC63-70A3B74C32F9}"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63466906-007C-492D-9387-1A40E8E0F5DD}"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DBAC1A4F-DB09-4EDC-ACA7-CAB11C07722C}" name="Category" dataDxfId="196" dataCellStyle="Content normal">
      <calculatedColumnFormula array="1">Common_InputFunctions.Utility_DisplayArrayInTable(Scope3_SourceData.Scope3_Feed_Data(), Table_SourceData_Scope3_Feed[[#Headers],[Category]], 0, 2)</calculatedColumnFormula>
    </tableColumn>
    <tableColumn id="2" xr3:uid="{9F329F25-E177-4DBC-B58B-6BE6F9923C0C}" name="Product" dataDxfId="195" dataCellStyle="Content normal">
      <calculatedColumnFormula array="1">Common_InputFunctions.Utility_DisplayArrayInTable(Scope3_SourceData.Scope3_Feed_Data(), Table_SourceData_Scope3_Feed[[#Headers],[Category]], 0, 2)</calculatedColumnFormula>
    </tableColumn>
    <tableColumn id="3" xr3:uid="{6681C3FF-ED10-464E-AFDB-4EA2FFCB1313}"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D440D489-8B21-44C4-8971-86925204F682}" name="Quantity Unit" dataDxfId="193" dataCellStyle="Content normal">
      <calculatedColumnFormula array="1">Common_InputFunctions.Utility_DisplayArrayInTable(Scope3_SourceData.Scope3_Feed_Data(), Table_SourceData_Scope3_Feed[[#Headers],[Category]], 0, 2)</calculatedColumnFormula>
    </tableColumn>
    <tableColumn id="9" xr3:uid="{751C8015-09D8-4432-A269-AA729FE5CE92}"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E20D07E7-3EDF-4B37-B4B4-460142A60AA3}"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BA2DB80B-E2F8-419C-8BAD-66963036B6B7}"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E0202E5-9BE7-456D-BFBD-69ED6DF6F325}" name="Category">
      <calculatedColumnFormula array="1">Common_InputFunctions.Utility_DisplayArrayInTable(Scope3_SourceData.Scope3_InorganicFertilisers_Data(), Table_SourceData_Scope3_InorganicFertiliser[[#Headers],[Category]], 0, 2)</calculatedColumnFormula>
    </tableColumn>
    <tableColumn id="2" xr3:uid="{6D74BEEC-A806-41C9-A577-25303913B290}" name="Product">
      <calculatedColumnFormula array="1">Common_InputFunctions.Utility_DisplayArrayInTable(Scope3_SourceData.Scope3_InorganicFertilisers_Data(), Table_SourceData_Scope3_InorganicFertiliser[[#Headers],[Category]], 0, 2)</calculatedColumnFormula>
    </tableColumn>
    <tableColumn id="3" xr3:uid="{F35BCC67-58D0-4C66-AB50-B7FA0979BDCC}" name="Region of origin">
      <calculatedColumnFormula array="1">Common_InputFunctions.Utility_DisplayArrayInTable(Scope3_SourceData.Scope3_InorganicFertilisers_Data(), Table_SourceData_Scope3_InorganicFertiliser[[#Headers],[Category]], 0, 2)</calculatedColumnFormula>
    </tableColumn>
    <tableColumn id="4" xr3:uid="{CA37B08E-C50B-4CB3-BEFC-721AC2AA792B}" name="Chemical compound"/>
    <tableColumn id="5" xr3:uid="{4E7F5C1C-3FDF-4AA8-BCBD-F0BAB93CD679}" name="Urea source"/>
    <tableColumn id="6" xr3:uid="{2D90273C-3081-46C9-BC79-50CCD43036F3}" name="Ammonia source"/>
    <tableColumn id="7" xr3:uid="{1B5C10A4-C09A-452F-8F19-1390A81022F4}" name="Quantity"/>
    <tableColumn id="8" xr3:uid="{FD6D4008-1F97-493A-949F-5D73C96EE6D4}" name="Quantity Unit">
      <calculatedColumnFormula array="1">Common_InputFunctions.Utility_DisplayArrayInTable(Scope3_SourceData.Scope3_InorganicFertilisers_Data(), Table_SourceData_Scope3_InorganicFertiliser[[#Headers],[Category]], 0, -2)</calculatedColumnFormula>
    </tableColumn>
    <tableColumn id="9" xr3:uid="{911B598A-1FA4-4890-93D9-7328361A3785}"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4658E482-9D84-43D8-9951-EE300E0EC3D7}"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70625B2-507D-472A-8023-A632351C187A}"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42B37346-B918-4CC0-90A6-762DC91EF8A4}" name="Category" dataDxfId="188" dataCellStyle="Content normal">
      <calculatedColumnFormula array="1">Common_InputFunctions.Utility_DisplayArrayInTable(Scope3_SourceData.Scope3_Other_Data(), Table_SourceData_Scope3_Other[[#Headers],[Category]], 0, 2)</calculatedColumnFormula>
    </tableColumn>
    <tableColumn id="2" xr3:uid="{8898622F-A344-488D-8921-B55F28BCDFEA}" name="Product" dataDxfId="187" dataCellStyle="Content normal">
      <calculatedColumnFormula array="1">Common_InputFunctions.Utility_DisplayArrayInTable(Scope3_SourceData.Scope3_Other_Data(), Table_SourceData_Scope3_Other[[#Headers],[Category]], 0, 2)</calculatedColumnFormula>
    </tableColumn>
    <tableColumn id="3" xr3:uid="{A1A1346C-2C6A-41F3-B784-38531403FDC5}"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EC62AABE-5901-42C9-BD8D-5D3F4BC71C68}" name="Quantity Unit" dataDxfId="185" dataCellStyle="Content normal">
      <calculatedColumnFormula array="1">Common_InputFunctions.Utility_DisplayArrayInTable(Scope3_SourceData.Scope3_Other_Data(), Table_SourceData_Scope3_Other[[#Headers],[Category]], 0, 2)</calculatedColumnFormula>
    </tableColumn>
    <tableColumn id="9" xr3:uid="{273C006B-DBE6-4C37-8AD5-0ACA125A4420}"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8A88295E-33A4-434E-A001-D4927E961D36}"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FA7411B-CA46-481F-8CA9-3F49D94718FE}"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DE7101D5-3B54-4647-9B12-C852EA1C5CC4}"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9C185BB0-5473-4295-982F-265A70B676B7}"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B8B02BF8-3701-4995-B416-649149E679B9}"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A36EAB9D-1081-40DA-AEEB-2657F1BF14A0}"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057330FA-B273-4F0D-9020-0A823708ED54}"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98B089C0-1167-454C-8519-06C964C7FC12}"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8F2AAB4-0274-4B5F-9B77-B8DAD2630657}"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24C5A83C-8FFF-4F44-A80D-D80F99BE52BF}"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198FE641-9760-44D8-BB90-64ED7A0DD81C}"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8430BD15-96E0-4EC1-99DD-E91AC393DE46}"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7D3D73EF-7CEB-4ACF-84E6-3EE9203679FF}"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B517BE68-4597-48F1-A6B3-538ECF4F2A0D}"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1D570EC8-EE44-48E2-AC8A-A929B60A9AD1}"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E7B75A5C-935E-49E7-9373-91F228236AB3}"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AF37AEE-AC5F-4599-8532-3997E3CE06B2}"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A567DD2C-CD02-4789-8C15-0F43F754975A}"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8815FB35-F842-4976-90AD-20530082D103}"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A2EBE46C-3983-4644-84AA-29CDB8301CBC}"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9EAE9E6A-F446-4C30-B647-FCF4C0F1D40F}"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680BF206-E416-424C-874A-725E276B9083}"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826F9AC-AC07-4997-B65A-69C975A218E1}"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A9F9915-2D4E-4A9A-99CD-78BB518F5FD8}"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7F7F83DD-29F9-4EC9-9E5D-886DE6652525}"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D711FFA6-7511-4960-9916-BD77A3E5CD08}"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4BADD0D3-979D-44B6-A4EC-9DFE358CB3FC}"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835E0F5C-C74C-41B8-85A2-85958A3E8960}"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C8B18ADC-12B4-4F0C-B99F-A4587AF9D17F}"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EFA088A0-4C47-4EB0-9801-C6ECFCAEB2AA}"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F682DC1-6C91-4882-9BC6-A7A4D16344C5}" name="Category" dataDxfId="153" dataCellStyle="Content normal">
      <calculatedColumnFormula array="1">Common_InputFunctions.Utility_DisplayArrayInTable(Scope3_SourceData.Scope3_Feed_Data(), Table_SourceData_Scope3_LickBlocks[[#Headers],[Category]], -73, 2)</calculatedColumnFormula>
    </tableColumn>
    <tableColumn id="2" xr3:uid="{1E7AD484-F560-4F07-9FDA-691AE0A17724}" name="Product" dataDxfId="152" dataCellStyle="Content normal">
      <calculatedColumnFormula array="1">Common_InputFunctions.Utility_DisplayArrayInTable(Scope3_SourceData.Scope3_Feed_Data(), Table_SourceData_Scope3_LickBlocks[[#Headers],[Category]], -73, 2)</calculatedColumnFormula>
    </tableColumn>
    <tableColumn id="3" xr3:uid="{A7E6A835-4037-4B5E-B769-3BFB6401F7C3}"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B2D22FDB-6063-4DE6-9FF0-CF5EA6BEE95F}"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14FB162B-872F-49B3-97FA-DDE12448F187}"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84CBD14D-E3D5-446F-B453-A20DF2C3959F}"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2C31934-C292-4978-9E12-9D37AD577871}"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945FE3C3-7010-4965-9ABF-AE335581BA57}"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31488FC5-AFDE-4DEF-A2B4-D43B5DAA7ED5}"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B4B3E482-9097-4FA1-8D8D-2EAA7F1C8525}"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61F2FA7-D2D1-45C5-B063-E24E5C61856E}"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D8A4A96B-6EBE-46DB-91D8-F4523B5F7122}"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A004428E-BB37-402C-A82D-158B73B247AD}"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5BC0E69-7401-491E-B8FB-3075F1D349CA}"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0760E571-65B6-4C9F-ABCB-3BFBA6021FF5}" name="Product">
      <calculatedColumnFormula>Table_SourceData_Scope3_Feed[[#This Row],[Product]]</calculatedColumnFormula>
    </tableColumn>
    <tableColumn id="2" xr3:uid="{E778581B-6F6D-4905-9BA2-0F9D83B052F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928B470-D456-4B71-9958-3F71B3B8274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74E59DA2-47DC-4B1E-B288-F4402C9FC2F7}" name="Product">
      <calculatedColumnFormula>Table_SourceData_Scope3_Feed[[#This Row],[Product]]</calculatedColumnFormula>
    </tableColumn>
    <tableColumn id="2" xr3:uid="{16F0BCC8-8A30-4F9C-AD00-1E7CAB442B1F}"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AF1065-A404-4229-8E85-707B48EB981A}"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0C3777E6-6D31-4B91-BC4A-EB05C736759C}" name="Product">
      <calculatedColumnFormula>Table_SourceData_Scope3_Feed[[#This Row],[Product]]</calculatedColumnFormula>
    </tableColumn>
    <tableColumn id="2" xr3:uid="{6A9CF954-A906-492F-A225-5BCDA6F24685}"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9BDDF30-D248-4628-9EB4-E815A431913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0062D2F3-5890-46B0-AE78-4C97E761B605}" name="Product">
      <calculatedColumnFormula>Table_SourceData_Scope3_Feed[[#This Row],[Product]]</calculatedColumnFormula>
    </tableColumn>
    <tableColumn id="2" xr3:uid="{24082D05-99E0-4E14-9B8D-6835382EE40C}"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C73FB0B-F3DA-4622-B0E8-5D8686927703}"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A803CB58-3EE5-4CCD-B116-864CDF735EE0}" name="Product">
      <calculatedColumnFormula>Table_SourceData_Scope3_Feed[[#This Row],[Product]]</calculatedColumnFormula>
    </tableColumn>
    <tableColumn id="2" xr3:uid="{7A1870DC-5DC1-4932-BF79-5273D53CAB52}"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E6A1644F-6070-42F1-AE57-5F0C065198F2}"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2111AFB-55CB-4A72-AB37-6936825E987F}" name="Product">
      <calculatedColumnFormula>Table_SourceData_Scope3_Feed[[#This Row],[Product]]</calculatedColumnFormula>
    </tableColumn>
    <tableColumn id="2" xr3:uid="{C0E5C695-0ED6-4D4F-91B3-7E6A27DF6BA8}"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1F7BD4-7829-4F09-857F-D4EDABACE3BD}"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2CF52D04-940A-4116-AF4E-9D2F60568146}" name="Product">
      <calculatedColumnFormula>Table_SourceData_Scope3_Feed[[#This Row],[Product]]</calculatedColumnFormula>
    </tableColumn>
    <tableColumn id="2" xr3:uid="{BDF5A5E6-CDA8-44DC-93BA-4A1296481E94}"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491192-CDED-48AB-982F-2D878C68C09C}"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218521B-BE80-4670-9709-F3D079B31ABE}" name="Product">
      <calculatedColumnFormula>Table_SourceData_Scope3_Feed[[#This Row],[Product]]</calculatedColumnFormula>
    </tableColumn>
    <tableColumn id="2" xr3:uid="{2B42BEE4-73F6-43D1-90F6-D03981ED76A0}"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8BB1012-D70C-4F13-B684-91BB5862EAD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F9F0DCC5-01D1-4409-B835-269CE61847C4}" name="Product">
      <calculatedColumnFormula>Table_SourceData_Scope3_Feed[[#This Row],[Product]]</calculatedColumnFormula>
    </tableColumn>
    <tableColumn id="2" xr3:uid="{4754AEE9-53B4-40F3-93B7-BA9D8B15B5DC}"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E3BAFD8-69C3-41D4-9236-A4AACE856D96}"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F5656766-7315-4703-A981-4E100289C67A}" name="Product">
      <calculatedColumnFormula>Table_SourceData_Scope3_Feed[[#This Row],[Product]]</calculatedColumnFormula>
    </tableColumn>
    <tableColumn id="2" xr3:uid="{EECB456F-9FC6-4A48-B9B8-C533433ED31D}"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2E7EDA9-4043-4ECB-BF73-DED420F8152D}"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2D50EB05-79EF-4033-81EC-3521D9F576E6}" name="Product" dataCellStyle="Content normal">
      <calculatedColumnFormula>Table_SourceData_Scope3_Feed[[#This Row],[Product]]</calculatedColumnFormula>
    </tableColumn>
    <tableColumn id="2" xr3:uid="{8660573B-2AD9-4901-BE6A-E0A15F8BEF0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68A4D740-CCA7-4E22-A6B7-8CF29D6D5E4D}"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B9442753-0097-40A0-9441-59FF608EB66A}" name="Product">
      <calculatedColumnFormula>Table_SourceData_Scope3_Feed[[#This Row],[Product]]</calculatedColumnFormula>
    </tableColumn>
    <tableColumn id="2" xr3:uid="{5E90A43F-CE61-4EAC-AD8E-437AB8AB97CB}"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2373690-7805-49C9-B094-0837F432E49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DA8B21CD-724E-4324-B3AE-FBE1E9B2EB07}" name="Product">
      <calculatedColumnFormula>Table_SourceData_Scope3_Feed[[#This Row],[Product]]</calculatedColumnFormula>
    </tableColumn>
    <tableColumn id="2" xr3:uid="{EB613AA0-651D-4E72-BE97-1B8482C1E9CC}"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8E957CBC-42E1-4E1D-9175-7BA5FE61D34F}"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998BBCA6-6B13-474A-AD2D-EE3C53973EC4}" name="Product">
      <calculatedColumnFormula>Table_SourceData_Scope3_Feed[[#This Row],[Product]]</calculatedColumnFormula>
    </tableColumn>
    <tableColumn id="2" xr3:uid="{29678A2F-9E3B-4263-A98F-DA1A9C876D14}"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E53C170-1C7E-48A3-B96C-8BC114706F95}"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CCEB3962-B30B-4C81-9533-2D4ABE39DBD9}" name="Product">
      <calculatedColumnFormula>Table_SourceData_Scope3_Feed[[#This Row],[Product]]</calculatedColumnFormula>
    </tableColumn>
    <tableColumn id="2" xr3:uid="{43FD10C0-379B-4E0D-B1B6-0BF5CC523697}"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6F74622-F021-4FDE-8A9A-29393391AC2A}"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2D52C00-D4D1-443A-8D84-6BF86B3C95D6}" name="Product">
      <calculatedColumnFormula>Table_SourceData_Scope3_Feed[[#This Row],[Product]]</calculatedColumnFormula>
    </tableColumn>
    <tableColumn id="2" xr3:uid="{4BBC7005-DCBB-4C00-8E21-778E2D2652D1}"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3C752652-DBFA-40CD-8117-FFE908DFCBA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E5653942-6241-4F4C-8071-9D7FDC893328}" name="Product">
      <calculatedColumnFormula>Table_SourceData_Scope3_Feed[[#This Row],[Product]]</calculatedColumnFormula>
    </tableColumn>
    <tableColumn id="2" xr3:uid="{704C0AFF-E435-4EED-A711-4C90AB12E1B8}"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53065AF-E541-4223-AA50-5692F284B4A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77EFD61F-613D-4BB8-874C-59DECC26D6AA}" name="Product">
      <calculatedColumnFormula>Table_SourceData_Scope3_Feed[[#This Row],[Product]]</calculatedColumnFormula>
    </tableColumn>
    <tableColumn id="2" xr3:uid="{925B9385-ED6C-4455-ACF8-A98D8771B2A3}"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A4DB3B90-53B7-4C29-8B1D-F6FD0D74EFE7}"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D453EF6B-A93A-4274-8B8F-2FDD341471EC}" name="Region"/>
    <tableColumn id="2" xr3:uid="{4CBA83D5-B366-45B7-9AD8-65F6B14F25ED}"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3F1CB668-1029-46C4-B65A-B2C1591A759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2F7C3F4-A40F-4C96-84DD-C53202895478}" name="Description"/>
    <tableColumn id="5" xr3:uid="{B1145A3C-7173-4CBB-A48C-2A0073D20755}" name="Treatment type (select)" dataCellStyle="Input select"/>
    <tableColumn id="2" xr3:uid="{54D8D9A1-9A02-43A5-AF1A-275BF1352981}" name="Waste type (select)" dataCellStyle="Input select"/>
    <tableColumn id="3" xr3:uid="{27C0E283-9346-4689-8A5D-EDAD7B9B632D}" name="Treatment location (select)" dataCellStyle="Input select"/>
    <tableColumn id="4" xr3:uid="{23810107-ABF5-485F-8069-19736149C271}" name="Amount" dataCellStyle="Input number general"/>
    <tableColumn id="7" xr3:uid="{91CB8728-ABA2-42B7-8A5D-92F72CCCB684}"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006E844-247D-4C7F-BF9E-9A582633749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9B3B450-5E71-4025-8BFB-1563DFF1F7A8}"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C6FB3461-4070-4707-B4F5-E00AB4CE04AD}"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1B018467-9EE6-4E7E-8D8F-8BBC78C1C278}"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E9C30B3-90F6-4F93-9F5C-97F29F72F15A}"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999B833-64EB-4B4B-A587-2BC04E33132D}"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3FF16BD-06CA-409C-AC33-E8637CDE457D}"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25A49022-FB34-4F05-8D00-24DBF7B2612F}"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9896A07-36F9-4B1A-8850-41C82D8644C0}" name="Table_WasteTypes_Landfill" displayName="Table_WasteTypes_Landfill" ref="I16:I27" totalsRowShown="0">
  <autoFilter ref="I16:I27" xr:uid="{99B942E3-1D24-4166-921C-DCC10960718D}">
    <filterColumn colId="0" hiddenButton="1"/>
  </autoFilter>
  <tableColumns count="1">
    <tableColumn id="1" xr3:uid="{3A8B5B65-013D-409A-A2AD-E6A9E410606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2601A62-8B40-4142-ADE5-A9EB3988A33E}"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EE7C5629-99C9-40AF-B939-6A594B806C60}"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12534436-4279-4616-8047-A97F2CA03044}"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D944A709-98B8-4853-B85D-A658B1B66466}"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47FF3AD-4CD8-4315-BA3B-E55C2D35A463}"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9F27D326-AD75-4FD3-A946-B1BA1C90378E}"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28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 workbookViewId="0" zoomScale="100" zoomScaleNormal="100">
      <selection activeCell="A62" sqref="A6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187</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188</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189</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190</v>
      </c>
      <c r="E9" s="18" cm="1">
        <f t="array" ref="E9">VEERG_4_3_1_3__1_TotalAnnualDirectNitrousOxideEmissionsFromMMS_Result_Method1</f>
        <v>6.3172161253287021E-2</v>
      </c>
      <c r="F9" s="18" cm="1">
        <f t="array" ref="F9">VEERG_4_3_1_3__1_TotalAnnualDirectNitrousOxideEmissionsFromMMS_Result_Method2</f>
        <v>6.3172161253287021E-2</v>
      </c>
      <c r="G9" s="15" t="s">
        <v>12</v>
      </c>
      <c r="H9" s="18" cm="1">
        <f t="array" ref="H9">Common_Equations.Common_ConvertN2OToCO2e(E9,_xlfn.XLOOKUP("N2O", Table_GWPData[Gas],Table_GWPData[CO2-e factor]))</f>
        <v>16.740622732121061</v>
      </c>
      <c r="I9" s="18" cm="1">
        <f t="array" ref="I9">Common_Equations.Common_ConvertN2OToCO2e(F9,_xlfn.XLOOKUP("N2O", Table_GWPData[Gas],Table_GWPData[CO2-e factor]))</f>
        <v>16.740622732121061</v>
      </c>
      <c r="J9" s="15" t="s">
        <v>7</v>
      </c>
      <c r="K9" s="8"/>
    </row>
    <row r="10" spans="1:11" ht="20.100000000000001" customHeight="1" x14ac:dyDescent="0.25">
      <c r="A10" s="5" t="str">
        <f>HYPERLINK("#'Input - Site'!A1", "Site")</f>
        <v>Site</v>
      </c>
      <c r="C10" s="8"/>
      <c r="D10" s="1" t="s">
        <v>191</v>
      </c>
      <c r="E10" s="18" cm="1">
        <f t="array" ref="E10">VEERG_4_3_1_5__1_AnnualAtmosphericDepositionEmissionsFromMMS_Result_Method1</f>
        <v>5.0665467159299066E-2</v>
      </c>
      <c r="F10" s="18" cm="1">
        <f t="array" ref="F10">VEERG_4_3_1_5__1_AnnualAtmosphericDepositionEmissionsFromMMS_Result_Method2</f>
        <v>5.0665467159299066E-2</v>
      </c>
      <c r="G10" s="15" t="s">
        <v>12</v>
      </c>
      <c r="H10" s="18" cm="1">
        <f t="array" ref="H10">Common_Equations.Common_ConvertN2OToCO2e(E10,_xlfn.XLOOKUP("N2O", Table_GWPData[Gas],Table_GWPData[CO2-e factor]))</f>
        <v>13.426348797214253</v>
      </c>
      <c r="I10" s="18" cm="1">
        <f t="array" ref="I10">Common_Equations.Common_ConvertN2OToCO2e(F10,_xlfn.XLOOKUP("N2O", Table_GWPData[Gas],Table_GWPData[CO2-e factor]))</f>
        <v>13.426348797214253</v>
      </c>
      <c r="J10" s="15" t="s">
        <v>7</v>
      </c>
      <c r="K10" s="8"/>
    </row>
    <row r="11" spans="1:11" ht="20.100000000000001" customHeight="1" x14ac:dyDescent="0.25">
      <c r="A11" s="5" t="str">
        <f>HYPERLINK("#'Input - Dairy'!A1", "Dairy")</f>
        <v>Dairy</v>
      </c>
      <c r="C11" s="8"/>
      <c r="D11" s="1" t="s">
        <v>192</v>
      </c>
      <c r="E11" s="18" cm="1">
        <f t="array" ref="E11">VEERG_4_3_1_6__1_AnnualEmissionsFromLeachingAndRunoffFromMMS_Result_Method1</f>
        <v>2.779575095144629E-3</v>
      </c>
      <c r="F11" s="18" cm="1">
        <f t="array" ref="F11">VEERG_4_3_1_6__1_AnnualEmissionsFromLeachingAndRunoffFromMMS_Result_Method2</f>
        <v>2.779575095144629E-3</v>
      </c>
      <c r="G11" s="15" t="s">
        <v>12</v>
      </c>
      <c r="H11" s="18" cm="1">
        <f t="array" ref="H11">Common_Equations.Common_ConvertN2OToCO2e(E11,_xlfn.XLOOKUP("N2O", Table_GWPData[Gas],Table_GWPData[CO2-e factor]))</f>
        <v>0.73658740021332669</v>
      </c>
      <c r="I11" s="18" cm="1">
        <f t="array" ref="I11">Common_Equations.Common_ConvertN2OToCO2e(F11,_xlfn.XLOOKUP("N2O", Table_GWPData[Gas],Table_GWPData[CO2-e factor]))</f>
        <v>0.73658740021332669</v>
      </c>
      <c r="J11" s="15" t="s">
        <v>7</v>
      </c>
      <c r="K11" s="8"/>
    </row>
    <row r="12" spans="1:11" ht="20.100000000000001" customHeight="1" x14ac:dyDescent="0.25">
      <c r="A12" s="5" t="str">
        <f>HYPERLINK("#'Input - Dairy (Enteric)'!A1", "Dairy (Enteric)")</f>
        <v>Dairy (Enteric)</v>
      </c>
      <c r="C12" s="8"/>
      <c r="D12" s="1" t="s">
        <v>193</v>
      </c>
      <c r="E12" s="18" cm="1">
        <f t="array" ref="E12">VEERG_4_3_1_9__1_DirectNitrousOxideEmissionsOnPasture_Result_Method1</f>
        <v>8.0033058384947273E-2</v>
      </c>
      <c r="F12" s="18" cm="1">
        <f t="array" ref="F12">VEERG_4_3_1_9__1_DirectNitrousOxideEmissionsOnPasture_Result_Method2</f>
        <v>8.0033058384947273E-2</v>
      </c>
      <c r="G12" s="15" t="s">
        <v>12</v>
      </c>
      <c r="H12" s="18" cm="1">
        <f t="array" ref="H12">Common_Equations.Common_ConvertN2OToCO2e(E12,_xlfn.XLOOKUP("N2O", Table_GWPData[Gas],Table_GWPData[CO2-e factor]))</f>
        <v>21.208760472011026</v>
      </c>
      <c r="I12" s="18" cm="1">
        <f t="array" ref="I12">Common_Equations.Common_ConvertN2OToCO2e(F12,_xlfn.XLOOKUP("N2O", Table_GWPData[Gas],Table_GWPData[CO2-e factor]))</f>
        <v>21.208760472011026</v>
      </c>
      <c r="J12" s="15" t="s">
        <v>7</v>
      </c>
      <c r="K12" s="8"/>
    </row>
    <row r="13" spans="1:11" ht="20.100000000000001" customHeight="1" x14ac:dyDescent="0.25">
      <c r="A13" s="5" t="str">
        <f>HYPERLINK("#'Input - Livestock sales'!A1", "Livestock sales")</f>
        <v>Livestock sales</v>
      </c>
      <c r="C13" s="8"/>
      <c r="D13" s="1" t="s">
        <v>194</v>
      </c>
      <c r="E13" s="18" cm="1">
        <f t="array" ref="E13">VEERG_4_3_1_10__1_AtmosphericDepositionEmissionsFromUrineAndDungOnPasture_Result_Method1</f>
        <v>4.958047966947482E-2</v>
      </c>
      <c r="F13" s="18" cm="1">
        <f t="array" ref="F13">VEERG_4_3_1_10__1_AtmosphericDepositionEmissionsFromUrineAndDungOnPasture_Result_Method2</f>
        <v>4.958047966947482E-2</v>
      </c>
      <c r="G13" s="15" t="s">
        <v>12</v>
      </c>
      <c r="H13" s="18" cm="1">
        <f t="array" ref="H13">Common_Equations.Common_ConvertN2OToCO2e(E13,_xlfn.XLOOKUP("N2O", Table_GWPData[Gas],Table_GWPData[CO2-e factor]))</f>
        <v>13.138827112410826</v>
      </c>
      <c r="I13" s="18" cm="1">
        <f t="array" ref="I13">Common_Equations.Common_ConvertN2OToCO2e(F13,_xlfn.XLOOKUP("N2O", Table_GWPData[Gas],Table_GWPData[CO2-e factor]))</f>
        <v>13.138827112410826</v>
      </c>
      <c r="J13" s="15" t="s">
        <v>7</v>
      </c>
      <c r="K13" s="8"/>
    </row>
    <row r="14" spans="1:11" ht="20.100000000000001" customHeight="1" x14ac:dyDescent="0.25">
      <c r="A14" s="5" t="str">
        <f>HYPERLINK("#'Input - Dairy cattle purchases'!A1", "Dairy cattle purchases")</f>
        <v>Dairy cattle purchases</v>
      </c>
      <c r="C14" s="8"/>
      <c r="D14" s="1" t="s">
        <v>195</v>
      </c>
      <c r="E14" s="18" cm="1">
        <f t="array" ref="E14">VEERG_4_3_1_12__1_LeachingAndRunoffEmissionsFromUrineAndDungOnPasture_Result_Method1</f>
        <v>0.10564363706813039</v>
      </c>
      <c r="F14" s="18" cm="1">
        <f t="array" ref="F14">VEERG_4_3_1_12__1_LeachingAndRunoffEmissionsFromUrineAndDungOnPasture_Result_Method2</f>
        <v>0.10564363706813039</v>
      </c>
      <c r="G14" s="15" t="s">
        <v>12</v>
      </c>
      <c r="H14" s="18" cm="1">
        <f t="array" ref="H14">Common_Equations.Common_ConvertN2OToCO2e(E14,_xlfn.XLOOKUP("N2O", Table_GWPData[Gas],Table_GWPData[CO2-e factor]))</f>
        <v>27.995563823054553</v>
      </c>
      <c r="I14" s="18" cm="1">
        <f t="array" ref="I14">Common_Equations.Common_ConvertN2OToCO2e(F14,_xlfn.XLOOKUP("N2O", Table_GWPData[Gas],Table_GWPData[CO2-e factor]))</f>
        <v>27.995563823054553</v>
      </c>
      <c r="J14" s="15" t="s">
        <v>7</v>
      </c>
      <c r="K14" s="8"/>
    </row>
    <row r="15" spans="1:11" ht="20.100000000000001" customHeight="1" x14ac:dyDescent="0.25">
      <c r="A15" s="5" t="str">
        <f>HYPERLINK("#'Input - Pasture'!A1", "Pasture")</f>
        <v>Pasture</v>
      </c>
      <c r="C15" s="8"/>
      <c r="D15" s="1" t="s">
        <v>150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151</v>
      </c>
      <c r="E16" s="18" cm="1">
        <f t="array" ref="E16">VEERG_5_1_1_3__1_InorganicFertiliserApplicationCO2Emissions_Result_Method1</f>
        <v>73.333333333333329</v>
      </c>
      <c r="F16" s="18">
        <f>E16</f>
        <v>73.333333333333329</v>
      </c>
      <c r="G16" s="15" t="s">
        <v>140</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152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153</v>
      </c>
      <c r="E18" s="18" cm="1">
        <f t="array" ref="E18">VEERG_5_3_1_1__1_LimeApplicationCO2Emissions_Result_Method1</f>
        <v>758.08333333333326</v>
      </c>
      <c r="F18" s="18">
        <f>E18</f>
        <v>758.08333333333326</v>
      </c>
      <c r="G18" s="15" t="s">
        <v>140</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154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155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156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157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158</v>
      </c>
      <c r="E23" s="18" cm="1">
        <f t="array" ref="E23">VEERG_8_1_1_1__1_FuelCombustionTransport_Result_CO2</f>
        <v>83.182000000000002</v>
      </c>
      <c r="F23" s="18">
        <f>E23</f>
        <v>83.182000000000002</v>
      </c>
      <c r="G23" s="15" t="s">
        <v>140</v>
      </c>
      <c r="H23" s="18">
        <f>E23</f>
        <v>83.182000000000002</v>
      </c>
      <c r="I23" s="18">
        <f>F23</f>
        <v>83.182000000000002</v>
      </c>
      <c r="J23" s="15" t="s">
        <v>7</v>
      </c>
      <c r="K23" s="8"/>
    </row>
    <row r="24" spans="1:11" ht="20.100000000000001" customHeight="1" x14ac:dyDescent="0.25">
      <c r="C24" s="8"/>
      <c r="D24" s="1" t="s">
        <v>160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159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161</v>
      </c>
      <c r="E26" s="18" cm="1">
        <f t="array" ref="E26">VEERG_8_2_1_1__1_FuelCombustionStationary_Result_CO2</f>
        <v>29.070800000000002</v>
      </c>
      <c r="F26" s="18">
        <f>E26</f>
        <v>29.070800000000002</v>
      </c>
      <c r="G26" s="15" t="s">
        <v>140</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162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163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164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165</v>
      </c>
      <c r="E30" s="18" cm="1">
        <f t="array" ref="E30">VEERG_14_1_2__1_MarketBasedScopeElectricityEmissionsVariation_Result_Method1</f>
        <v>13.77</v>
      </c>
      <c r="F30" s="18">
        <f t="shared" si="0"/>
        <v>13.77</v>
      </c>
      <c r="G30" s="15" t="s">
        <v>7</v>
      </c>
      <c r="H30" s="18">
        <f>E30</f>
        <v>13.77</v>
      </c>
      <c r="I30" s="18">
        <f>F30</f>
        <v>13.77</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2935.6295767853439</v>
      </c>
      <c r="I31" s="19">
        <f ca="1">SUM(I7:I30)</f>
        <v>2944.7676873300479</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121</v>
      </c>
      <c r="E35" s="1"/>
      <c r="F35" s="1"/>
      <c r="G35" s="1"/>
      <c r="H35" s="13"/>
      <c r="I35" s="8"/>
      <c r="J35" s="8"/>
      <c r="K35" s="8"/>
    </row>
    <row r="36" spans="1:11" ht="20.100000000000001" customHeight="1" x14ac:dyDescent="0.3">
      <c r="A36" s="5" t="str">
        <f>HYPERLINK("#'8.2.1.1-2 Stationary fuel'!A1", "8.2.1.1-2 Stationary fuel")</f>
        <v>8.2.1.1-2 Stationary fuel</v>
      </c>
      <c r="C36" s="8"/>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123</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122</v>
      </c>
      <c r="E39" s="20" t="s">
        <v>10</v>
      </c>
      <c r="F39" s="20" t="s">
        <v>11</v>
      </c>
      <c r="G39" s="1"/>
      <c r="H39" s="13"/>
      <c r="I39" s="8"/>
      <c r="J39" s="8"/>
      <c r="K39" s="8"/>
    </row>
    <row r="40" spans="1:11" ht="20.100000000000001" customHeight="1" x14ac:dyDescent="0.3">
      <c r="A40" s="5" t="str">
        <f>HYPERLINK("#'4.3.1.1-2 Methane'!A1", "4.3.1.1-2 Methane")</f>
        <v>4.3.1.1-2 Methane</v>
      </c>
      <c r="C40" s="8"/>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5" t="s">
        <v>7</v>
      </c>
      <c r="H40" s="13"/>
      <c r="I40" s="8"/>
      <c r="J40" s="8"/>
      <c r="K40" s="8"/>
    </row>
    <row r="41" spans="1:11" ht="20.100000000000001" customHeight="1" x14ac:dyDescent="0.3">
      <c r="A41" s="5" t="str">
        <f>HYPERLINK("#'4.3.1.3-4 Direct N20'!A1", "4.3.1.3-4 Direct N20")</f>
        <v>4.3.1.3-4 Direct N20</v>
      </c>
      <c r="C41" s="8"/>
      <c r="D41" s="1" t="str">
        <v>01 Jan 2024 to 31 Dec 2024 (This reporting cycle)</v>
      </c>
      <c r="E41" s="86">
        <f ca="1">IF(ISBLANK($D41), "", IF(ISNUMBER(SEARCH("reporting", $D41)), Result_Enterprise_Method1, "Enter value"))</f>
        <v>2935.6295767853439</v>
      </c>
      <c r="F41" s="86">
        <f ca="1">IF(ISBLANK($D41), "", IF(ISNUMBER(SEARCH("reporting", $D41)), Result_Enterprise_Method2, "Enter value"))</f>
        <v>2944.7676873300479</v>
      </c>
      <c r="G41" s="15" t="s">
        <v>7</v>
      </c>
      <c r="H41" s="13"/>
      <c r="I41" s="8"/>
      <c r="J41" s="8"/>
      <c r="K41" s="8"/>
    </row>
    <row r="42" spans="1:11" ht="20.100000000000001" customHeight="1" x14ac:dyDescent="0.3">
      <c r="A42" s="5" t="str">
        <f>HYPERLINK("#'4.3.1.5 Atmos deposition'!A1", "4.3.1.5 Atmos deposition")</f>
        <v>4.3.1.5 Atmos deposition</v>
      </c>
      <c r="C42" s="8"/>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5" t="s">
        <v>7</v>
      </c>
      <c r="H42" s="13"/>
      <c r="I42" s="8"/>
      <c r="J42" s="8"/>
      <c r="K42" s="8"/>
    </row>
    <row r="43" spans="1:11" ht="20.100000000000001" customHeight="1" x14ac:dyDescent="0.3">
      <c r="A43" s="5" t="str">
        <f>HYPERLINK("#'4.3.1.6-7 Leaching and runoff'!A1", "4.3.1.6-7 Leaching and runoff")</f>
        <v>4.3.1.6-7 Leaching and runoff</v>
      </c>
      <c r="C43" s="8"/>
      <c r="D43" s="1"/>
      <c r="E43" s="86" t="str">
        <f>IF(ISBLANK($D43), "", IF(ISNUMBER(SEARCH("reporting", $D43)), Result_Enterprise_Method1, "Enter value"))</f>
        <v/>
      </c>
      <c r="F43" s="86" t="str">
        <f>IF(ISBLANK($D43), "", IF(ISNUMBER(SEARCH("reporting", $D43)), Result_Enterprise_Method2, "Enter value"))</f>
        <v/>
      </c>
      <c r="G43" s="15" t="s">
        <v>7</v>
      </c>
      <c r="H43" s="13"/>
      <c r="I43" s="8"/>
      <c r="J43" s="8"/>
      <c r="K43" s="8"/>
    </row>
    <row r="44" spans="1:11" ht="20.100000000000001" customHeight="1" x14ac:dyDescent="0.3">
      <c r="A44" s="5" t="str">
        <f>HYPERLINK("#'4.3.1.8 Manure applied to soils'!A1", "4.3.1.8 Manure applied to soils")</f>
        <v>4.3.1.8 Manure applied to soils</v>
      </c>
      <c r="C44" s="8"/>
      <c r="D44" s="88"/>
      <c r="E44" s="86" t="str">
        <f>IF(ISBLANK($D44), "", IF(ISNUMBER(SEARCH("reporting", $D44)), Result_Enterprise_Method1, "Enter value"))</f>
        <v/>
      </c>
      <c r="F44" s="86" t="str">
        <f>IF(ISBLANK($D44), "", IF(ISNUMBER(SEARCH("reporting", $D44)), Result_Enterprise_Method2, "Enter value"))</f>
        <v/>
      </c>
      <c r="G44" s="15" t="s">
        <v>7</v>
      </c>
      <c r="H44" s="13"/>
      <c r="I44" s="8"/>
      <c r="J44" s="8"/>
      <c r="K44" s="8"/>
    </row>
    <row r="45" spans="1:11" ht="20.100000000000001" customHeight="1" x14ac:dyDescent="0.3">
      <c r="A45" s="5" t="str">
        <f>HYPERLINK("#'4.3.1.9 Soil direct N2O'!A1", "4.3.1.9 Soil direct N2O")</f>
        <v>4.3.1.9 Soil direct N2O</v>
      </c>
      <c r="C45" s="8"/>
      <c r="D45" s="14" t="s">
        <v>141</v>
      </c>
      <c r="E45" s="19">
        <f ca="1">SUM(E40:E44)</f>
        <v>2935.6295767853439</v>
      </c>
      <c r="F45" s="19">
        <f ca="1">SUM(F40:F44)</f>
        <v>2944.7676873300479</v>
      </c>
      <c r="G45" s="1"/>
      <c r="H45" s="1"/>
      <c r="I45" s="1"/>
      <c r="J45" s="8"/>
      <c r="K45" s="8"/>
    </row>
    <row r="46" spans="1:11" ht="20.100000000000001" customHeight="1" x14ac:dyDescent="0.25">
      <c r="A46" s="5" t="str">
        <f>HYPERLINK("#'4.3.1.10-11 Soil Atmos Dep'!A1", "4.3.1.10-11 Soil Atmos Dep")</f>
        <v>4.3.1.10-11 Soil Atmos Dep</v>
      </c>
      <c r="C46" s="8"/>
      <c r="D46" s="1"/>
      <c r="E46" s="1"/>
      <c r="F46" s="1"/>
      <c r="G46" s="1"/>
      <c r="H46" s="1"/>
      <c r="I46" s="1"/>
      <c r="J46" s="8"/>
      <c r="K46" s="8"/>
    </row>
    <row r="47" spans="1:11" ht="20.100000000000001" customHeight="1" x14ac:dyDescent="0.25">
      <c r="A47" s="5" t="str">
        <f>HYPERLINK("#'4.3.1.12-13 Soil leach runoff'!A1", "4.3.1.12-13 Soil leach runoff")</f>
        <v>4.3.1.12-13 Soil leach runoff</v>
      </c>
      <c r="C47" s="8"/>
      <c r="D47" s="1"/>
      <c r="E47" s="1"/>
      <c r="F47" s="1"/>
      <c r="G47" s="1"/>
      <c r="H47" s="1"/>
      <c r="I47" s="1"/>
      <c r="J47" s="8"/>
      <c r="K47" s="8"/>
    </row>
    <row r="48" spans="1:11" ht="20.100000000000001" customHeight="1" x14ac:dyDescent="0.25">
      <c r="A48" s="5" t="str">
        <f>HYPERLINK("#'3.3.1.1-2 Enteric Methane'!A1", "3.3.1.1-2 Enteric Methane")</f>
        <v>3.3.1.1-2 Enteric Methane</v>
      </c>
      <c r="C48" s="8"/>
      <c r="D48" s="2" t="s">
        <v>138</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122</v>
      </c>
      <c r="E50" s="20" t="s">
        <v>139</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5" t="s">
        <v>140</v>
      </c>
      <c r="G51" s="1"/>
      <c r="H51" s="1"/>
      <c r="I51" s="1"/>
      <c r="J51" s="1"/>
      <c r="K51" s="8"/>
    </row>
    <row r="52" spans="1:11" ht="20.100000000000001" customHeight="1" x14ac:dyDescent="0.25">
      <c r="A52" s="99" t="s">
        <v>1</v>
      </c>
      <c r="C52" s="8"/>
      <c r="D52" s="1" t="str">
        <v>01 Jan 2024 to 31 Dec 2024 (This reporting cycle)</v>
      </c>
      <c r="E52" s="86" t="str">
        <f t="shared" ref="E52:E55" si="1">IF(ISBLANK(D52), "", "Enter value")</f>
        <v>Enter value</v>
      </c>
      <c r="F52" s="15" t="s">
        <v>140</v>
      </c>
      <c r="G52" s="1"/>
      <c r="H52" s="1"/>
      <c r="I52" s="1"/>
      <c r="J52" s="1"/>
      <c r="K52" s="8"/>
    </row>
    <row r="53" spans="1:11" ht="20.100000000000001" customHeight="1" x14ac:dyDescent="0.25">
      <c r="A53" s="5" t="str">
        <f>HYPERLINK("#'Constants - Dairy'!A1", "Constants - Dairy")</f>
        <v>Constants - Dairy</v>
      </c>
      <c r="C53" s="8"/>
      <c r="D53" s="1" t="str">
        <v>01 Jan 2025 to 31 Dec 2025</v>
      </c>
      <c r="E53" s="86" t="str">
        <f t="shared" si="1"/>
        <v>Enter value</v>
      </c>
      <c r="F53" s="15" t="s">
        <v>140</v>
      </c>
      <c r="G53" s="1"/>
      <c r="H53" s="1"/>
      <c r="I53" s="1"/>
      <c r="J53" s="1"/>
      <c r="K53" s="8"/>
    </row>
    <row r="54" spans="1:11" ht="20.100000000000001" customHeight="1" x14ac:dyDescent="0.25">
      <c r="A54" s="5" t="str">
        <f>HYPERLINK("#'Constants - Ag Residue'!A1", "Constants - Ag residue")</f>
        <v>Constants - Ag residue</v>
      </c>
      <c r="C54" s="8"/>
      <c r="D54" s="1"/>
      <c r="E54" s="86" t="str">
        <f t="shared" si="1"/>
        <v/>
      </c>
      <c r="F54" s="15" t="s">
        <v>140</v>
      </c>
      <c r="G54" s="1"/>
      <c r="H54" s="1"/>
      <c r="I54" s="1"/>
      <c r="J54" s="1"/>
      <c r="K54" s="8"/>
    </row>
    <row r="55" spans="1:11" ht="20.100000000000001" customHeight="1" x14ac:dyDescent="0.25">
      <c r="A55" s="5" t="str">
        <f>HYPERLINK("#'Constants - Common Livestock'!A1", "Constants - Common Livestock")</f>
        <v>Constants - Common Livestock</v>
      </c>
      <c r="C55" s="8"/>
      <c r="D55" s="1"/>
      <c r="E55" s="86" t="str">
        <f t="shared" si="1"/>
        <v/>
      </c>
      <c r="F55" s="15" t="s">
        <v>140</v>
      </c>
      <c r="G55" s="1"/>
      <c r="H55" s="1"/>
      <c r="I55" s="8"/>
      <c r="J55" s="8"/>
      <c r="K55" s="8"/>
    </row>
    <row r="56" spans="1:11" ht="20.100000000000001" customHeight="1" x14ac:dyDescent="0.3">
      <c r="A56" s="5" t="str">
        <f>HYPERLINK("#'Constants - Electricity'!A1", "Constants - Electricity")</f>
        <v>Constants - Electricity</v>
      </c>
      <c r="C56" s="8"/>
      <c r="D56" s="14" t="s">
        <v>142</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125</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144</v>
      </c>
      <c r="F61" s="20" t="s">
        <v>145</v>
      </c>
      <c r="G61" s="1"/>
      <c r="H61" s="1"/>
      <c r="I61" s="1"/>
      <c r="J61" s="1"/>
      <c r="K61" s="8"/>
    </row>
    <row r="62" spans="1:11" ht="20.100000000000001" customHeight="1" x14ac:dyDescent="0.3">
      <c r="A62" s="5" t="str">
        <f>HYPERLINK("#'Constants - Solid Waste'!A1", "Constants - Solid Waste")</f>
        <v>Constants - Solid Waste</v>
      </c>
      <c r="C62" s="8"/>
      <c r="D62" s="89" t="s">
        <v>143</v>
      </c>
      <c r="E62" s="87">
        <f ca="1">E45-E56</f>
        <v>2935.6295767853439</v>
      </c>
      <c r="F62" s="87">
        <f ca="1">F45-E56</f>
        <v>2944.7676873300479</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1" t="s">
        <v>172</v>
      </c>
      <c r="E65" s="1"/>
      <c r="F65" s="1"/>
      <c r="G65" s="1"/>
      <c r="H65" s="1"/>
      <c r="I65" s="1"/>
      <c r="J65" s="1"/>
      <c r="K65" s="8"/>
    </row>
    <row r="66" spans="3:11" ht="20.100000000000001" customHeight="1" x14ac:dyDescent="0.25">
      <c r="C66" s="8"/>
      <c r="D66" s="20" t="s">
        <v>148</v>
      </c>
      <c r="E66" s="20" t="s">
        <v>132</v>
      </c>
      <c r="F66" s="20" t="s">
        <v>126</v>
      </c>
      <c r="G66" s="20" t="s">
        <v>174</v>
      </c>
      <c r="H66" s="20" t="s">
        <v>130</v>
      </c>
      <c r="I66" s="20" t="s">
        <v>131</v>
      </c>
      <c r="J66" s="20" t="s">
        <v>127</v>
      </c>
      <c r="K66" s="8"/>
    </row>
    <row r="67" spans="3:11" ht="20.100000000000001" customHeight="1" x14ac:dyDescent="0.25">
      <c r="C67" s="8"/>
      <c r="D67" s="1" t="s">
        <v>177</v>
      </c>
      <c r="E67" s="1" t="s">
        <v>133</v>
      </c>
      <c r="F67" s="18">
        <f>'Input - Enterprise'!E22</f>
        <v>5</v>
      </c>
      <c r="G67" s="18" t="e">
        <f>F67/(F67+F69)</f>
        <v>#NAME?</v>
      </c>
      <c r="H67" s="18" t="e">
        <f ca="1">(Result_EmissionsForWholeProductionCycle_Method1/F67)*G67</f>
        <v>#NAME?</v>
      </c>
      <c r="I67" s="18" t="e">
        <f ca="1">(Result_EmissionsForWholeProductionCycle_Method2/F67)*G67</f>
        <v>#NAME?</v>
      </c>
      <c r="J67" s="15" t="s">
        <v>128</v>
      </c>
      <c r="K67" s="8"/>
    </row>
    <row r="68" spans="3:11" ht="20.100000000000001" customHeight="1" x14ac:dyDescent="0.25">
      <c r="C68" s="8"/>
      <c r="D68" s="1" t="s">
        <v>178</v>
      </c>
      <c r="E68" s="1" t="s">
        <v>133</v>
      </c>
      <c r="F68" s="18">
        <f>F67</f>
        <v>5</v>
      </c>
      <c r="G68" s="18" t="e">
        <f>G67</f>
        <v>#NAME?</v>
      </c>
      <c r="H68" s="18" t="e">
        <f ca="1">(Result_NetEmissions_Method1/F68)*G68</f>
        <v>#NAME?</v>
      </c>
      <c r="I68" s="18" t="e">
        <f ca="1">(Result_NetEmissions_Method2/F68)*G68</f>
        <v>#NAME?</v>
      </c>
      <c r="J68" s="15" t="s">
        <v>128</v>
      </c>
      <c r="K68" s="8"/>
    </row>
    <row r="69" spans="3:11" ht="20.100000000000001" customHeight="1" x14ac:dyDescent="0.25">
      <c r="C69" s="8"/>
      <c r="D69" s="1" t="s">
        <v>179</v>
      </c>
      <c r="E69" s="1" t="s">
        <v>134</v>
      </c>
      <c r="F69" s="18" t="e">
        <f>'Input - Enterprise'!E25*'Input - Enterprise'!E26</f>
        <v>#NAME?</v>
      </c>
      <c r="G69" s="18" t="e">
        <f>F69/(F67+F69)</f>
        <v>#NAME?</v>
      </c>
      <c r="H69" s="18" t="e">
        <f ca="1">(Result_EmissionsForWholeProductionCycle_Method1/F69)*G69</f>
        <v>#NAME?</v>
      </c>
      <c r="I69" s="18" t="e">
        <f ca="1">(Result_EmissionsForWholeProductionCycle_Method2/F69)*G69</f>
        <v>#NAME?</v>
      </c>
      <c r="J69" s="15" t="s">
        <v>129</v>
      </c>
      <c r="K69" s="8"/>
    </row>
    <row r="70" spans="3:11" ht="20.100000000000001" customHeight="1" x14ac:dyDescent="0.25">
      <c r="C70" s="8"/>
      <c r="D70" s="1" t="s">
        <v>180</v>
      </c>
      <c r="E70" s="1" t="s">
        <v>134</v>
      </c>
      <c r="F70" s="18" t="e">
        <f>F69</f>
        <v>#NAME?</v>
      </c>
      <c r="G70" s="18" t="e">
        <f>G69</f>
        <v>#NAME?</v>
      </c>
      <c r="H70" s="18" t="e">
        <f ca="1">(Result_NetEmissions_Method1/F70)*G70</f>
        <v>#NAME?</v>
      </c>
      <c r="I70" s="18" t="e">
        <f ca="1">(Result_NetEmissions_Method2/F70)*G70</f>
        <v>#NAME?</v>
      </c>
      <c r="J70" s="15" t="s">
        <v>129</v>
      </c>
      <c r="K70" s="8"/>
    </row>
    <row r="71" spans="3:11" ht="20.100000000000001" customHeight="1" x14ac:dyDescent="0.25">
      <c r="C71" s="8"/>
      <c r="D71" s="1" t="s">
        <v>135</v>
      </c>
      <c r="E71" s="1" t="s">
        <v>137</v>
      </c>
      <c r="F71" s="18" t="e">
        <f>'Input - Enterprise'!E25*'Input - Enterprise'!E27</f>
        <v>#NAME?</v>
      </c>
      <c r="G71" s="18" t="s">
        <v>136</v>
      </c>
      <c r="H71" s="18" t="s">
        <v>136</v>
      </c>
      <c r="I71" s="18" t="s">
        <v>136</v>
      </c>
      <c r="J71" s="8"/>
      <c r="K71" s="8"/>
    </row>
    <row r="72" spans="3:11" ht="20.100000000000001" customHeight="1" x14ac:dyDescent="0.25">
      <c r="C72" s="8"/>
      <c r="D72" s="1"/>
      <c r="E72" s="1"/>
      <c r="F72" s="18"/>
      <c r="G72" s="18"/>
      <c r="H72" s="18"/>
      <c r="I72" s="18"/>
      <c r="J72" s="17"/>
      <c r="K72" s="8"/>
    </row>
    <row r="73" spans="3:11" ht="20.100000000000001" customHeight="1" x14ac:dyDescent="0.25">
      <c r="C73" s="8"/>
      <c r="D73" s="91" t="s">
        <v>173</v>
      </c>
      <c r="E73" s="1"/>
      <c r="F73" s="1"/>
      <c r="G73" s="1"/>
      <c r="H73" s="1"/>
      <c r="I73" s="1"/>
      <c r="J73" s="1"/>
      <c r="K73" s="8"/>
    </row>
    <row r="74" spans="3:11" ht="20.100000000000001" customHeight="1" x14ac:dyDescent="0.25">
      <c r="C74" s="8"/>
      <c r="D74" s="20" t="s">
        <v>148</v>
      </c>
      <c r="E74" s="20" t="s">
        <v>132</v>
      </c>
      <c r="F74" s="20" t="s">
        <v>126</v>
      </c>
      <c r="G74" s="20" t="s">
        <v>175</v>
      </c>
      <c r="H74" s="20" t="s">
        <v>130</v>
      </c>
      <c r="I74" s="20" t="s">
        <v>131</v>
      </c>
      <c r="J74" s="20" t="s">
        <v>127</v>
      </c>
      <c r="K74" s="8"/>
    </row>
    <row r="75" spans="3:11" ht="20.100000000000001" customHeight="1" x14ac:dyDescent="0.25">
      <c r="C75" s="8"/>
      <c r="D75" s="1" t="s">
        <v>177</v>
      </c>
      <c r="E75" s="1" t="s">
        <v>133</v>
      </c>
      <c r="F75" s="18">
        <f>F67</f>
        <v>5</v>
      </c>
      <c r="G75" s="18">
        <f>'Input - Enterprise'!E31</f>
        <v>0.8</v>
      </c>
      <c r="H75" s="18">
        <f ca="1">(Result_EmissionsForWholeProductionCycle_Method1/F75)*G75</f>
        <v>469.70073228565508</v>
      </c>
      <c r="I75" s="18">
        <f ca="1">(Result_EmissionsForWholeProductionCycle_Method2/F75)*G75</f>
        <v>471.16282997280769</v>
      </c>
      <c r="J75" s="15" t="s">
        <v>128</v>
      </c>
      <c r="K75" s="8"/>
    </row>
    <row r="76" spans="3:11" ht="15.75" x14ac:dyDescent="0.25">
      <c r="C76" s="8"/>
      <c r="D76" s="1" t="s">
        <v>178</v>
      </c>
      <c r="E76" s="1" t="s">
        <v>133</v>
      </c>
      <c r="F76" s="18">
        <f>F67</f>
        <v>5</v>
      </c>
      <c r="G76" s="18">
        <f>G75</f>
        <v>0.8</v>
      </c>
      <c r="H76" s="18">
        <f ca="1">(Result_NetEmissions_Method1/F76)*G76</f>
        <v>469.70073228565508</v>
      </c>
      <c r="I76" s="18">
        <f ca="1">(Result_NetEmissions_Method2/F76)*G76</f>
        <v>471.16282997280769</v>
      </c>
      <c r="J76" s="15" t="s">
        <v>128</v>
      </c>
      <c r="K76" s="8"/>
    </row>
    <row r="77" spans="3:11" ht="15.75" x14ac:dyDescent="0.25">
      <c r="C77" s="8"/>
      <c r="D77" s="1" t="s">
        <v>179</v>
      </c>
      <c r="E77" s="1" t="s">
        <v>134</v>
      </c>
      <c r="F77" s="18" t="e">
        <f>F69</f>
        <v>#NAME?</v>
      </c>
      <c r="G77" s="18">
        <f>'Input - Enterprise'!E32</f>
        <v>0.2</v>
      </c>
      <c r="H77" s="18" t="e">
        <f ca="1">(Result_EmissionsForWholeProductionCycle_Method1/F77)*G77</f>
        <v>#NAME?</v>
      </c>
      <c r="I77" s="18" t="e">
        <f ca="1">(Result_EmissionsForWholeProductionCycle_Method2/F77)*G77</f>
        <v>#NAME?</v>
      </c>
      <c r="J77" s="15" t="s">
        <v>129</v>
      </c>
      <c r="K77" s="8"/>
    </row>
    <row r="78" spans="3:11" ht="15.75" x14ac:dyDescent="0.25">
      <c r="C78" s="8"/>
      <c r="D78" s="1" t="s">
        <v>180</v>
      </c>
      <c r="E78" s="1" t="s">
        <v>134</v>
      </c>
      <c r="F78" s="18" t="e">
        <f>F70</f>
        <v>#NAME?</v>
      </c>
      <c r="G78" s="18">
        <f>G77</f>
        <v>0.2</v>
      </c>
      <c r="H78" s="18" t="e">
        <f ca="1">(Result_NetEmissions_Method1/F78)*G78</f>
        <v>#NAME?</v>
      </c>
      <c r="I78" s="18" t="e">
        <f ca="1">(Result_NetEmissions_Method2/F78)*G78</f>
        <v>#NAME?</v>
      </c>
      <c r="J78" s="15" t="s">
        <v>129</v>
      </c>
      <c r="K78" s="8"/>
    </row>
    <row r="79" spans="3:11" ht="15.75" x14ac:dyDescent="0.25">
      <c r="C79" s="8"/>
      <c r="D79" s="1" t="s">
        <v>135</v>
      </c>
      <c r="E79" s="1" t="s">
        <v>137</v>
      </c>
      <c r="F79" s="18" t="e">
        <f>F71</f>
        <v>#NAME?</v>
      </c>
      <c r="G79" s="18" t="s">
        <v>136</v>
      </c>
      <c r="H79" s="18" t="s">
        <v>136</v>
      </c>
      <c r="I79" s="18" t="s">
        <v>136</v>
      </c>
      <c r="J79" s="8"/>
      <c r="K79" s="8"/>
    </row>
    <row r="80" spans="3:11" ht="15.75" x14ac:dyDescent="0.25">
      <c r="C80" s="8"/>
      <c r="D80" s="1"/>
      <c r="E80" s="1"/>
      <c r="F80" s="1"/>
      <c r="G80" s="1"/>
      <c r="H80" s="1"/>
      <c r="I80" s="1"/>
      <c r="J80" s="1"/>
      <c r="K80" s="8"/>
    </row>
    <row r="81" spans="3:11" ht="18.75" x14ac:dyDescent="0.25">
      <c r="C81" s="8"/>
      <c r="D81" s="91" t="s">
        <v>176</v>
      </c>
      <c r="E81" s="1"/>
      <c r="F81" s="1"/>
      <c r="G81" s="1"/>
      <c r="H81" s="1"/>
      <c r="I81" s="1"/>
      <c r="J81" s="1"/>
      <c r="K81" s="8"/>
    </row>
    <row r="82" spans="3:11" ht="15.75" x14ac:dyDescent="0.25">
      <c r="C82" s="8"/>
      <c r="D82" s="20" t="s">
        <v>148</v>
      </c>
      <c r="E82" s="20" t="s">
        <v>132</v>
      </c>
      <c r="F82" s="20" t="s">
        <v>126</v>
      </c>
      <c r="G82" s="20" t="s">
        <v>175</v>
      </c>
      <c r="H82" s="20" t="s">
        <v>130</v>
      </c>
      <c r="I82" s="20" t="s">
        <v>131</v>
      </c>
      <c r="J82" s="20" t="s">
        <v>127</v>
      </c>
      <c r="K82" s="8"/>
    </row>
    <row r="83" spans="3:11" ht="15.75" x14ac:dyDescent="0.25">
      <c r="C83" s="8"/>
      <c r="D83" s="1" t="s">
        <v>146</v>
      </c>
      <c r="E83" s="1" t="s">
        <v>136</v>
      </c>
      <c r="F83" s="18" t="e">
        <f>'Input - Enterprise'!E23</f>
        <v>#NAME?</v>
      </c>
      <c r="G83" s="18" t="s">
        <v>136</v>
      </c>
      <c r="H83" s="18" t="e">
        <f ca="1">E62/F83</f>
        <v>#NAME?</v>
      </c>
      <c r="I83" s="18" t="s">
        <v>136</v>
      </c>
      <c r="J83" s="15" t="s">
        <v>149</v>
      </c>
      <c r="K83" s="8"/>
    </row>
    <row r="84" spans="3:11" ht="15.75" x14ac:dyDescent="0.25">
      <c r="C84" s="8"/>
      <c r="D84" s="1" t="s">
        <v>147</v>
      </c>
      <c r="E84" s="1" t="s">
        <v>136</v>
      </c>
      <c r="F84" s="18" t="e">
        <f>'Input - Enterprise'!E24</f>
        <v>#NAME?</v>
      </c>
      <c r="G84" s="18" t="s">
        <v>136</v>
      </c>
      <c r="H84" s="18" t="s">
        <v>136</v>
      </c>
      <c r="I84" s="18" t="e">
        <f ca="1">F62/F84</f>
        <v>#NAME?</v>
      </c>
      <c r="J84" s="15" t="s">
        <v>149</v>
      </c>
      <c r="K84" s="8"/>
    </row>
    <row r="85" spans="3:11" ht="15.75" x14ac:dyDescent="0.25">
      <c r="C85" s="8"/>
      <c r="D85" s="1"/>
      <c r="E85" s="1"/>
      <c r="F85" s="1"/>
      <c r="G85" s="1"/>
      <c r="H85" s="1"/>
      <c r="I85" s="1"/>
      <c r="J85" s="1"/>
      <c r="K85" s="8"/>
    </row>
    <row r="86" spans="3:11" ht="15.75" x14ac:dyDescent="0.25">
      <c r="C86" s="8"/>
      <c r="D86" s="1"/>
      <c r="E86" s="1"/>
      <c r="F86" s="1"/>
      <c r="G86" s="1"/>
      <c r="H86" s="1"/>
      <c r="I86" s="1"/>
      <c r="J86" s="1"/>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workbookViewId="0" zoomScale="100" zoomScaleNormal="100">
      <selection activeCell="A62" sqref="A6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166</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93</v>
      </c>
      <c r="E5" s="35"/>
      <c r="F5" s="35"/>
      <c r="G5" s="35"/>
    </row>
    <row r="6" spans="1:10" x14ac:dyDescent="0.25">
      <c r="D6" s="42"/>
      <c r="E6" s="35"/>
      <c r="F6" s="35"/>
      <c r="G6" s="35"/>
    </row>
    <row r="7" spans="1:10" x14ac:dyDescent="0.25">
      <c r="D7" s="1" t="s">
        <v>94</v>
      </c>
      <c r="E7" s="44" t="s">
        <v>95</v>
      </c>
      <c r="F7" s="26"/>
      <c r="G7" s="35"/>
    </row>
    <row r="8" spans="1:10" x14ac:dyDescent="0.25">
      <c r="A8" s="7" t="s">
        <v>0</v>
      </c>
      <c r="D8" s="22" t="s">
        <v>96</v>
      </c>
      <c r="E8" s="44" t="s">
        <v>97</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98</v>
      </c>
      <c r="E10" s="47"/>
      <c r="F10" s="48"/>
      <c r="G10" s="49"/>
    </row>
    <row r="11" spans="1:10" x14ac:dyDescent="0.25">
      <c r="A11" s="5" t="str">
        <f>HYPERLINK("#'Input - Dairy'!A1", "Dairy")</f>
        <v>Dairy</v>
      </c>
      <c r="D11" s="35"/>
      <c r="E11" s="35"/>
      <c r="F11" s="35"/>
      <c r="G11" s="35"/>
    </row>
    <row r="12" spans="1:10" x14ac:dyDescent="0.25">
      <c r="A12" s="5" t="str">
        <f>HYPERLINK("#'Input - Dairy (Enteric)'!A1", "Dairy (Enteric)")</f>
        <v>Dairy (Enteric)</v>
      </c>
      <c r="D12" s="22" t="s">
        <v>16</v>
      </c>
      <c r="E12" s="24">
        <v>45292</v>
      </c>
      <c r="F12" s="26" t="s">
        <v>99</v>
      </c>
      <c r="G12" s="35"/>
    </row>
    <row r="13" spans="1:10" x14ac:dyDescent="0.25">
      <c r="A13" s="5" t="str">
        <f>HYPERLINK("#'Input - Livestock sales'!A1", "Livestock sales")</f>
        <v>Livestock sales</v>
      </c>
      <c r="D13" s="22" t="s">
        <v>17</v>
      </c>
      <c r="E13" s="51">
        <f>DATE(YEAR(E12)+1,MONTH(E12),DAY(E12))-1</f>
        <v>45657</v>
      </c>
      <c r="F13" s="26" t="s">
        <v>100</v>
      </c>
      <c r="G13" s="35"/>
    </row>
    <row r="14" spans="1:10" x14ac:dyDescent="0.25">
      <c r="A14" s="5" t="str">
        <f>HYPERLINK("#'Input - Dairy cattle purchases'!A1", "Dairy cattle purchases")</f>
        <v>Dairy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99</v>
      </c>
    </row>
    <row r="19" spans="1:7" x14ac:dyDescent="0.25">
      <c r="A19" s="5" t="str">
        <f>HYPERLINK("#'Input - Electricity'!A1", "Electricity")</f>
        <v>Electricity</v>
      </c>
      <c r="D19" s="1" t="s">
        <v>14</v>
      </c>
      <c r="E19" s="24">
        <v>45747</v>
      </c>
      <c r="F19" s="26" t="s">
        <v>99</v>
      </c>
    </row>
    <row r="20" spans="1:7" x14ac:dyDescent="0.25">
      <c r="A20" s="5" t="str">
        <f>HYPERLINK("#'Input - Farm Inputs'!A1", "Farm Inputs")</f>
        <v>Farm Inputs</v>
      </c>
      <c r="D20" s="1" t="s">
        <v>15</v>
      </c>
      <c r="E20" s="25">
        <f>DATEDIF(E18,E19+1,"m")</f>
        <v>17</v>
      </c>
      <c r="F20" s="26" t="s">
        <v>124</v>
      </c>
    </row>
    <row r="21" spans="1:7" x14ac:dyDescent="0.25">
      <c r="A21" s="5" t="str">
        <f>HYPERLINK("#'Input - Freight'!A1", "Freight")</f>
        <v>Freight</v>
      </c>
    </row>
    <row r="22" spans="1:7" x14ac:dyDescent="0.25">
      <c r="A22" s="5" t="str">
        <f>HYPERLINK("#'Input - Manure sent off-site'!A1", "Manure sent off-site")</f>
        <v>Manure sent off-site</v>
      </c>
      <c r="D22" s="1" t="s">
        <v>19</v>
      </c>
      <c r="E22" s="90">
        <f>SUM(Table_Input_LivestockSales[Total liveweight sold])*10^-3</f>
        <v>5</v>
      </c>
      <c r="G22" s="26" t="s">
        <v>25</v>
      </c>
    </row>
    <row r="23" spans="1:7" x14ac:dyDescent="0.25">
      <c r="A23" s="5" t="str">
        <f>HYPERLINK("#'Input - Solid waste'!A1", "Solid waste")</f>
        <v>Solid waste</v>
      </c>
      <c r="D23" s="1" t="s">
        <v>20</v>
      </c>
      <c r="E23" s="90" t="e">
        <v>#NAME?</v>
      </c>
      <c r="G23" s="26" t="s">
        <v>25</v>
      </c>
    </row>
    <row r="24" spans="1:7" x14ac:dyDescent="0.25">
      <c r="D24" s="1" t="s">
        <v>21</v>
      </c>
      <c r="E24" s="90" t="e">
        <v>#NAME?</v>
      </c>
      <c r="G24" s="26" t="s">
        <v>25</v>
      </c>
    </row>
    <row r="25" spans="1:7" x14ac:dyDescent="0.25">
      <c r="D25" s="1" t="s">
        <v>168</v>
      </c>
      <c r="E25" s="90" t="e">
        <v>#NAME?</v>
      </c>
      <c r="G25" s="26" t="s">
        <v>25</v>
      </c>
    </row>
    <row r="26" spans="1:7" x14ac:dyDescent="0.25">
      <c r="A26" s="6" t="s">
        <v>2</v>
      </c>
      <c r="D26" s="1" t="s">
        <v>169</v>
      </c>
      <c r="E26" s="90" t="e">
        <v>#NAME?</v>
      </c>
      <c r="G26" s="26" t="s">
        <v>25</v>
      </c>
    </row>
    <row r="27" spans="1:7" x14ac:dyDescent="0.25">
      <c r="A27" s="5" t="str">
        <f>HYPERLINK("#'5.1.1.1-2 Inorganic fert N2O'!A1", "5.1.1.1-2 Inorganic fert N2O")</f>
        <v>5.1.1.1-2 Inorganic fert N2O</v>
      </c>
      <c r="D27" s="1" t="s">
        <v>22</v>
      </c>
      <c r="E27" s="28">
        <v>0.1</v>
      </c>
      <c r="G27" s="26" t="s">
        <v>167</v>
      </c>
    </row>
    <row r="28" spans="1:7" x14ac:dyDescent="0.25">
      <c r="A28" s="5" t="str">
        <f>HYPERLINK("#'5.1.1.3-4 Inorganic fert CO2'!A1", "5.1.1.3-4 Inorganic fert CO2")</f>
        <v>5.1.1.3-4 Inorganic fert CO2</v>
      </c>
      <c r="D28" s="1" t="s">
        <v>23</v>
      </c>
      <c r="E28" s="28">
        <v>0.2</v>
      </c>
      <c r="G28" s="26" t="s">
        <v>167</v>
      </c>
    </row>
    <row r="29" spans="1:7" x14ac:dyDescent="0.25">
      <c r="A29" s="5" t="str">
        <f>HYPERLINK("#'5.2.1.1-2 Organic Fert N2O'!A1", "5.2.1.1-2 Organic fert N2O")</f>
        <v>5.2.1.1-2 Organic fert N2O</v>
      </c>
      <c r="D29" s="1" t="s">
        <v>24</v>
      </c>
      <c r="E29" s="29">
        <f>100%-E27-E28</f>
        <v>0.7</v>
      </c>
      <c r="G29" s="26" t="s">
        <v>167</v>
      </c>
    </row>
    <row r="30" spans="1:7" x14ac:dyDescent="0.25">
      <c r="A30" s="5" t="str">
        <f>HYPERLINK("#'5.3.1.1-2 Lime CO2'!A1", "5.3.1.1-2 Lime CO2")</f>
        <v>5.3.1.1-2 Lime CO2</v>
      </c>
    </row>
    <row r="31" spans="1:7" x14ac:dyDescent="0.25">
      <c r="A31" s="5" t="str">
        <f>HYPERLINK("#'5.4.1.1-4 Atmos deposition'!A1", "5.4.1.1-4 Atmos. deposition")</f>
        <v>5.4.1.1-4 Atmos. deposition</v>
      </c>
      <c r="D31" s="1" t="s">
        <v>170</v>
      </c>
      <c r="E31" s="28">
        <v>0.8</v>
      </c>
      <c r="G31" s="26" t="s">
        <v>167</v>
      </c>
    </row>
    <row r="32" spans="1:7" x14ac:dyDescent="0.25">
      <c r="A32" s="5" t="str">
        <f>HYPERLINK("#'5.5.1.1-2 Leaching and runoff'!A1", "5.5.1.1-2 Leaching &amp; runoff")</f>
        <v>5.5.1.1-2 Leaching &amp; runoff</v>
      </c>
      <c r="D32" s="1" t="s">
        <v>171</v>
      </c>
      <c r="E32" s="28">
        <v>0.2</v>
      </c>
      <c r="G32" s="26" t="s">
        <v>167</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2" sqref="A62"/>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92</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101</v>
      </c>
      <c r="N5" s="41"/>
    </row>
    <row r="6" spans="1:24" ht="20.100000000000001" customHeight="1" x14ac:dyDescent="0.25">
      <c r="A6"/>
      <c r="N6" s="43"/>
    </row>
    <row r="7" spans="1:24" ht="20.100000000000001" customHeight="1" x14ac:dyDescent="0.25">
      <c r="A7"/>
      <c r="D7" s="53" t="s">
        <v>102</v>
      </c>
      <c r="E7" s="54"/>
      <c r="F7" s="54"/>
      <c r="G7" s="55"/>
    </row>
    <row r="8" spans="1:24" ht="20.100000000000001" customHeight="1" x14ac:dyDescent="0.25">
      <c r="A8" s="7" t="s">
        <v>0</v>
      </c>
      <c r="D8" s="56" t="s">
        <v>103</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104</v>
      </c>
      <c r="E10" s="23" t="s">
        <v>105</v>
      </c>
      <c r="F10" s="26" t="s">
        <v>106</v>
      </c>
      <c r="N10" s="45"/>
    </row>
    <row r="11" spans="1:24" ht="20.100000000000001" customHeight="1" x14ac:dyDescent="0.25">
      <c r="A11" s="5" t="str">
        <f>HYPERLINK("#'Input - Dairy'!A1", "Dairy")</f>
        <v>Dairy</v>
      </c>
      <c r="D11" s="1" t="s">
        <v>107</v>
      </c>
      <c r="E11" s="23" t="s">
        <v>108</v>
      </c>
      <c r="F11" s="26" t="s">
        <v>106</v>
      </c>
      <c r="G11" s="1"/>
      <c r="N11" s="50"/>
    </row>
    <row r="12" spans="1:24" ht="20.100000000000001" customHeight="1" x14ac:dyDescent="0.25">
      <c r="A12" s="5" t="str">
        <f>HYPERLINK("#'Input - Dairy (Enteric)'!A1", "Dairy (Enteric)")</f>
        <v>Dairy (Enteric)</v>
      </c>
      <c r="D12" s="1" t="s">
        <v>109</v>
      </c>
      <c r="E12" s="23" t="s">
        <v>110</v>
      </c>
      <c r="F12" s="26" t="s">
        <v>106</v>
      </c>
    </row>
    <row r="13" spans="1:24" ht="20.100000000000001" customHeight="1" x14ac:dyDescent="0.25">
      <c r="A13" s="5" t="str">
        <f>HYPERLINK("#'Input - Livestock sales'!A1", "Livestock sales")</f>
        <v>Livestock sales</v>
      </c>
      <c r="D13" s="1" t="s">
        <v>42</v>
      </c>
      <c r="E13" s="44">
        <v>307.7</v>
      </c>
      <c r="F13" s="26" t="s">
        <v>111</v>
      </c>
      <c r="N13" s="52"/>
      <c r="O13" s="52"/>
    </row>
    <row r="14" spans="1:24" ht="20.100000000000001" customHeight="1" x14ac:dyDescent="0.25">
      <c r="A14" s="5" t="str">
        <f>HYPERLINK("#'Input - Dairy cattle purchases'!A1", "Dairy cattle purchases")</f>
        <v>Dairy cattle purchases</v>
      </c>
      <c r="D14" s="1" t="s">
        <v>112</v>
      </c>
      <c r="E14" s="44">
        <v>18</v>
      </c>
      <c r="F14" s="26" t="s">
        <v>113</v>
      </c>
      <c r="N14" s="52"/>
      <c r="O14" s="52"/>
    </row>
    <row r="15" spans="1:24" ht="20.100000000000001" customHeight="1" x14ac:dyDescent="0.25">
      <c r="A15" s="5" t="str">
        <f>HYPERLINK("#'Input - Pasture'!A1", "Pasture")</f>
        <v>Pasture</v>
      </c>
      <c r="D15" s="1" t="s">
        <v>114</v>
      </c>
      <c r="E15" s="44">
        <v>601</v>
      </c>
      <c r="F15" s="26" t="s">
        <v>115</v>
      </c>
      <c r="N15" s="52"/>
      <c r="O15" s="52"/>
    </row>
    <row r="16" spans="1:24" ht="20.100000000000001" customHeight="1" x14ac:dyDescent="0.25">
      <c r="A16" s="5" t="str">
        <f>HYPERLINK("#'Input - Fert Prod System'!A1", "Fert Prod System")</f>
        <v>Fert Prod System</v>
      </c>
      <c r="D16" s="22" t="s">
        <v>116</v>
      </c>
      <c r="E16" s="44">
        <v>1326</v>
      </c>
      <c r="F16" s="26" t="s">
        <v>115</v>
      </c>
      <c r="N16" s="52"/>
      <c r="O16" s="52"/>
    </row>
    <row r="17" spans="1:25" ht="20.100000000000001" customHeight="1" x14ac:dyDescent="0.25">
      <c r="A17" s="5" t="str">
        <f>HYPERLINK("#'Input - Fertiliser'!A1", "Fertiliser")</f>
        <v>Fertiliser</v>
      </c>
      <c r="D17" s="1" t="s">
        <v>117</v>
      </c>
      <c r="E17" s="44">
        <v>7</v>
      </c>
      <c r="F17" s="26" t="s">
        <v>118</v>
      </c>
    </row>
    <row r="18" spans="1:25" ht="20.100000000000001" customHeight="1" x14ac:dyDescent="0.25">
      <c r="A18" s="5" t="str">
        <f>HYPERLINK("#'Input - Fuel'!A1", "Fuel")</f>
        <v>Fuel</v>
      </c>
      <c r="D18" s="22" t="s">
        <v>119</v>
      </c>
      <c r="E18" s="25">
        <f>E15/E16</f>
        <v>0.45324283559577677</v>
      </c>
      <c r="F18" s="26"/>
    </row>
    <row r="19" spans="1:25" ht="20.100000000000001" customHeight="1" x14ac:dyDescent="0.25">
      <c r="A19" s="5" t="str">
        <f>HYPERLINK("#'Input - Electricity'!A1", "Electricity")</f>
        <v>Electricity</v>
      </c>
      <c r="D19" s="22" t="s">
        <v>70</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37</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120</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74</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1"/>
      <c r="M30" s="61"/>
      <c r="N30" s="61"/>
      <c r="O30" s="61"/>
      <c r="P30" s="61"/>
      <c r="Q30" s="61"/>
      <c r="R30" s="61"/>
      <c r="S30" s="61"/>
      <c r="T30" s="61"/>
      <c r="U30" s="61"/>
      <c r="V30" s="61"/>
      <c r="W30" s="61"/>
      <c r="X30" s="61"/>
      <c r="Y30" s="61"/>
    </row>
    <row r="31" spans="1:25" ht="20.100000000000001" customHeight="1" x14ac:dyDescent="0.25">
      <c r="A31" s="5" t="str">
        <f>HYPERLINK("#'5.4.1.1-4 Atmos deposition'!A1", "5.4.1.1-4 Atmos. deposition")</f>
        <v>5.4.1.1-4 Atmos. deposition</v>
      </c>
      <c r="L31" s="62"/>
      <c r="M31" s="62"/>
      <c r="N31" s="62"/>
      <c r="O31" s="62"/>
      <c r="P31" s="62"/>
      <c r="Q31" s="62"/>
      <c r="R31" s="62"/>
      <c r="S31" s="62"/>
      <c r="T31" s="62"/>
      <c r="U31" s="62"/>
      <c r="V31" s="62"/>
      <c r="W31" s="62"/>
      <c r="X31" s="62"/>
      <c r="Y31" s="62"/>
    </row>
    <row r="32" spans="1:25" ht="20.100000000000001" customHeight="1" x14ac:dyDescent="0.25">
      <c r="A32" s="5" t="str">
        <f>HYPERLINK("#'5.5.1.1-2 Leaching and runoff'!A1", "5.5.1.1-2 Leaching &amp; runoff")</f>
        <v>5.5.1.1-2 Leaching &amp; runoff</v>
      </c>
      <c r="L32" s="62"/>
      <c r="M32" s="62"/>
      <c r="N32" s="62"/>
      <c r="O32" s="62"/>
      <c r="P32" s="62"/>
      <c r="Q32" s="62"/>
      <c r="R32" s="62"/>
      <c r="S32" s="62"/>
      <c r="T32" s="62"/>
      <c r="U32" s="62"/>
      <c r="V32" s="62"/>
      <c r="W32" s="62"/>
      <c r="X32" s="62"/>
      <c r="Y32" s="62"/>
    </row>
    <row r="33" spans="1:25" ht="20.100000000000001" customHeight="1" x14ac:dyDescent="0.25">
      <c r="A33" s="5" t="str">
        <f>HYPERLINK("#'6.2.1.1-2 Pasture residue N2O'!A1", "6.2.1.1-2 Pasture residue N2O")</f>
        <v>6.2.1.1-2 Pasture residue N2O</v>
      </c>
      <c r="L33" s="62"/>
      <c r="M33" s="62"/>
      <c r="N33" s="62"/>
      <c r="O33" s="62"/>
      <c r="P33" s="62"/>
      <c r="Q33" s="62"/>
      <c r="R33" s="62"/>
      <c r="S33" s="62"/>
      <c r="T33" s="62"/>
      <c r="U33" s="62"/>
      <c r="V33" s="62"/>
      <c r="W33" s="62"/>
      <c r="X33" s="62"/>
      <c r="Y33" s="62"/>
    </row>
    <row r="34" spans="1:25" ht="20.100000000000001" customHeight="1" x14ac:dyDescent="0.25">
      <c r="A34" s="5" t="str">
        <f>HYPERLINK("#'6.3.1.1-2 Leach runoff pasture'!A1", "6.3.1.1-2 Leach &amp; runoff (pasture)")</f>
        <v>6.3.1.1-2 Leach &amp; runoff (pasture)</v>
      </c>
      <c r="J34" s="64"/>
      <c r="K34" s="65"/>
      <c r="L34" s="62"/>
      <c r="M34" s="62"/>
      <c r="N34" s="62"/>
      <c r="O34" s="62"/>
      <c r="P34" s="62"/>
      <c r="Q34" s="62"/>
      <c r="R34" s="62"/>
      <c r="S34" s="62"/>
      <c r="T34" s="62"/>
      <c r="U34" s="62"/>
      <c r="V34" s="62"/>
      <c r="W34" s="62"/>
      <c r="X34" s="62"/>
      <c r="Y34" s="62"/>
    </row>
    <row r="35" spans="1:25" ht="20.100000000000001" customHeight="1" x14ac:dyDescent="0.25">
      <c r="A35" s="5" t="str">
        <f>HYPERLINK("#'8.1.1.1-2 Transport fuel'!A1", "8.1.1.1-2 Transport fuel")</f>
        <v>8.1.1.1-2 Transport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HYPERLINK("#'8.2.1.1-2 Stationary fuel'!A1", "8.2.1.1-2 Stationary fuel")</f>
        <v>8.2.1.1-2 Stationary fuel</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HYPERLINK("#'14.1.1-2 Purchased electricity'!A1", "14.1.1-2 Purchased electricity")</f>
        <v>14.1.1-2 Purchased electricity</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HYPERLINK("#'15 Scope 3'!A1", "15 Scope 3")</f>
        <v>15 Scope 3</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HYPERLINK("#'Calcs - Manure sent off-site'!A1", "Calcs - Manure sent off-site")</f>
        <v>Calcs - Manure sent off-site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HYPERLINK("#'4.3.1.1-2 Methane'!A1", "4.3.1.1-2 Methane")</f>
        <v>4.3.1.1-2 Methane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HYPERLINK("#'4.3.1.3-4 Direct N20'!A1", "4.3.1.3-4 Direct N20")</f>
        <v>4.3.1.3-4 Direct N20</v>
      </c>
    </row>
    <row r="42" spans="1:25" ht="20.100000000000001" customHeight="1" x14ac:dyDescent="0.25">
      <c r="A42" s="5" t="str">
        <f>HYPERLINK("#'4.3.1.5 Atmos deposition'!A1", "4.3.1.5 Atmos deposition")</f>
        <v>4.3.1.5 Atmos deposition</v>
      </c>
    </row>
    <row r="43" spans="1:25" ht="20.100000000000001" customHeight="1" x14ac:dyDescent="0.25">
      <c r="A43" s="5" t="str">
        <f>HYPERLINK("#'4.3.1.6-7 Leaching and runoff'!A1", "4.3.1.6-7 Leaching and runoff")</f>
        <v>4.3.1.6-7 Leaching and runoff</v>
      </c>
    </row>
    <row r="44" spans="1:25" ht="20.100000000000001" customHeight="1" x14ac:dyDescent="0.25">
      <c r="A44" s="5" t="str">
        <f>HYPERLINK("#'4.3.1.8 Manure applied to soils'!A1", "4.3.1.8 Manure applied to soils")</f>
        <v>4.3.1.8 Manure applied to soils</v>
      </c>
    </row>
    <row r="45" spans="1:25" ht="20.100000000000001" customHeight="1" x14ac:dyDescent="0.25">
      <c r="A45" s="5" t="str">
        <f>HYPERLINK("#'4.3.1.9 Soil direct N2O'!A1", "4.3.1.9 Soil direct N2O")</f>
        <v>4.3.1.9 Soil direct N2O</v>
      </c>
      <c r="D45" s="2"/>
    </row>
    <row r="46" spans="1:25" ht="20.100000000000001" customHeight="1" x14ac:dyDescent="0.25">
      <c r="A46" s="5" t="str">
        <f>HYPERLINK("#'4.3.1.10-11 Soil Atmos Dep'!A1", "4.3.1.10-11 Soil Atmos Dep")</f>
        <v>4.3.1.10-11 Soil Atmos Dep</v>
      </c>
      <c r="D46" s="2"/>
    </row>
    <row r="47" spans="1:25" ht="20.100000000000001" customHeight="1" x14ac:dyDescent="0.25">
      <c r="A47" s="5" t="str">
        <f>HYPERLINK("#'4.3.1.12-13 Soil leach runoff'!A1", "4.3.1.12-13 Soil leach runoff")</f>
        <v>4.3.1.12-13 Soil leach runoff</v>
      </c>
      <c r="D47" s="73"/>
      <c r="E47" s="73"/>
      <c r="F47" s="73"/>
      <c r="G47" s="73"/>
      <c r="H47" s="73"/>
    </row>
    <row r="48" spans="1:25" ht="20.100000000000001" customHeight="1" x14ac:dyDescent="0.25">
      <c r="A48" s="5" t="str">
        <f>HYPERLINK("#'3.3.1.1-2 Enteric Methane'!A1", "3.3.1.1-2 Enteric Methane")</f>
        <v>3.3.1.1-2 Enteric Methane</v>
      </c>
      <c r="D48" s="74"/>
      <c r="E48" s="74"/>
      <c r="F48" s="75"/>
      <c r="G48" s="75"/>
      <c r="H48" s="74"/>
    </row>
    <row r="49" spans="1:8" ht="20.100000000000001" customHeight="1" x14ac:dyDescent="0.25">
      <c r="A49" s="5" t="str">
        <f>HYPERLINK("#'10.1.1-2 Solid waste treatment'!A1", "10.1.1-2 Solid waste treatment")</f>
        <v>10.1.1-2 Solid waste treatment</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9"/>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80"/>
      <c r="F57" s="81"/>
    </row>
    <row r="58" spans="1:8" ht="20.100000000000001" customHeight="1" x14ac:dyDescent="0.25">
      <c r="A58" s="5" t="str">
        <f>HYPERLINK("#'Constants - Fuel'!A1", "Constants - Fuel")</f>
        <v>Constants - Fuel</v>
      </c>
      <c r="D58" s="1"/>
      <c r="E58" s="82"/>
    </row>
    <row r="59" spans="1:8" ht="20.100000000000001" customHeight="1" x14ac:dyDescent="0.25">
      <c r="A59" s="5" t="str">
        <f>HYPERLINK("#'Constants - Scope 3'!A1", "Constants - Scope 3")</f>
        <v>Constants - Scope 3</v>
      </c>
      <c r="D59" s="1"/>
      <c r="E59" s="82"/>
    </row>
    <row r="60" spans="1:8" ht="20.100000000000001" customHeight="1" x14ac:dyDescent="0.25">
      <c r="A60" s="5" t="str">
        <f>HYPERLINK("#'Constants - Common'!A1", "Constants - Common")</f>
        <v>Constants - Common</v>
      </c>
      <c r="D60" s="1"/>
      <c r="E60" s="83"/>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9BC22-96F1-4BF7-904D-4A4B156A47F5}">
  <dimension ref="A1:X178"/>
  <sheetViews>
    <sheetView showGridLines="0" topLeftCell="A2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204</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9"/>
      <c r="D3" s="39"/>
      <c r="E3" s="39"/>
      <c r="F3" s="39"/>
      <c r="G3" s="39"/>
      <c r="H3" s="39"/>
      <c r="I3" s="39"/>
      <c r="J3" s="39"/>
      <c r="K3" s="39"/>
      <c r="L3" s="39"/>
      <c r="M3" s="39"/>
      <c r="N3" s="39"/>
      <c r="O3" s="39"/>
    </row>
    <row r="4" spans="1:24" ht="20.100000000000001" customHeight="1" x14ac:dyDescent="0.25">
      <c r="A4" s="5" t="str">
        <f>HYPERLINK("#'Overview'!A1", "Overview")</f>
        <v>Overview</v>
      </c>
    </row>
    <row r="5" spans="1:24" ht="20.100000000000001" customHeight="1" x14ac:dyDescent="0.25">
      <c r="A5" s="5" t="str">
        <f>HYPERLINK("#'Results'!A1", "Results")</f>
        <v>Results</v>
      </c>
      <c r="D5" s="2" t="s">
        <v>205</v>
      </c>
      <c r="O5" s="35"/>
      <c r="S5" s="32"/>
    </row>
    <row r="6" spans="1:24" ht="20.100000000000001" customHeight="1" x14ac:dyDescent="0.25">
      <c r="O6" s="35"/>
      <c r="S6" s="32"/>
    </row>
    <row r="7" spans="1:24" ht="20.100000000000001" customHeight="1" x14ac:dyDescent="0.25">
      <c r="D7" s="1" t="s">
        <v>206</v>
      </c>
      <c r="E7" s="23" t="s">
        <v>207</v>
      </c>
      <c r="F7" s="26" t="s">
        <v>106</v>
      </c>
      <c r="O7" s="35"/>
      <c r="S7" s="32"/>
    </row>
    <row r="8" spans="1:24" ht="20.100000000000001" customHeight="1" x14ac:dyDescent="0.25">
      <c r="A8" s="7" t="s">
        <v>0</v>
      </c>
      <c r="O8" s="35"/>
      <c r="S8" s="32"/>
    </row>
    <row r="9" spans="1:24" ht="20.100000000000001" customHeight="1" x14ac:dyDescent="0.25">
      <c r="A9" s="5" t="str">
        <f>HYPERLINK("#'Input - Enterprise'!A1", "Enterprise")</f>
        <v>Enterprise</v>
      </c>
      <c r="D9" s="95"/>
      <c r="E9" s="96" t="s">
        <v>208</v>
      </c>
      <c r="F9" s="96" t="s">
        <v>209</v>
      </c>
      <c r="G9" s="96" t="s">
        <v>210</v>
      </c>
      <c r="H9" s="96" t="s">
        <v>211</v>
      </c>
      <c r="I9" s="96" t="s">
        <v>212</v>
      </c>
      <c r="S9" s="32"/>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02 Nov 00</v>
      </c>
      <c r="E10" s="98">
        <v>100</v>
      </c>
      <c r="F10" s="98">
        <v>100</v>
      </c>
      <c r="G10" s="98">
        <v>100</v>
      </c>
      <c r="H10" s="98">
        <v>100</v>
      </c>
      <c r="I10" s="98">
        <v>100</v>
      </c>
      <c r="J10" s="26" t="s">
        <v>213</v>
      </c>
      <c r="K10" s="26"/>
      <c r="L10" s="26"/>
      <c r="M10" s="26"/>
      <c r="N10" s="26"/>
      <c r="S10" s="32"/>
    </row>
    <row r="11" spans="1:24" ht="20.100000000000001" customHeight="1" x14ac:dyDescent="0.25">
      <c r="A11" s="97" t="str">
        <f>HYPERLINK("#'Input - Dairy'!A1", "Dairy")</f>
        <v>Dairy</v>
      </c>
      <c r="S11" s="32"/>
    </row>
    <row r="12" spans="1:24" ht="20.100000000000001" customHeight="1" x14ac:dyDescent="0.25">
      <c r="A12" s="5" t="str">
        <f>HYPERLINK("#'Input - Dairy (Enteric)'!A1", "Dairy (Enteric)")</f>
        <v>Dairy (Enteric)</v>
      </c>
      <c r="D12" s="91" t="s">
        <v>214</v>
      </c>
      <c r="S12" s="32"/>
    </row>
    <row r="13" spans="1:24" ht="20.100000000000001" customHeight="1" x14ac:dyDescent="0.25">
      <c r="A13" s="5" t="str">
        <f>HYPERLINK("#'Input - Livestock sales'!A1", "Livestock sales")</f>
        <v>Livestock sales</v>
      </c>
      <c r="D13" s="95" t="s">
        <v>215</v>
      </c>
      <c r="E13" s="96" t="s">
        <v>208</v>
      </c>
      <c r="F13" s="96" t="s">
        <v>209</v>
      </c>
      <c r="G13" s="96" t="s">
        <v>210</v>
      </c>
      <c r="H13" s="96" t="s">
        <v>211</v>
      </c>
      <c r="I13" s="96" t="s">
        <v>212</v>
      </c>
      <c r="S13" s="52"/>
    </row>
    <row r="14" spans="1:24"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N14" s="26"/>
      <c r="S14" s="52"/>
    </row>
    <row r="15" spans="1:24"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N15" s="26"/>
      <c r="S15" s="52"/>
    </row>
    <row r="16" spans="1:24" ht="20.100000000000001" customHeight="1" x14ac:dyDescent="0.25">
      <c r="A16" s="5" t="str">
        <f>HYPERLINK("#'Input - Fert Prod System'!A1", "Fert Prod System")</f>
        <v>Fert Prod System</v>
      </c>
      <c r="S16" s="52"/>
    </row>
    <row r="17" spans="1:19" ht="20.100000000000001" customHeight="1" x14ac:dyDescent="0.25">
      <c r="A17" s="5" t="str">
        <f>HYPERLINK("#'Input - Fertiliser'!A1", "Fertiliser")</f>
        <v>Fertiliser</v>
      </c>
      <c r="D17" s="95" t="s">
        <v>220</v>
      </c>
      <c r="E17" s="96" t="s">
        <v>208</v>
      </c>
      <c r="F17" s="96" t="s">
        <v>209</v>
      </c>
      <c r="G17" s="96" t="s">
        <v>210</v>
      </c>
      <c r="H17" s="96" t="s">
        <v>211</v>
      </c>
      <c r="I17" s="96" t="s">
        <v>212</v>
      </c>
      <c r="S17" s="32"/>
    </row>
    <row r="18" spans="1:19"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N18" s="26"/>
      <c r="S18" s="32"/>
    </row>
    <row r="19" spans="1:19"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N19" s="26"/>
      <c r="S19" s="32"/>
    </row>
    <row r="20" spans="1:19" ht="20.100000000000001" customHeight="1" x14ac:dyDescent="0.25">
      <c r="A20" s="5" t="str">
        <f>HYPERLINK("#'Input - Farm Inputs'!A1", "Farm Inputs")</f>
        <v>Farm Inputs</v>
      </c>
      <c r="S20" s="32"/>
    </row>
    <row r="21" spans="1:19" ht="20.100000000000001" customHeight="1" x14ac:dyDescent="0.25">
      <c r="A21" s="5" t="str">
        <f>HYPERLINK("#'Input - Freight'!A1", "Freight")</f>
        <v>Freight</v>
      </c>
      <c r="D21" s="91" t="s">
        <v>221</v>
      </c>
      <c r="S21" s="32"/>
    </row>
    <row r="22" spans="1:19" ht="20.100000000000001" customHeight="1" x14ac:dyDescent="0.25">
      <c r="A22" s="5" t="str">
        <f>HYPERLINK("#'Input - Manure sent off-site'!A1", "Manure sent off-site")</f>
        <v>Manure sent off-site</v>
      </c>
      <c r="S22" s="32"/>
    </row>
    <row r="23" spans="1:19" ht="20.100000000000001" customHeight="1" x14ac:dyDescent="0.25">
      <c r="A23" s="5" t="str">
        <f>HYPERLINK("#'Input - Solid waste'!A1", "Solid waste")</f>
        <v>Solid waste</v>
      </c>
      <c r="D23" s="95" t="s">
        <v>215</v>
      </c>
      <c r="E23" s="96" t="s">
        <v>208</v>
      </c>
      <c r="F23" s="96" t="s">
        <v>209</v>
      </c>
      <c r="G23" s="96" t="s">
        <v>210</v>
      </c>
      <c r="H23" s="96" t="s">
        <v>211</v>
      </c>
      <c r="I23" s="96" t="s">
        <v>212</v>
      </c>
      <c r="S23" s="32"/>
    </row>
    <row r="24" spans="1:19" ht="20.100000000000001" customHeight="1" x14ac:dyDescent="0.25">
      <c r="D24" s="1" t="str">
        <f>"Average duration of stay between " &amp; TEXT(X_Cell_Site_StartDate, "dd mmm yy") &amp; " and " &amp; TEXT(X_Cell_Site_EndDate, "dd mmm yy") &amp; " weaned livestock"</f>
        <v>Average duration of stay between 01 Jan 24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N24" s="26"/>
      <c r="S24" s="32"/>
    </row>
    <row r="25" spans="1:19" ht="20.100000000000001" customHeight="1" x14ac:dyDescent="0.25">
      <c r="D25" s="1" t="str">
        <f>"Average duration of stay between " &amp; TEXT(X_Cell_Site_StartDate, "dd mmm yy") &amp; " and " &amp; TEXT(X_Cell_Site_EndDate, "dd mmm yy") &amp; " pre-weaned livestock"</f>
        <v>Average duration of stay between 01 Jan 24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N25" s="26"/>
      <c r="S25" s="32"/>
    </row>
    <row r="26" spans="1:19" ht="20.100000000000001" customHeight="1" x14ac:dyDescent="0.25">
      <c r="A26" s="6" t="s">
        <v>2</v>
      </c>
      <c r="S26" s="32"/>
    </row>
    <row r="27" spans="1:19"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S27" s="32"/>
    </row>
    <row r="28" spans="1:19"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N28" s="26"/>
      <c r="S28" s="32"/>
    </row>
    <row r="29" spans="1:19"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02 Nov 00 pre-weaned livestock</v>
      </c>
      <c r="E29" s="25">
        <f>365-E28</f>
        <v>0</v>
      </c>
      <c r="F29" s="25">
        <f t="shared" ref="F29:I29" si="0">365-F28</f>
        <v>0</v>
      </c>
      <c r="G29" s="25">
        <f t="shared" si="0"/>
        <v>84</v>
      </c>
      <c r="H29" s="25">
        <f t="shared" si="0"/>
        <v>0</v>
      </c>
      <c r="I29" s="25">
        <f t="shared" si="0"/>
        <v>84</v>
      </c>
      <c r="J29" s="26" t="s">
        <v>118</v>
      </c>
      <c r="K29" s="26"/>
      <c r="L29" s="26"/>
      <c r="M29" s="26"/>
      <c r="N29" s="26"/>
      <c r="S29" s="32"/>
    </row>
    <row r="30" spans="1:19" ht="20.100000000000001" customHeight="1" x14ac:dyDescent="0.25">
      <c r="A30" s="5" t="str">
        <f>HYPERLINK("#'5.3.1.1-2 Lime CO2'!A1", "5.3.1.1-2 Lime CO2")</f>
        <v>5.3.1.1-2 Lime CO2</v>
      </c>
      <c r="S30" s="32"/>
    </row>
    <row r="31" spans="1:19" ht="20.100000000000001" customHeight="1" x14ac:dyDescent="0.25">
      <c r="A31" s="5" t="str">
        <f>HYPERLINK("#'5.4.1.1-4 Atmos deposition'!A1", "5.4.1.1-4 Atmos. deposition")</f>
        <v>5.4.1.1-4 Atmos. deposition</v>
      </c>
      <c r="S31" s="32"/>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2"/>
    </row>
    <row r="33" spans="1:19" ht="20.100000000000001" customHeight="1" x14ac:dyDescent="0.25">
      <c r="A33" s="5" t="str">
        <f>HYPERLINK("#'6.2.1.1-2 Pasture residue N2O'!A1", "6.2.1.1-2 Pasture residue N2O")</f>
        <v>6.2.1.1-2 Pasture residue N2O</v>
      </c>
      <c r="D33" s="2" t="s">
        <v>222</v>
      </c>
      <c r="S33" s="32"/>
    </row>
    <row r="34" spans="1:19" ht="20.100000000000001" customHeight="1" x14ac:dyDescent="0.25">
      <c r="A34" s="5" t="str">
        <f>HYPERLINK("#'6.3.1.1-2 Leach runoff pasture'!A1", "6.3.1.1-2 Leach &amp; runoff (pasture)")</f>
        <v>6.3.1.1-2 Leach &amp; runoff (pasture)</v>
      </c>
      <c r="D34" s="91"/>
      <c r="S34" s="32"/>
    </row>
    <row r="35" spans="1:19"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S35" s="32"/>
    </row>
    <row r="36" spans="1:19"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N36" s="26"/>
      <c r="S36" s="32"/>
    </row>
    <row r="37" spans="1:19"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L37" s="26"/>
      <c r="M37" s="26"/>
      <c r="N37" s="26"/>
      <c r="S37" s="32"/>
    </row>
    <row r="38" spans="1:19" ht="20.100000000000001" customHeight="1" x14ac:dyDescent="0.25">
      <c r="A38" s="5" t="str">
        <f>HYPERLINK("#'15 Scope 3'!A1", "15 Scope 3")</f>
        <v>15 Scope 3</v>
      </c>
      <c r="M38" s="26"/>
      <c r="N38" s="26"/>
      <c r="S38" s="32"/>
    </row>
    <row r="39" spans="1:19"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S39" s="32"/>
    </row>
    <row r="40" spans="1:19"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S40" s="32"/>
    </row>
    <row r="41" spans="1:19"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L41" s="26"/>
      <c r="S41" s="32"/>
    </row>
    <row r="42" spans="1:19" ht="20.100000000000001" customHeight="1" x14ac:dyDescent="0.25">
      <c r="A42" s="5" t="str">
        <f>HYPERLINK("#'4.3.1.5 Atmos deposition'!A1", "4.3.1.5 Atmos deposition")</f>
        <v>4.3.1.5 Atmos deposition</v>
      </c>
      <c r="L42" s="26"/>
      <c r="M42" s="26"/>
      <c r="N42" s="26"/>
      <c r="S42" s="32"/>
    </row>
    <row r="43" spans="1:19" ht="20.100000000000001" customHeight="1" x14ac:dyDescent="0.25">
      <c r="A43" s="5" t="str">
        <f>HYPERLINK("#'4.3.1.6-7 Leaching and runoff'!A1", "4.3.1.6-7 Leaching and runoff")</f>
        <v>4.3.1.6-7 Leaching and runoff</v>
      </c>
      <c r="S43" s="32"/>
    </row>
    <row r="44" spans="1:19"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O44" s="100"/>
      <c r="S44" s="32"/>
    </row>
    <row r="45" spans="1:19" ht="20.100000000000001" customHeight="1" x14ac:dyDescent="0.25">
      <c r="A45" s="5" t="str">
        <f>HYPERLINK("#'4.3.1.9 Soil direct N2O'!A1", "4.3.1.9 Soil direct N2O")</f>
        <v>4.3.1.9 Soil direct N2O</v>
      </c>
      <c r="D45" s="2" t="s">
        <v>226</v>
      </c>
      <c r="E45" s="35"/>
      <c r="F45" s="35"/>
      <c r="G45" s="35"/>
      <c r="H45" s="35"/>
      <c r="I45" s="35"/>
      <c r="J45" s="35"/>
      <c r="K45" s="35"/>
      <c r="L45" s="35"/>
      <c r="M45" s="35"/>
      <c r="N45" s="35"/>
      <c r="S45" s="32"/>
    </row>
    <row r="46" spans="1:19" ht="20.100000000000001" customHeight="1" x14ac:dyDescent="0.25">
      <c r="A46" s="5" t="str">
        <f>HYPERLINK("#'4.3.1.10-11 Soil Atmos Dep'!A1", "4.3.1.10-11 Soil Atmos Dep")</f>
        <v>4.3.1.10-11 Soil Atmos Dep</v>
      </c>
      <c r="D46" s="80" t="s">
        <v>227</v>
      </c>
      <c r="G46" s="2"/>
      <c r="H46" s="2"/>
      <c r="I46" s="2"/>
      <c r="J46" s="101"/>
      <c r="K46" s="101"/>
      <c r="L46" s="101"/>
      <c r="M46" s="101"/>
      <c r="N46" s="101"/>
      <c r="S46" s="32"/>
    </row>
    <row r="47" spans="1:19" ht="20.100000000000001" customHeight="1" x14ac:dyDescent="0.25">
      <c r="A47" s="5" t="str">
        <f>HYPERLINK("#'4.3.1.12-13 Soil leach runoff'!A1", "4.3.1.12-13 Soil leach runoff")</f>
        <v>4.3.1.12-13 Soil leach runoff</v>
      </c>
      <c r="D47" s="1" t="s">
        <v>228</v>
      </c>
      <c r="E47" s="23" t="s">
        <v>229</v>
      </c>
      <c r="F47" s="26" t="s">
        <v>106</v>
      </c>
      <c r="S47" s="32"/>
    </row>
    <row r="48" spans="1:19" ht="20.100000000000001" customHeight="1" x14ac:dyDescent="0.25">
      <c r="A48" s="5" t="str">
        <f>HYPERLINK("#'3.3.1.1-2 Enteric Methane'!A1", "3.3.1.1-2 Enteric Methane")</f>
        <v>3.3.1.1-2 Enteric Methane</v>
      </c>
      <c r="S48" s="32"/>
    </row>
    <row r="49" spans="1:19" ht="20.100000000000001" customHeight="1" x14ac:dyDescent="0.25">
      <c r="A49" s="5" t="str">
        <f>HYPERLINK("#'10.1.1-2 Solid waste treatment'!A1", "10.1.1-2 Solid waste treatment")</f>
        <v>10.1.1-2 Solid waste treatment</v>
      </c>
      <c r="E49" s="96" t="s">
        <v>208</v>
      </c>
      <c r="S49" s="32"/>
    </row>
    <row r="50" spans="1:19" ht="20.100000000000001" customHeight="1" x14ac:dyDescent="0.25">
      <c r="D50" s="1" t="s">
        <v>230</v>
      </c>
      <c r="E50" s="86">
        <v>20</v>
      </c>
      <c r="F50" s="26" t="str">
        <f>IF(X_Cell_Dairy_MilkProductionUnit="Litres of milk", "litres/head/day", "kg milk solids/head/day")</f>
        <v>litres/head/day</v>
      </c>
      <c r="S50" s="32"/>
    </row>
    <row r="51" spans="1:19" ht="20.100000000000001" customHeight="1" x14ac:dyDescent="0.25">
      <c r="E51" s="2"/>
      <c r="F51" s="2"/>
      <c r="S51" s="32"/>
    </row>
    <row r="52" spans="1:19" ht="20.100000000000001" customHeight="1" x14ac:dyDescent="0.25">
      <c r="A52" s="99" t="s">
        <v>1</v>
      </c>
      <c r="D52" s="88" t="s">
        <v>231</v>
      </c>
      <c r="E52" s="96" t="s">
        <v>232</v>
      </c>
      <c r="F52" s="96" t="s">
        <v>233</v>
      </c>
      <c r="S52" s="32"/>
    </row>
    <row r="53" spans="1:19" ht="20.100000000000001" customHeight="1" x14ac:dyDescent="0.25">
      <c r="A53" s="5" t="str">
        <f>HYPERLINK("#'Constants - Dairy'!A1", "Constants - Dairy")</f>
        <v>Constants - Dairy</v>
      </c>
      <c r="D53" s="1" t="s">
        <v>234</v>
      </c>
      <c r="E53" s="102">
        <f>SourceData_Dairy_FatContentInMilk_Data/100</f>
        <v>0.04</v>
      </c>
      <c r="F53" s="103">
        <f>SourceData_Dairy_FatContentInMilk_Data/100</f>
        <v>0.04</v>
      </c>
      <c r="G53" s="26" t="s">
        <v>167</v>
      </c>
      <c r="S53" s="32"/>
    </row>
    <row r="54" spans="1:19" ht="20.100000000000001" customHeight="1" x14ac:dyDescent="0.25">
      <c r="A54" s="5" t="str">
        <f>HYPERLINK("#'Constants - Ag Residue'!A1", "Constants - Ag residue")</f>
        <v>Constants - Ag residue</v>
      </c>
      <c r="D54" s="1" t="s">
        <v>235</v>
      </c>
      <c r="E54" s="102">
        <f>SourceData_Dairy_ProteinContentInMilk_Data/100</f>
        <v>3.3000000000000002E-2</v>
      </c>
      <c r="F54" s="103">
        <f>SourceData_Dairy_ProteinContentInMilk_Data/100</f>
        <v>3.3000000000000002E-2</v>
      </c>
      <c r="G54" s="26" t="s">
        <v>167</v>
      </c>
      <c r="S54" s="32"/>
    </row>
    <row r="55" spans="1:19" ht="20.100000000000001" customHeight="1" x14ac:dyDescent="0.25">
      <c r="A55" s="5" t="str">
        <f>HYPERLINK("#'Constants - Common Livestock'!A1", "Constants - Common Livestock")</f>
        <v>Constants - Common Livestock</v>
      </c>
      <c r="S55" s="32"/>
    </row>
    <row r="56" spans="1:19" ht="20.100000000000001" customHeight="1" x14ac:dyDescent="0.25">
      <c r="A56" s="5" t="str">
        <f>HYPERLINK("#'Constants - Electricity'!A1", "Constants - Electricity")</f>
        <v>Constants - Electricity</v>
      </c>
      <c r="S56" s="32"/>
    </row>
    <row r="57" spans="1:19" ht="20.100000000000001" customHeight="1" x14ac:dyDescent="0.25">
      <c r="A57" s="5" t="str">
        <f>HYPERLINK("#'Constants - Fertiliser'!A1", "Constants - Fertiliser")</f>
        <v>Constants - Fertiliser</v>
      </c>
      <c r="C57" s="100"/>
      <c r="D57" s="100"/>
      <c r="E57" s="100"/>
      <c r="F57" s="100"/>
      <c r="G57" s="100"/>
      <c r="H57" s="100"/>
      <c r="I57" s="100"/>
      <c r="J57" s="100"/>
      <c r="K57" s="100"/>
      <c r="L57" s="100"/>
      <c r="M57" s="100"/>
      <c r="N57" s="100"/>
      <c r="O57" s="100"/>
      <c r="S57" s="32"/>
    </row>
    <row r="58" spans="1:19" ht="20.100000000000001" customHeight="1" x14ac:dyDescent="0.25">
      <c r="A58" s="5" t="str">
        <f>HYPERLINK("#'Constants - Fuel'!A1", "Constants - Fuel")</f>
        <v>Constants - Fuel</v>
      </c>
      <c r="D58" s="2" t="s">
        <v>236</v>
      </c>
      <c r="S58" s="32"/>
    </row>
    <row r="59" spans="1:19" ht="20.100000000000001" customHeight="1" x14ac:dyDescent="0.25">
      <c r="A59" s="5" t="str">
        <f>HYPERLINK("#'Constants - Scope 3'!A1", "Constants - Scope 3")</f>
        <v>Constants - Scope 3</v>
      </c>
      <c r="D59" s="91" t="s">
        <v>237</v>
      </c>
      <c r="S59" s="32"/>
    </row>
    <row r="60" spans="1:19" ht="20.100000000000001" customHeight="1" x14ac:dyDescent="0.25">
      <c r="A60" s="5" t="str">
        <f>HYPERLINK("#'Constants - Common'!A1", "Constants - Common")</f>
        <v>Constants - Common</v>
      </c>
      <c r="D60" s="1" t="s">
        <v>238</v>
      </c>
      <c r="E60" s="23" t="s">
        <v>239</v>
      </c>
      <c r="F60" s="26" t="s">
        <v>106</v>
      </c>
      <c r="O60" s="35"/>
      <c r="S60" s="32"/>
    </row>
    <row r="61" spans="1:19" ht="20.100000000000001" customHeight="1" x14ac:dyDescent="0.25">
      <c r="A61" s="5" t="str">
        <f>HYPERLINK("#'Acknowledgements'!A1", "Acknowledgements")</f>
        <v>Acknowledgements</v>
      </c>
      <c r="O61" s="35"/>
      <c r="S61" s="32"/>
    </row>
    <row r="62" spans="1:19" ht="20.100000000000001" customHeight="1" x14ac:dyDescent="0.25">
      <c r="A62" s="5" t="str">
        <f>HYPERLINK("#'Constants - Solid Waste'!A1", "Constants - Solid Waste")</f>
        <v>Constants - Solid Waste</v>
      </c>
      <c r="D62" s="95" t="s">
        <v>215</v>
      </c>
      <c r="E62" s="96" t="s">
        <v>208</v>
      </c>
      <c r="F62" s="96" t="s">
        <v>209</v>
      </c>
      <c r="G62" s="96" t="s">
        <v>210</v>
      </c>
      <c r="H62" s="96" t="s">
        <v>211</v>
      </c>
      <c r="I62" s="96" t="s">
        <v>212</v>
      </c>
      <c r="O62" s="35"/>
      <c r="S62" s="32"/>
    </row>
    <row r="63" spans="1:19" ht="20.100000000000001" customHeight="1" x14ac:dyDescent="0.25">
      <c r="D63" s="1" t="s">
        <v>185</v>
      </c>
      <c r="E63" s="102">
        <f>Common_InputFunctions.Utility_LookupValueInTableNumber(X_Cell_Dairy_ProductionSystemTemplate, Table_SourceData_Dairy_ProductionSystemTemplates[Area],Table_SourceData_Dairy_ProductionSystemTemplates[Pasture])</f>
        <v>0.53400000000000003</v>
      </c>
      <c r="F63" s="102">
        <f>Common_InputFunctions.Utility_LookupValueInTableNumber(X_Cell_Dairy_ProductionSystemTemplate, Table_SourceData_Dairy_ProductionSystemTemplates[Area],Table_SourceData_Dairy_ProductionSystemTemplates[Pasture])</f>
        <v>0.53400000000000003</v>
      </c>
      <c r="G63" s="102">
        <f>Common_InputFunctions.Utility_LookupValueInTableNumber(X_Cell_Dairy_ProductionSystemTemplate, Table_SourceData_Dairy_ProductionSystemTemplates[Area],Table_SourceData_Dairy_ProductionSystemTemplates[Pasture])</f>
        <v>0.53400000000000003</v>
      </c>
      <c r="H63" s="102">
        <f>Common_InputFunctions.Utility_LookupValueInTableNumber(X_Cell_Dairy_ProductionSystemTemplate, Table_SourceData_Dairy_ProductionSystemTemplates[Area],Table_SourceData_Dairy_ProductionSystemTemplates[Pasture])</f>
        <v>0.53400000000000003</v>
      </c>
      <c r="I63" s="102">
        <f>Common_InputFunctions.Utility_LookupValueInTableNumber(X_Cell_Dairy_ProductionSystemTemplate, Table_SourceData_Dairy_ProductionSystemTemplates[Area],Table_SourceData_Dairy_ProductionSystemTemplates[Pasture])</f>
        <v>0.53400000000000003</v>
      </c>
      <c r="J63" s="26" t="s">
        <v>240</v>
      </c>
      <c r="K63" s="26"/>
      <c r="L63" s="26"/>
      <c r="M63" s="26"/>
      <c r="N63" s="26"/>
      <c r="O63" s="35"/>
      <c r="S63" s="32"/>
    </row>
    <row r="64" spans="1:19" ht="20.100000000000001" customHeight="1" x14ac:dyDescent="0.25">
      <c r="D64" s="1" t="s">
        <v>241</v>
      </c>
      <c r="E64" s="102">
        <f>Common_InputFunctions.Utility_LookupValueInTableNumber(X_Cell_Dairy_ProductionSystemTemplate, Table_SourceData_Dairy_ProductionSystemTemplates[Area],Table_SourceData_Dairy_ProductionSystemTemplates[Milking shed])</f>
        <v>0.11</v>
      </c>
      <c r="F64" s="102">
        <f>Common_InputFunctions.Utility_LookupValueInTableNumber(X_Cell_Dairy_ProductionSystemTemplate, Table_SourceData_Dairy_ProductionSystemTemplates[Area],Table_SourceData_Dairy_ProductionSystemTemplates[Milking shed])</f>
        <v>0.11</v>
      </c>
      <c r="G64" s="102">
        <f>Common_InputFunctions.Utility_LookupValueInTableNumber(X_Cell_Dairy_ProductionSystemTemplate, Table_SourceData_Dairy_ProductionSystemTemplates[Area],Table_SourceData_Dairy_ProductionSystemTemplates[Milking shed])</f>
        <v>0.11</v>
      </c>
      <c r="H64" s="102">
        <f>Common_InputFunctions.Utility_LookupValueInTableNumber(X_Cell_Dairy_ProductionSystemTemplate, Table_SourceData_Dairy_ProductionSystemTemplates[Area],Table_SourceData_Dairy_ProductionSystemTemplates[Milking shed])</f>
        <v>0.11</v>
      </c>
      <c r="I64" s="102">
        <f>Common_InputFunctions.Utility_LookupValueInTableNumber(X_Cell_Dairy_ProductionSystemTemplate, Table_SourceData_Dairy_ProductionSystemTemplates[Area],Table_SourceData_Dairy_ProductionSystemTemplates[Milking shed])</f>
        <v>0.11</v>
      </c>
      <c r="J64" s="26" t="s">
        <v>240</v>
      </c>
      <c r="K64" s="26"/>
      <c r="L64" s="26"/>
      <c r="M64" s="26"/>
      <c r="N64" s="26"/>
      <c r="O64" s="35"/>
      <c r="S64" s="32"/>
    </row>
    <row r="65" spans="3:19" ht="20.100000000000001" customHeight="1" x14ac:dyDescent="0.25">
      <c r="D65" s="1" t="s">
        <v>242</v>
      </c>
      <c r="E65" s="102">
        <f>Common_InputFunctions.Utility_LookupValueInTableNumber(X_Cell_Dairy_ProductionSystemTemplate, Table_SourceData_Dairy_ProductionSystemTemplates[Area],Table_SourceData_Dairy_ProductionSystemTemplates[Feedpad])</f>
        <v>0.35599999999999998</v>
      </c>
      <c r="F65" s="102">
        <f>Common_InputFunctions.Utility_LookupValueInTableNumber(X_Cell_Dairy_ProductionSystemTemplate, Table_SourceData_Dairy_ProductionSystemTemplates[Area],Table_SourceData_Dairy_ProductionSystemTemplates[Feedpad])</f>
        <v>0.35599999999999998</v>
      </c>
      <c r="G65" s="102">
        <f>Common_InputFunctions.Utility_LookupValueInTableNumber(X_Cell_Dairy_ProductionSystemTemplate, Table_SourceData_Dairy_ProductionSystemTemplates[Area],Table_SourceData_Dairy_ProductionSystemTemplates[Feedpad])</f>
        <v>0.35599999999999998</v>
      </c>
      <c r="H65" s="102">
        <f>Common_InputFunctions.Utility_LookupValueInTableNumber(X_Cell_Dairy_ProductionSystemTemplate, Table_SourceData_Dairy_ProductionSystemTemplates[Area],Table_SourceData_Dairy_ProductionSystemTemplates[Feedpad])</f>
        <v>0.35599999999999998</v>
      </c>
      <c r="I65" s="102">
        <f>Common_InputFunctions.Utility_LookupValueInTableNumber(X_Cell_Dairy_ProductionSystemTemplate, Table_SourceData_Dairy_ProductionSystemTemplates[Area],Table_SourceData_Dairy_ProductionSystemTemplates[Feedpad])</f>
        <v>0.35599999999999998</v>
      </c>
      <c r="J65" s="26" t="s">
        <v>240</v>
      </c>
      <c r="K65" s="26"/>
      <c r="L65" s="26"/>
      <c r="M65" s="26"/>
      <c r="N65" s="26"/>
      <c r="O65" s="35"/>
    </row>
    <row r="66" spans="3:19" ht="20.100000000000001" customHeight="1" x14ac:dyDescent="0.25">
      <c r="O66" s="35"/>
    </row>
    <row r="67" spans="3:19" ht="20.100000000000001" customHeight="1" x14ac:dyDescent="0.25">
      <c r="D67" s="95" t="s">
        <v>220</v>
      </c>
      <c r="E67" s="96" t="s">
        <v>208</v>
      </c>
      <c r="F67" s="96" t="s">
        <v>209</v>
      </c>
      <c r="G67" s="96" t="s">
        <v>210</v>
      </c>
      <c r="H67" s="96" t="s">
        <v>211</v>
      </c>
      <c r="I67" s="96" t="s">
        <v>212</v>
      </c>
      <c r="O67" s="35"/>
    </row>
    <row r="68" spans="3:19" ht="20.100000000000001" customHeight="1" x14ac:dyDescent="0.25">
      <c r="D68" s="1" t="s">
        <v>185</v>
      </c>
      <c r="E68" s="104">
        <f>Common_InputFunctions.Utility_LookupValueInTableNumber(X_Cell_Dairy_ProductionSystemTemplate, Table_SourceData_Dairy_ProductionSystemTemplates[Area],Table_SourceData_Dairy_ProductionSystemTemplates[Pasture])</f>
        <v>0.53400000000000003</v>
      </c>
      <c r="F68" s="104">
        <f>Common_InputFunctions.Utility_LookupValueInTableNumber(X_Cell_Dairy_ProductionSystemTemplate, Table_SourceData_Dairy_ProductionSystemTemplates[Area],Table_SourceData_Dairy_ProductionSystemTemplates[Pasture])</f>
        <v>0.53400000000000003</v>
      </c>
      <c r="G68" s="104">
        <f>Common_InputFunctions.Utility_LookupValueInTableNumber(X_Cell_Dairy_ProductionSystemTemplate, Table_SourceData_Dairy_ProductionSystemTemplates[Area],Table_SourceData_Dairy_ProductionSystemTemplates[Pasture])</f>
        <v>0.53400000000000003</v>
      </c>
      <c r="H68" s="104">
        <f>Common_InputFunctions.Utility_LookupValueInTableNumber(X_Cell_Dairy_ProductionSystemTemplate, Table_SourceData_Dairy_ProductionSystemTemplates[Area],Table_SourceData_Dairy_ProductionSystemTemplates[Pasture])</f>
        <v>0.53400000000000003</v>
      </c>
      <c r="I68" s="104">
        <f>Common_InputFunctions.Utility_LookupValueInTableNumber(X_Cell_Dairy_ProductionSystemTemplate, Table_SourceData_Dairy_ProductionSystemTemplates[Area],Table_SourceData_Dairy_ProductionSystemTemplates[Pasture])</f>
        <v>0.53400000000000003</v>
      </c>
      <c r="J68" s="26" t="s">
        <v>240</v>
      </c>
      <c r="K68" s="26"/>
      <c r="L68" s="26"/>
      <c r="M68" s="26"/>
      <c r="N68" s="26"/>
      <c r="O68" s="35"/>
    </row>
    <row r="69" spans="3:19" ht="20.100000000000001" customHeight="1" x14ac:dyDescent="0.25">
      <c r="D69" s="1" t="s">
        <v>241</v>
      </c>
      <c r="E69" s="104">
        <f>Common_InputFunctions.Utility_LookupValueInTableNumber(X_Cell_Dairy_ProductionSystemTemplate, Table_SourceData_Dairy_ProductionSystemTemplates[Area],Table_SourceData_Dairy_ProductionSystemTemplates[Milking shed])</f>
        <v>0.11</v>
      </c>
      <c r="F69" s="104">
        <f>Common_InputFunctions.Utility_LookupValueInTableNumber(X_Cell_Dairy_ProductionSystemTemplate, Table_SourceData_Dairy_ProductionSystemTemplates[Area],Table_SourceData_Dairy_ProductionSystemTemplates[Milking shed])</f>
        <v>0.11</v>
      </c>
      <c r="G69" s="104">
        <f>Common_InputFunctions.Utility_LookupValueInTableNumber(X_Cell_Dairy_ProductionSystemTemplate, Table_SourceData_Dairy_ProductionSystemTemplates[Area],Table_SourceData_Dairy_ProductionSystemTemplates[Milking shed])</f>
        <v>0.11</v>
      </c>
      <c r="H69" s="104">
        <f>Common_InputFunctions.Utility_LookupValueInTableNumber(X_Cell_Dairy_ProductionSystemTemplate, Table_SourceData_Dairy_ProductionSystemTemplates[Area],Table_SourceData_Dairy_ProductionSystemTemplates[Milking shed])</f>
        <v>0.11</v>
      </c>
      <c r="I69" s="104">
        <f>Common_InputFunctions.Utility_LookupValueInTableNumber(X_Cell_Dairy_ProductionSystemTemplate, Table_SourceData_Dairy_ProductionSystemTemplates[Area],Table_SourceData_Dairy_ProductionSystemTemplates[Milking shed])</f>
        <v>0.11</v>
      </c>
      <c r="J69" s="26" t="s">
        <v>240</v>
      </c>
      <c r="K69" s="26"/>
      <c r="L69" s="26"/>
      <c r="M69" s="26"/>
      <c r="N69" s="26"/>
      <c r="O69" s="35"/>
    </row>
    <row r="70" spans="3:19" ht="20.100000000000001" customHeight="1" x14ac:dyDescent="0.25">
      <c r="D70" s="1" t="s">
        <v>242</v>
      </c>
      <c r="E70" s="104">
        <f>Common_InputFunctions.Utility_LookupValueInTableNumber(X_Cell_Dairy_ProductionSystemTemplate, Table_SourceData_Dairy_ProductionSystemTemplates[Area],Table_SourceData_Dairy_ProductionSystemTemplates[Feedpad])</f>
        <v>0.35599999999999998</v>
      </c>
      <c r="F70" s="104">
        <f>Common_InputFunctions.Utility_LookupValueInTableNumber(X_Cell_Dairy_ProductionSystemTemplate, Table_SourceData_Dairy_ProductionSystemTemplates[Area],Table_SourceData_Dairy_ProductionSystemTemplates[Feedpad])</f>
        <v>0.35599999999999998</v>
      </c>
      <c r="G70" s="104">
        <f>Common_InputFunctions.Utility_LookupValueInTableNumber(X_Cell_Dairy_ProductionSystemTemplate, Table_SourceData_Dairy_ProductionSystemTemplates[Area],Table_SourceData_Dairy_ProductionSystemTemplates[Feedpad])</f>
        <v>0.35599999999999998</v>
      </c>
      <c r="H70" s="104">
        <f>Common_InputFunctions.Utility_LookupValueInTableNumber(X_Cell_Dairy_ProductionSystemTemplate, Table_SourceData_Dairy_ProductionSystemTemplates[Area],Table_SourceData_Dairy_ProductionSystemTemplates[Feedpad])</f>
        <v>0.35599999999999998</v>
      </c>
      <c r="I70" s="104">
        <f>Common_InputFunctions.Utility_LookupValueInTableNumber(X_Cell_Dairy_ProductionSystemTemplate, Table_SourceData_Dairy_ProductionSystemTemplates[Area],Table_SourceData_Dairy_ProductionSystemTemplates[Feedpad])</f>
        <v>0.35599999999999998</v>
      </c>
      <c r="J70" s="26" t="s">
        <v>240</v>
      </c>
      <c r="K70" s="26"/>
      <c r="L70" s="26"/>
      <c r="M70" s="26"/>
      <c r="N70" s="26"/>
      <c r="O70" s="35"/>
    </row>
    <row r="71" spans="3:19" ht="20.100000000000001" customHeight="1" x14ac:dyDescent="0.25">
      <c r="E71" s="105"/>
      <c r="O71" s="35"/>
    </row>
    <row r="72" spans="3:19" ht="20.100000000000001" customHeight="1" x14ac:dyDescent="0.25"/>
    <row r="73" spans="3:19" ht="20.100000000000001" customHeight="1" x14ac:dyDescent="0.25">
      <c r="C73" s="100"/>
      <c r="D73" s="100"/>
      <c r="E73" s="100"/>
      <c r="F73" s="100"/>
      <c r="G73" s="100"/>
      <c r="H73" s="100"/>
      <c r="I73" s="100"/>
      <c r="J73" s="100"/>
      <c r="K73" s="100"/>
      <c r="L73" s="100"/>
      <c r="M73" s="100"/>
      <c r="N73" s="100"/>
      <c r="O73" s="100"/>
    </row>
    <row r="74" spans="3:19" ht="20.100000000000001" customHeight="1" x14ac:dyDescent="0.25">
      <c r="D74" s="2" t="s">
        <v>243</v>
      </c>
      <c r="F74" s="106"/>
    </row>
    <row r="75" spans="3:19" ht="20.100000000000001" customHeight="1" x14ac:dyDescent="0.25">
      <c r="D75" s="91" t="str">
        <f>"From " &amp; $D$64</f>
        <v>From Milking shed</v>
      </c>
      <c r="O75" s="35"/>
    </row>
    <row r="76" spans="3:19" ht="20.100000000000001" customHeight="1" x14ac:dyDescent="0.25">
      <c r="O76" s="35"/>
    </row>
    <row r="77" spans="3:19" ht="20.100000000000001" customHeight="1" x14ac:dyDescent="0.25">
      <c r="D77" s="107" t="s">
        <v>244</v>
      </c>
      <c r="E77" s="96" t="s">
        <v>208</v>
      </c>
      <c r="F77" s="96" t="s">
        <v>209</v>
      </c>
      <c r="G77" s="96" t="s">
        <v>210</v>
      </c>
      <c r="H77" s="96" t="s">
        <v>211</v>
      </c>
      <c r="I77" s="96" t="s">
        <v>212</v>
      </c>
      <c r="J77" s="108" t="s">
        <v>245</v>
      </c>
      <c r="K77" s="108"/>
      <c r="L77" s="95" t="s">
        <v>246</v>
      </c>
      <c r="M77" s="95"/>
      <c r="N77" s="96"/>
      <c r="O77" s="35"/>
    </row>
    <row r="78" spans="3:19" ht="20.100000000000001" customHeight="1" x14ac:dyDescent="0.25">
      <c r="L78" s="109" t="s">
        <v>247</v>
      </c>
      <c r="M78" s="109" t="s">
        <v>248</v>
      </c>
      <c r="N78" s="109" t="s">
        <v>249</v>
      </c>
      <c r="O78" s="35"/>
    </row>
    <row r="79" spans="3:19" ht="20.100000000000001" customHeight="1" x14ac:dyDescent="0.25">
      <c r="D79" s="88" t="str">
        <f>'Constants - Dairy'!$D$8</f>
        <v>Anaerobic lagoon</v>
      </c>
      <c r="E79" s="28">
        <v>0.25</v>
      </c>
      <c r="F79" s="28">
        <v>0.25</v>
      </c>
      <c r="G79" s="28">
        <v>0.25</v>
      </c>
      <c r="H79" s="28">
        <v>0.25</v>
      </c>
      <c r="I79" s="28">
        <v>0.25</v>
      </c>
      <c r="J79" s="26" t="s">
        <v>240</v>
      </c>
      <c r="K79" s="26"/>
      <c r="L79" s="28">
        <v>0.25</v>
      </c>
      <c r="M79" s="28">
        <v>0.25</v>
      </c>
      <c r="N79" s="29">
        <f>1-SUM(L79:M79)</f>
        <v>0.5</v>
      </c>
      <c r="O79" s="35"/>
    </row>
    <row r="80" spans="3:19" ht="20.100000000000001" customHeight="1" x14ac:dyDescent="0.25">
      <c r="D80" s="110" t="str">
        <f>"Were solids separated from " &amp; D79 &amp; "?"</f>
        <v>Were solids separated from Anaerobic lagoon?</v>
      </c>
      <c r="E80" s="23" t="s">
        <v>250</v>
      </c>
      <c r="O80" s="35"/>
      <c r="S80" s="32"/>
    </row>
    <row r="81" spans="4:19" ht="20.100000000000001" customHeight="1" x14ac:dyDescent="0.25">
      <c r="D81" s="110" t="str">
        <f>"Percent solids separated from " &amp; D79 &amp; " (Method 1)"</f>
        <v>Percent solids separated from Anaerobic lagoon (Method 1)</v>
      </c>
      <c r="E81" s="29">
        <f>IF(X_Cell_Dairy_Stage1MMS_1_AnaerobicLagoon_SolidsSeparated="Yes", 20%, 0)</f>
        <v>0.2</v>
      </c>
      <c r="O81" s="35"/>
      <c r="S81" s="32"/>
    </row>
    <row r="82" spans="4:19" ht="20.100000000000001" customHeight="1" x14ac:dyDescent="0.25">
      <c r="D82" s="110" t="str">
        <f>"Percent solids separated from " &amp; D79 &amp; " (Method 2)"</f>
        <v>Percent solids separated from Anaerobic lagoon (Method 2)</v>
      </c>
      <c r="E82" s="28">
        <v>0.2</v>
      </c>
      <c r="O82" s="35"/>
      <c r="S82" s="32"/>
    </row>
    <row r="83" spans="4:19" ht="20.100000000000001" customHeight="1" x14ac:dyDescent="0.25">
      <c r="S83" s="32"/>
    </row>
    <row r="84" spans="4:19" ht="20.100000000000001" customHeight="1" x14ac:dyDescent="0.25">
      <c r="D84" s="88" t="str">
        <f>'Constants - Dairy'!$D$9</f>
        <v>Sump and dispersal system</v>
      </c>
      <c r="E84" s="28">
        <v>0.25</v>
      </c>
      <c r="F84" s="28">
        <v>0.25</v>
      </c>
      <c r="G84" s="28">
        <v>0.25</v>
      </c>
      <c r="H84" s="28">
        <v>0.25</v>
      </c>
      <c r="I84" s="28">
        <v>0.25</v>
      </c>
      <c r="J84" s="26" t="s">
        <v>240</v>
      </c>
      <c r="K84" s="26"/>
      <c r="L84" s="28">
        <v>0.25</v>
      </c>
      <c r="M84" s="28">
        <v>0.25</v>
      </c>
      <c r="N84" s="29">
        <f t="shared" ref="N84" si="1">1-SUM(L84:M84)</f>
        <v>0.5</v>
      </c>
      <c r="S84" s="32"/>
    </row>
    <row r="85" spans="4:19" ht="20.100000000000001" customHeight="1" x14ac:dyDescent="0.25">
      <c r="D85" s="110" t="str">
        <f>"Were solids separated from " &amp; D84 &amp; "?"</f>
        <v>Were solids separated from Sump and dispersal system?</v>
      </c>
      <c r="E85" s="23" t="s">
        <v>250</v>
      </c>
      <c r="S85" s="32"/>
    </row>
    <row r="86" spans="4:19" ht="20.100000000000001" customHeight="1" x14ac:dyDescent="0.25">
      <c r="D86" s="110" t="str">
        <f>"Percent solids separated from " &amp; D84 &amp; " (Method 1)"</f>
        <v>Percent solids separated from Sump and dispersal system (Method 1)</v>
      </c>
      <c r="E86" s="29">
        <f>IF(X_Cell_Dairy_Stage1MMS_1_SumpAndDispersal_SolidsSeparated="Yes", 20%, 0)</f>
        <v>0.2</v>
      </c>
      <c r="S86" s="32"/>
    </row>
    <row r="87" spans="4:19" ht="20.100000000000001" customHeight="1" x14ac:dyDescent="0.25">
      <c r="D87" s="110" t="str">
        <f>"Percent solids separated from " &amp; D84 &amp; " (Method 2)"</f>
        <v>Percent solids separated from Sump and dispersal system (Method 2)</v>
      </c>
      <c r="E87" s="28">
        <v>0.2</v>
      </c>
      <c r="S87" s="32"/>
    </row>
    <row r="88" spans="4:19" ht="20.100000000000001" customHeight="1" x14ac:dyDescent="0.25">
      <c r="S88" s="32"/>
    </row>
    <row r="89" spans="4:19" ht="20.100000000000001" customHeight="1" x14ac:dyDescent="0.25">
      <c r="D89" s="88" t="str">
        <f>'Constants - Dairy'!$D$10</f>
        <v>Drains to paddock</v>
      </c>
      <c r="E89" s="28">
        <v>0.25</v>
      </c>
      <c r="F89" s="28">
        <v>0.25</v>
      </c>
      <c r="G89" s="28">
        <v>0.25</v>
      </c>
      <c r="H89" s="28">
        <v>0.25</v>
      </c>
      <c r="I89" s="28">
        <v>0.25</v>
      </c>
      <c r="J89" s="26" t="s">
        <v>240</v>
      </c>
      <c r="K89" s="26"/>
      <c r="L89" s="28">
        <v>0.25</v>
      </c>
      <c r="M89" s="28">
        <v>0.25</v>
      </c>
      <c r="N89" s="29">
        <f>1-SUM(L89:M89)</f>
        <v>0.5</v>
      </c>
      <c r="S89" s="32"/>
    </row>
    <row r="90" spans="4:19" ht="20.100000000000001" customHeight="1" x14ac:dyDescent="0.25">
      <c r="D90" s="110" t="str">
        <f>"Were solids separated from " &amp; D89 &amp; "?"</f>
        <v>Were solids separated from Drains to paddock?</v>
      </c>
      <c r="E90" s="23" t="s">
        <v>250</v>
      </c>
      <c r="S90" s="32"/>
    </row>
    <row r="91" spans="4:19" ht="20.100000000000001" customHeight="1" x14ac:dyDescent="0.25">
      <c r="D91" s="110" t="str">
        <f>"Percent solids separated from " &amp; D89 &amp; " (Method 1)"</f>
        <v>Percent solids separated from Drains to paddock (Method 1)</v>
      </c>
      <c r="E91" s="29">
        <f>IF(X_Cell_Dairy_Stage1MMS_1_DrainsToPaddock_SolidsSeparated="Yes", 20%, 0)</f>
        <v>0.2</v>
      </c>
      <c r="S91" s="32"/>
    </row>
    <row r="92" spans="4:19" ht="20.100000000000001" customHeight="1" x14ac:dyDescent="0.25">
      <c r="D92" s="110" t="str">
        <f>"Percent solids separated from " &amp; D89 &amp; " (Method 2)"</f>
        <v>Percent solids separated from Drains to paddock (Method 2)</v>
      </c>
      <c r="E92" s="28">
        <v>0.2</v>
      </c>
      <c r="S92" s="32"/>
    </row>
    <row r="93" spans="4:19" ht="20.100000000000001" customHeight="1" x14ac:dyDescent="0.25">
      <c r="S93" s="32"/>
    </row>
    <row r="94" spans="4:19" ht="20.100000000000001" customHeight="1" x14ac:dyDescent="0.25">
      <c r="D94" s="88" t="str">
        <f>'Constants - Dairy'!$D$11 &amp; " (before solid separation)"</f>
        <v>Solid storage (before solid separation)</v>
      </c>
      <c r="E94" s="28">
        <v>0.25</v>
      </c>
      <c r="F94" s="28">
        <v>0.25</v>
      </c>
      <c r="G94" s="28">
        <v>0.25</v>
      </c>
      <c r="H94" s="28">
        <v>0.25</v>
      </c>
      <c r="I94" s="28">
        <v>0.25</v>
      </c>
      <c r="J94" s="26" t="s">
        <v>240</v>
      </c>
      <c r="K94" s="26"/>
      <c r="L94" s="28">
        <v>0.25</v>
      </c>
      <c r="M94" s="28">
        <v>0.25</v>
      </c>
      <c r="N94" s="29">
        <f t="shared" ref="N94" si="2">1-SUM(L94:M94)</f>
        <v>0.5</v>
      </c>
      <c r="S94" s="32"/>
    </row>
    <row r="95" spans="4:19" ht="20.100000000000001" customHeight="1" x14ac:dyDescent="0.25">
      <c r="D95" s="1" t="s">
        <v>251</v>
      </c>
      <c r="E95" s="29">
        <f>E94+(E79*X_Cell_Dairy_Stage1MMS_1_AnaerobicLagoon_AmountSeparated_Method1)+(E84*X_Cell_Dairy_Stage1MMS_1_SumpAndDispersal_AmountSeparated_Method1)+(E89*X_Cell_Dairy_Stage1MMS_1_DrainsToPaddock_AmountSeparated_Method1)</f>
        <v>0.39999999999999997</v>
      </c>
      <c r="F95" s="29">
        <f>F94+(F79*X_Cell_Dairy_Stage1MMS_1_AnaerobicLagoon_AmountSeparated_Method1)+(F84*X_Cell_Dairy_Stage1MMS_1_SumpAndDispersal_AmountSeparated_Method1)+(F89*X_Cell_Dairy_Stage1MMS_1_DrainsToPaddock_AmountSeparated_Method1)</f>
        <v>0.39999999999999997</v>
      </c>
      <c r="G95" s="29">
        <f>G94+(G79*X_Cell_Dairy_Stage1MMS_1_AnaerobicLagoon_AmountSeparated_Method1)+(G84*X_Cell_Dairy_Stage1MMS_1_SumpAndDispersal_AmountSeparated_Method1)+(G89*X_Cell_Dairy_Stage1MMS_1_DrainsToPaddock_AmountSeparated_Method1)</f>
        <v>0.39999999999999997</v>
      </c>
      <c r="H95" s="29">
        <f>H94+(H79*X_Cell_Dairy_Stage1MMS_1_AnaerobicLagoon_AmountSeparated_Method1)+(H84*X_Cell_Dairy_Stage1MMS_1_SumpAndDispersal_AmountSeparated_Method1)+(H89*X_Cell_Dairy_Stage1MMS_1_DrainsToPaddock_AmountSeparated_Method1)</f>
        <v>0.39999999999999997</v>
      </c>
      <c r="I95" s="29">
        <f>I94+(I79*X_Cell_Dairy_Stage1MMS_1_AnaerobicLagoon_AmountSeparated_Method1)+(I84*X_Cell_Dairy_Stage1MMS_1_SumpAndDispersal_AmountSeparated_Method1)+(I89*X_Cell_Dairy_Stage1MMS_1_DrainsToPaddock_AmountSeparated_Method1)</f>
        <v>0.39999999999999997</v>
      </c>
      <c r="J95" s="26" t="s">
        <v>240</v>
      </c>
      <c r="K95" s="26"/>
      <c r="L95" s="26"/>
      <c r="M95" s="26"/>
      <c r="N95" s="26"/>
      <c r="S95" s="32"/>
    </row>
    <row r="96" spans="4:19" ht="20.100000000000001" customHeight="1" x14ac:dyDescent="0.25">
      <c r="D96" s="1" t="s">
        <v>252</v>
      </c>
      <c r="E96" s="29">
        <f>E94+(E79*X_Cell_Dairy_Stage1MMS_1_AnaerobicLagoon_AmountSeparated_Method2)+(E84*X_Cell_Dairy_Stage1MMS_1_SumpAndDispersal_AmountSeparated_Method2)+(E89*X_Cell_Dairy_Stage1MMS_1_DrainsToPaddock_AmountSeparated_Method2)</f>
        <v>0.39999999999999997</v>
      </c>
      <c r="F96" s="29">
        <f>F94+(F79*X_Cell_Dairy_Stage1MMS_1_AnaerobicLagoon_AmountSeparated_Method2)+(F84*X_Cell_Dairy_Stage1MMS_1_SumpAndDispersal_AmountSeparated_Method2)+(F89*X_Cell_Dairy_Stage1MMS_1_DrainsToPaddock_AmountSeparated_Method2)</f>
        <v>0.39999999999999997</v>
      </c>
      <c r="G96" s="29">
        <f>G94+(G79*X_Cell_Dairy_Stage1MMS_1_AnaerobicLagoon_AmountSeparated_Method2)+(G84*X_Cell_Dairy_Stage1MMS_1_SumpAndDispersal_AmountSeparated_Method2)+(G89*X_Cell_Dairy_Stage1MMS_1_DrainsToPaddock_AmountSeparated_Method2)</f>
        <v>0.39999999999999997</v>
      </c>
      <c r="H96" s="29">
        <f>H94+(H79*X_Cell_Dairy_Stage1MMS_1_AnaerobicLagoon_AmountSeparated_Method2)+(H84*X_Cell_Dairy_Stage1MMS_1_SumpAndDispersal_AmountSeparated_Method2)+(H89*X_Cell_Dairy_Stage1MMS_1_DrainsToPaddock_AmountSeparated_Method2)</f>
        <v>0.39999999999999997</v>
      </c>
      <c r="I96" s="29">
        <f>I94+(I79*X_Cell_Dairy_Stage1MMS_1_AnaerobicLagoon_AmountSeparated_Method2)+(I84*X_Cell_Dairy_Stage1MMS_1_SumpAndDispersal_AmountSeparated_Method2)+(I89*X_Cell_Dairy_Stage1MMS_1_DrainsToPaddock_AmountSeparated_Method2)</f>
        <v>0.39999999999999997</v>
      </c>
      <c r="J96" s="26" t="s">
        <v>240</v>
      </c>
      <c r="K96" s="26"/>
      <c r="S96" s="32"/>
    </row>
    <row r="97" spans="4:19" ht="20.100000000000001" customHeight="1" x14ac:dyDescent="0.25">
      <c r="F97" s="26"/>
      <c r="S97" s="32"/>
    </row>
    <row r="98" spans="4:19" ht="20.100000000000001" customHeight="1" x14ac:dyDescent="0.25">
      <c r="F98" s="111"/>
      <c r="S98" s="32"/>
    </row>
    <row r="99" spans="4:19" ht="20.100000000000001" customHeight="1" x14ac:dyDescent="0.25">
      <c r="D99" s="91" t="str">
        <f>"From " &amp; $D$65</f>
        <v>From Feed pad</v>
      </c>
      <c r="S99" s="32"/>
    </row>
    <row r="100" spans="4:19" ht="20.100000000000001" customHeight="1" x14ac:dyDescent="0.25">
      <c r="S100" s="32"/>
    </row>
    <row r="101" spans="4:19" ht="20.100000000000001" customHeight="1" x14ac:dyDescent="0.25">
      <c r="D101" s="112" t="s">
        <v>244</v>
      </c>
      <c r="E101" s="96" t="s">
        <v>208</v>
      </c>
      <c r="F101" s="96" t="s">
        <v>209</v>
      </c>
      <c r="G101" s="96" t="s">
        <v>210</v>
      </c>
      <c r="H101" s="96" t="s">
        <v>211</v>
      </c>
      <c r="I101" s="96" t="s">
        <v>212</v>
      </c>
      <c r="J101" s="108" t="s">
        <v>245</v>
      </c>
      <c r="K101" s="108"/>
      <c r="L101" s="95" t="s">
        <v>246</v>
      </c>
      <c r="M101" s="95"/>
      <c r="N101" s="96"/>
      <c r="S101" s="32"/>
    </row>
    <row r="102" spans="4:19" ht="20.100000000000001" customHeight="1" x14ac:dyDescent="0.25">
      <c r="D102" s="113"/>
      <c r="L102" s="109" t="s">
        <v>247</v>
      </c>
      <c r="M102" s="109" t="s">
        <v>248</v>
      </c>
      <c r="N102" s="109" t="s">
        <v>249</v>
      </c>
      <c r="S102" s="32"/>
    </row>
    <row r="103" spans="4:19" ht="20.100000000000001" customHeight="1" x14ac:dyDescent="0.25">
      <c r="D103" s="114" t="str">
        <f>'Constants - Dairy'!$D$8</f>
        <v>Anaerobic lagoon</v>
      </c>
      <c r="E103" s="28">
        <v>0.25</v>
      </c>
      <c r="F103" s="28">
        <v>0.25</v>
      </c>
      <c r="G103" s="28">
        <v>0.25</v>
      </c>
      <c r="H103" s="28">
        <v>0.25</v>
      </c>
      <c r="I103" s="28">
        <v>0.25</v>
      </c>
      <c r="J103" s="26" t="s">
        <v>240</v>
      </c>
      <c r="K103" s="26"/>
      <c r="L103" s="28">
        <v>0.25</v>
      </c>
      <c r="M103" s="28">
        <v>0.25</v>
      </c>
      <c r="N103" s="29">
        <f>1-SUM(L103:M103)</f>
        <v>0.5</v>
      </c>
      <c r="S103" s="32"/>
    </row>
    <row r="104" spans="4:19" ht="20.100000000000001" customHeight="1" x14ac:dyDescent="0.25">
      <c r="D104" s="115" t="str">
        <f>"Were solids separated from " &amp; D103 &amp; "?"</f>
        <v>Were solids separated from Anaerobic lagoon?</v>
      </c>
      <c r="E104" s="23" t="s">
        <v>253</v>
      </c>
      <c r="S104" s="32"/>
    </row>
    <row r="105" spans="4:19" ht="20.100000000000001" customHeight="1" x14ac:dyDescent="0.25">
      <c r="D105" s="115" t="str">
        <f>"Percent solids separated from " &amp; D103 &amp; " (Method 1)"</f>
        <v>Percent solids separated from Anaerobic lagoon (Method 1)</v>
      </c>
      <c r="E105" s="29">
        <f>IF(X_Cell_Dairy_Stage1MMS_2_AnaerobicLagoon_SolidsSeparated="Yes", 20%, 0)</f>
        <v>0</v>
      </c>
      <c r="S105" s="32"/>
    </row>
    <row r="106" spans="4:19" ht="20.100000000000001" customHeight="1" x14ac:dyDescent="0.25">
      <c r="D106" s="115" t="str">
        <f>"Percent solids separated from " &amp; D103 &amp; " (Method 2)"</f>
        <v>Percent solids separated from Anaerobic lagoon (Method 2)</v>
      </c>
      <c r="E106" s="28">
        <f>IF(X_Cell_Dairy_Stage1MMS_2_AnaerobicLagoon_SolidsSeparated="Yes", 20%, 0)</f>
        <v>0</v>
      </c>
      <c r="S106" s="32"/>
    </row>
    <row r="107" spans="4:19" ht="20.100000000000001" customHeight="1" x14ac:dyDescent="0.25"/>
    <row r="108" spans="4:19" ht="20.100000000000001" customHeight="1" x14ac:dyDescent="0.25">
      <c r="D108" s="114" t="str">
        <f>'Constants - Dairy'!$D$9</f>
        <v>Sump and dispersal system</v>
      </c>
      <c r="E108" s="28">
        <v>0.25</v>
      </c>
      <c r="F108" s="28">
        <v>0.25</v>
      </c>
      <c r="G108" s="28">
        <v>0.25</v>
      </c>
      <c r="H108" s="28">
        <v>0.25</v>
      </c>
      <c r="I108" s="28">
        <v>0.25</v>
      </c>
      <c r="J108" s="26" t="s">
        <v>240</v>
      </c>
      <c r="K108" s="26"/>
      <c r="L108" s="28">
        <v>0.25</v>
      </c>
      <c r="M108" s="28">
        <v>0.25</v>
      </c>
      <c r="N108" s="29">
        <f t="shared" ref="N108" si="3">1-SUM(L108:M108)</f>
        <v>0.5</v>
      </c>
    </row>
    <row r="109" spans="4:19" ht="20.100000000000001" customHeight="1" x14ac:dyDescent="0.25">
      <c r="D109" s="115" t="str">
        <f>"Were solids separated from " &amp; D108 &amp; "?"</f>
        <v>Were solids separated from Sump and dispersal system?</v>
      </c>
      <c r="E109" s="23" t="s">
        <v>250</v>
      </c>
    </row>
    <row r="110" spans="4:19" ht="20.100000000000001" customHeight="1" x14ac:dyDescent="0.25">
      <c r="D110" s="115" t="str">
        <f>"Percent solids separated from " &amp; D108 &amp; " (Method 1)"</f>
        <v>Percent solids separated from Sump and dispersal system (Method 1)</v>
      </c>
      <c r="E110" s="29">
        <f>IF(X_Cell_Dairy_Stage1MMS_2_SumpAndDispersal_SolidsSeparated="Yes", 20%, 0)</f>
        <v>0.2</v>
      </c>
    </row>
    <row r="111" spans="4:19" ht="20.100000000000001" customHeight="1" x14ac:dyDescent="0.25">
      <c r="D111" s="115"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4" t="str">
        <f>'Constants - Dairy'!$D$10</f>
        <v>Drains to paddock</v>
      </c>
      <c r="E113" s="28">
        <v>0.25</v>
      </c>
      <c r="F113" s="28">
        <v>0.25</v>
      </c>
      <c r="G113" s="28">
        <v>0.25</v>
      </c>
      <c r="H113" s="28">
        <v>0.25</v>
      </c>
      <c r="I113" s="28">
        <v>0.25</v>
      </c>
      <c r="J113" s="26" t="s">
        <v>240</v>
      </c>
      <c r="K113" s="26"/>
      <c r="L113" s="28">
        <v>0.25</v>
      </c>
      <c r="M113" s="28">
        <v>0.25</v>
      </c>
      <c r="N113" s="29">
        <f>1-SUM(L113:M113)</f>
        <v>0.5</v>
      </c>
    </row>
    <row r="114" spans="4:14" ht="20.100000000000001" customHeight="1" x14ac:dyDescent="0.25">
      <c r="D114" s="115" t="str">
        <f>"Were solids separated from " &amp; D113 &amp; "?"</f>
        <v>Were solids separated from Drains to paddock?</v>
      </c>
      <c r="E114" s="23" t="s">
        <v>250</v>
      </c>
    </row>
    <row r="115" spans="4:14" ht="20.100000000000001" customHeight="1" x14ac:dyDescent="0.25">
      <c r="D115" s="115" t="str">
        <f>"Percent solids separated from " &amp; D113 &amp; " (Method 1)"</f>
        <v>Percent solids separated from Drains to paddock (Method 1)</v>
      </c>
      <c r="E115" s="29">
        <f>IF(X_Cell_Dairy_Stage1MMS_2_DrainsToPaddock_SolidsSeparated="Yes", 20%, 0)</f>
        <v>0.2</v>
      </c>
    </row>
    <row r="116" spans="4:14" ht="20.100000000000001" customHeight="1" x14ac:dyDescent="0.25">
      <c r="D116" s="115"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4" t="str">
        <f>'Constants - Dairy'!$D$11 &amp; " (before solid separation)"</f>
        <v>Solid storage (before solid separation)</v>
      </c>
      <c r="E118" s="28">
        <v>0.25</v>
      </c>
      <c r="F118" s="28">
        <v>0.25</v>
      </c>
      <c r="G118" s="28">
        <v>0.25</v>
      </c>
      <c r="H118" s="28">
        <v>0.25</v>
      </c>
      <c r="I118" s="28">
        <v>0.25</v>
      </c>
      <c r="J118" s="26" t="s">
        <v>240</v>
      </c>
      <c r="K118" s="26"/>
      <c r="L118" s="28">
        <v>0.25</v>
      </c>
      <c r="M118" s="28">
        <v>0.25</v>
      </c>
      <c r="N118" s="29">
        <f>1-SUM(L118:M118)</f>
        <v>0.5</v>
      </c>
    </row>
    <row r="119" spans="4:14" ht="20.100000000000001" customHeight="1" x14ac:dyDescent="0.25">
      <c r="D119" s="113" t="s">
        <v>251</v>
      </c>
      <c r="E119" s="29">
        <f>E118+(E103*X_Cell_Dairy_Stage1MMS_2_AnaerobicLagoon_AmountSeparated_Method1)+(E108*X_Cell_Dairy_Stage1MMS_2_SumpAndDispersal_AmountSeparated_Method1)+(E113*X_Cell_Dairy_Stage1MMS_2_DrainsToPaddock_AmountSeparated_Method1)</f>
        <v>0.35</v>
      </c>
      <c r="F119" s="29">
        <f>F118+(F103*X_Cell_Dairy_Stage1MMS_2_AnaerobicLagoon_AmountSeparated_Method1)+(F108*X_Cell_Dairy_Stage1MMS_2_SumpAndDispersal_AmountSeparated_Method1)+(F113*X_Cell_Dairy_Stage1MMS_2_DrainsToPaddock_AmountSeparated_Method1)</f>
        <v>0.35</v>
      </c>
      <c r="G119" s="29">
        <f>G118+(G103*X_Cell_Dairy_Stage1MMS_2_AnaerobicLagoon_AmountSeparated_Method1)+(G108*X_Cell_Dairy_Stage1MMS_2_SumpAndDispersal_AmountSeparated_Method1)+(G113*X_Cell_Dairy_Stage1MMS_2_DrainsToPaddock_AmountSeparated_Method1)</f>
        <v>0.35</v>
      </c>
      <c r="H119" s="29">
        <f>H118+(H103*X_Cell_Dairy_Stage1MMS_2_AnaerobicLagoon_AmountSeparated_Method1)+(H108*X_Cell_Dairy_Stage1MMS_2_SumpAndDispersal_AmountSeparated_Method1)+(H113*X_Cell_Dairy_Stage1MMS_2_DrainsToPaddock_AmountSeparated_Method1)</f>
        <v>0.35</v>
      </c>
      <c r="I119" s="29">
        <f>I118+(I103*X_Cell_Dairy_Stage1MMS_2_AnaerobicLagoon_AmountSeparated_Method1)+(I108*X_Cell_Dairy_Stage1MMS_2_SumpAndDispersal_AmountSeparated_Method1)+(I113*X_Cell_Dairy_Stage1MMS_2_DrainsToPaddock_AmountSeparated_Method1)</f>
        <v>0.35</v>
      </c>
      <c r="J119" s="26" t="s">
        <v>240</v>
      </c>
      <c r="K119" s="26"/>
      <c r="L119" s="26"/>
      <c r="M119" s="26"/>
      <c r="N119" s="26"/>
    </row>
    <row r="120" spans="4:14" ht="20.100000000000001" customHeight="1" x14ac:dyDescent="0.25">
      <c r="D120" s="113" t="s">
        <v>252</v>
      </c>
      <c r="E120" s="29">
        <f>E118+(E103*X_Cell_Dairy_Stage1MMS_2_AnaerobicLagoon_AmountSeparated_Method2)+(E108*X_Cell_Dairy_Stage1MMS_2_SumpAndDispersal_AmountSeparated_Method2)+(E113*X_Cell_Dairy_Stage1MMS_2_DrainsToPaddock_AmountSeparated_Method2)</f>
        <v>0.35</v>
      </c>
      <c r="F120" s="29">
        <f>F118+(F103*X_Cell_Dairy_Stage1MMS_2_AnaerobicLagoon_AmountSeparated_Method2)+(F108*X_Cell_Dairy_Stage1MMS_2_SumpAndDispersal_AmountSeparated_Method2)+(F113*X_Cell_Dairy_Stage1MMS_2_DrainsToPaddock_AmountSeparated_Method2)</f>
        <v>0.35</v>
      </c>
      <c r="G120" s="29">
        <f>G118+(G103*X_Cell_Dairy_Stage1MMS_2_AnaerobicLagoon_AmountSeparated_Method2)+(G108*X_Cell_Dairy_Stage1MMS_2_SumpAndDispersal_AmountSeparated_Method2)+(G113*X_Cell_Dairy_Stage1MMS_2_DrainsToPaddock_AmountSeparated_Method2)</f>
        <v>0.35</v>
      </c>
      <c r="H120" s="29">
        <f>H118+(H103*X_Cell_Dairy_Stage1MMS_2_AnaerobicLagoon_AmountSeparated_Method2)+(H108*X_Cell_Dairy_Stage1MMS_2_SumpAndDispersal_AmountSeparated_Method2)+(H113*X_Cell_Dairy_Stage1MMS_2_DrainsToPaddock_AmountSeparated_Method2)</f>
        <v>0.35</v>
      </c>
      <c r="I120" s="29">
        <f>I118+(I103*X_Cell_Dairy_Stage1MMS_2_AnaerobicLagoon_AmountSeparated_Method2)+(I108*X_Cell_Dairy_Stage1MMS_2_SumpAndDispersal_AmountSeparated_Method2)+(I113*X_Cell_Dairy_Stage1MMS_2_DrainsToPaddock_AmountSeparated_Method2)</f>
        <v>0.35</v>
      </c>
      <c r="J120" s="26" t="s">
        <v>240</v>
      </c>
      <c r="K120" s="26"/>
    </row>
    <row r="121" spans="4:14" ht="20.100000000000001" customHeight="1" x14ac:dyDescent="0.25"/>
    <row r="122" spans="4:14" ht="20.100000000000001" customHeight="1" x14ac:dyDescent="0.25"/>
    <row r="123" spans="4:14" ht="20.100000000000001" customHeight="1" x14ac:dyDescent="0.25">
      <c r="D123" s="1" t="s">
        <v>254</v>
      </c>
      <c r="E123" s="23" t="s">
        <v>185</v>
      </c>
      <c r="F123" s="26" t="s">
        <v>106</v>
      </c>
    </row>
    <row r="124" spans="4:14" ht="20.100000000000001" customHeight="1" x14ac:dyDescent="0.25">
      <c r="E124" s="23" t="s">
        <v>255</v>
      </c>
      <c r="F124" s="26" t="s">
        <v>106</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B9042779-5634-4DB8-AEC9-3EB12B50AFD5}">
      <formula1>"Litres of milk, Milk solids"</formula1>
    </dataValidation>
    <dataValidation type="list" allowBlank="1" showInputMessage="1" showErrorMessage="1" sqref="E7" xr:uid="{2C63FA93-965F-4667-BF2E-0D2D13DB3B9B}">
      <formula1>INDIRECT("Table_SourceData_Dairy_WjCowsHeifers[Breed]")</formula1>
    </dataValidation>
    <dataValidation type="list" allowBlank="1" showInputMessage="1" showErrorMessage="1" sqref="E80 E85 E90 E104 E109 E114" xr:uid="{DB2433ED-A8BE-49DE-93D9-D777DB3B4881}">
      <formula1>"Yes, No"</formula1>
    </dataValidation>
    <dataValidation type="list" allowBlank="1" showInputMessage="1" showErrorMessage="1" sqref="E60" xr:uid="{D9C6BABF-B4C0-4BBB-A164-C34F7AE94ED5}">
      <formula1>INDIRECT("Table_SourceData_Dairy_ProductionSystemTemplates[Area]")</formula1>
    </dataValidation>
    <dataValidation type="list" allowBlank="1" showInputMessage="1" showErrorMessage="1" sqref="E124" xr:uid="{03A877F3-0B4B-4D2E-9796-E209F73B23E2}">
      <formula1>INDIRECT("Table_SourceData_Dairy_IrrigationMethods[Irrigation method]")</formula1>
    </dataValidation>
    <dataValidation type="list" allowBlank="1" showInputMessage="1" showErrorMessage="1" sqref="E123" xr:uid="{15CE76CE-1D59-4AE5-8F1F-9333DC480E41}">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A9E6A-605F-4CE8-8A10-2909E61FFFB9}">
  <dimension ref="A1:W178"/>
  <sheetViews>
    <sheetView showGridLines="0" topLeftCell="A3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204</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9"/>
      <c r="D3" s="39"/>
      <c r="E3" s="39"/>
      <c r="F3" s="39"/>
      <c r="G3" s="39"/>
      <c r="H3" s="39"/>
      <c r="I3" s="39"/>
      <c r="J3" s="39"/>
      <c r="K3" s="39"/>
      <c r="L3" s="39"/>
      <c r="M3" s="39"/>
      <c r="N3" s="39"/>
    </row>
    <row r="4" spans="1:23" ht="20.100000000000001" customHeight="1" x14ac:dyDescent="0.25">
      <c r="A4" s="5" t="str">
        <f>HYPERLINK("#'Overview'!A1", "Overview")</f>
        <v>Overview</v>
      </c>
    </row>
    <row r="5" spans="1:23" ht="20.100000000000001" customHeight="1" x14ac:dyDescent="0.25">
      <c r="A5" s="5" t="str">
        <f>HYPERLINK("#'Results'!A1", "Results")</f>
        <v>Results</v>
      </c>
      <c r="D5" s="2" t="s">
        <v>205</v>
      </c>
      <c r="N5" s="35"/>
      <c r="R5" s="32"/>
    </row>
    <row r="6" spans="1:23" ht="20.100000000000001" customHeight="1" x14ac:dyDescent="0.25">
      <c r="N6" s="35"/>
      <c r="R6" s="32"/>
    </row>
    <row r="7" spans="1:23" ht="20.100000000000001" customHeight="1" x14ac:dyDescent="0.25">
      <c r="D7" s="1" t="s">
        <v>206</v>
      </c>
      <c r="E7" s="23" t="s">
        <v>207</v>
      </c>
      <c r="F7" s="26" t="s">
        <v>106</v>
      </c>
      <c r="N7" s="35"/>
      <c r="R7" s="32"/>
    </row>
    <row r="8" spans="1:23" ht="20.100000000000001" customHeight="1" x14ac:dyDescent="0.25">
      <c r="A8" s="7" t="s">
        <v>0</v>
      </c>
      <c r="N8" s="35"/>
      <c r="R8" s="32"/>
    </row>
    <row r="9" spans="1:23" ht="20.100000000000001" customHeight="1" x14ac:dyDescent="0.25">
      <c r="A9" s="5" t="str">
        <f>HYPERLINK("#'Input - Enterprise'!A1", "Enterprise")</f>
        <v>Enterprise</v>
      </c>
      <c r="D9" s="95"/>
      <c r="E9" s="96" t="s">
        <v>208</v>
      </c>
      <c r="F9" s="96" t="s">
        <v>209</v>
      </c>
      <c r="G9" s="96" t="s">
        <v>210</v>
      </c>
      <c r="H9" s="96" t="s">
        <v>211</v>
      </c>
      <c r="I9" s="96" t="s">
        <v>212</v>
      </c>
      <c r="R9" s="32"/>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02 Nov 00</v>
      </c>
      <c r="E10" s="98">
        <v>100</v>
      </c>
      <c r="F10" s="98">
        <v>100</v>
      </c>
      <c r="G10" s="98">
        <v>100</v>
      </c>
      <c r="H10" s="98">
        <v>100</v>
      </c>
      <c r="I10" s="98">
        <v>100</v>
      </c>
      <c r="J10" s="26" t="s">
        <v>213</v>
      </c>
      <c r="K10" s="26"/>
      <c r="L10" s="26"/>
      <c r="M10" s="26"/>
      <c r="R10" s="32"/>
    </row>
    <row r="11" spans="1:23" ht="20.100000000000001" customHeight="1" x14ac:dyDescent="0.25">
      <c r="A11" s="5" t="str">
        <f>HYPERLINK("#'Input - Dairy'!A1", "Dairy")</f>
        <v>Dairy</v>
      </c>
      <c r="R11" s="32"/>
    </row>
    <row r="12" spans="1:23" ht="20.100000000000001" customHeight="1" x14ac:dyDescent="0.25">
      <c r="A12" s="97" t="str">
        <f>HYPERLINK("#'Input - Dairy (Enteric)'!A1", "Dairy (Enteric)")</f>
        <v>Dairy (Enteric)</v>
      </c>
      <c r="D12" s="91" t="s">
        <v>214</v>
      </c>
      <c r="R12" s="32"/>
    </row>
    <row r="13" spans="1:23" ht="20.100000000000001" customHeight="1" x14ac:dyDescent="0.25">
      <c r="A13" s="5" t="str">
        <f>HYPERLINK("#'Input - Livestock sales'!A1", "Livestock sales")</f>
        <v>Livestock sales</v>
      </c>
      <c r="D13" s="95" t="s">
        <v>215</v>
      </c>
      <c r="E13" s="96" t="s">
        <v>208</v>
      </c>
      <c r="F13" s="96" t="s">
        <v>209</v>
      </c>
      <c r="G13" s="96" t="s">
        <v>210</v>
      </c>
      <c r="H13" s="96" t="s">
        <v>211</v>
      </c>
      <c r="I13" s="96" t="s">
        <v>212</v>
      </c>
      <c r="R13" s="52"/>
    </row>
    <row r="14" spans="1:23"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R14" s="52"/>
    </row>
    <row r="15" spans="1:23"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R15" s="52"/>
    </row>
    <row r="16" spans="1:23" ht="20.100000000000001" customHeight="1" x14ac:dyDescent="0.25">
      <c r="A16" s="5" t="str">
        <f>HYPERLINK("#'Input - Fert Prod System'!A1", "Fert Prod System")</f>
        <v>Fert Prod System</v>
      </c>
      <c r="R16" s="52"/>
    </row>
    <row r="17" spans="1:18" ht="20.100000000000001" customHeight="1" x14ac:dyDescent="0.25">
      <c r="A17" s="5" t="str">
        <f>HYPERLINK("#'Input - Fertiliser'!A1", "Fertiliser")</f>
        <v>Fertiliser</v>
      </c>
      <c r="D17" s="95" t="s">
        <v>220</v>
      </c>
      <c r="E17" s="96" t="s">
        <v>208</v>
      </c>
      <c r="F17" s="96" t="s">
        <v>209</v>
      </c>
      <c r="G17" s="96" t="s">
        <v>210</v>
      </c>
      <c r="H17" s="96" t="s">
        <v>211</v>
      </c>
      <c r="I17" s="96" t="s">
        <v>212</v>
      </c>
      <c r="R17" s="32"/>
    </row>
    <row r="18" spans="1:18"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R18" s="32"/>
    </row>
    <row r="19" spans="1:18"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R19" s="32"/>
    </row>
    <row r="20" spans="1:18" ht="20.100000000000001" customHeight="1" x14ac:dyDescent="0.25">
      <c r="A20" s="5" t="str">
        <f>HYPERLINK("#'Input - Farm Inputs'!A1", "Farm Inputs")</f>
        <v>Farm Inputs</v>
      </c>
      <c r="R20" s="32"/>
    </row>
    <row r="21" spans="1:18" ht="20.100000000000001" customHeight="1" x14ac:dyDescent="0.25">
      <c r="A21" s="5" t="str">
        <f>HYPERLINK("#'Input - Freight'!A1", "Freight")</f>
        <v>Freight</v>
      </c>
      <c r="D21" s="91" t="s">
        <v>221</v>
      </c>
      <c r="R21" s="32"/>
    </row>
    <row r="22" spans="1:18" ht="20.100000000000001" customHeight="1" x14ac:dyDescent="0.25">
      <c r="A22" s="5" t="str">
        <f>HYPERLINK("#'Input - Manure sent off-site'!A1", "Manure sent off-site")</f>
        <v>Manure sent off-site</v>
      </c>
      <c r="R22" s="32"/>
    </row>
    <row r="23" spans="1:18" ht="20.100000000000001" customHeight="1" x14ac:dyDescent="0.25">
      <c r="A23" s="5" t="str">
        <f>HYPERLINK("#'Input - Solid waste'!A1", "Solid waste")</f>
        <v>Solid waste</v>
      </c>
      <c r="D23" s="95" t="s">
        <v>215</v>
      </c>
      <c r="E23" s="96" t="s">
        <v>208</v>
      </c>
      <c r="F23" s="96" t="s">
        <v>209</v>
      </c>
      <c r="G23" s="96" t="s">
        <v>210</v>
      </c>
      <c r="H23" s="96" t="s">
        <v>211</v>
      </c>
      <c r="I23" s="96" t="s">
        <v>212</v>
      </c>
      <c r="R23" s="32"/>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R24" s="32"/>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R25" s="32"/>
    </row>
    <row r="26" spans="1:18" ht="20.100000000000001" customHeight="1" x14ac:dyDescent="0.25">
      <c r="A26" s="6" t="s">
        <v>2</v>
      </c>
      <c r="R26" s="32"/>
    </row>
    <row r="27" spans="1:18"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R27" s="32"/>
    </row>
    <row r="28" spans="1:18"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R28" s="32"/>
    </row>
    <row r="29" spans="1:18"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02 Nov 00 pre-weaned livestock</v>
      </c>
      <c r="E29" s="25">
        <f>365-E28</f>
        <v>0</v>
      </c>
      <c r="F29" s="25">
        <f t="shared" ref="F29:I29" si="0">365-F28</f>
        <v>0</v>
      </c>
      <c r="G29" s="25">
        <f t="shared" si="0"/>
        <v>84</v>
      </c>
      <c r="H29" s="25">
        <f t="shared" si="0"/>
        <v>0</v>
      </c>
      <c r="I29" s="25">
        <f t="shared" si="0"/>
        <v>84</v>
      </c>
      <c r="J29" s="26" t="s">
        <v>118</v>
      </c>
      <c r="K29" s="26"/>
      <c r="L29" s="26"/>
      <c r="M29" s="26"/>
      <c r="R29" s="32"/>
    </row>
    <row r="30" spans="1:18" ht="20.100000000000001" customHeight="1" x14ac:dyDescent="0.25">
      <c r="A30" s="5" t="str">
        <f>HYPERLINK("#'5.3.1.1-2 Lime CO2'!A1", "5.3.1.1-2 Lime CO2")</f>
        <v>5.3.1.1-2 Lime CO2</v>
      </c>
      <c r="R30" s="32"/>
    </row>
    <row r="31" spans="1:18" ht="20.100000000000001" customHeight="1" x14ac:dyDescent="0.25">
      <c r="A31" s="5" t="str">
        <f>HYPERLINK("#'5.4.1.1-4 Atmos deposition'!A1", "5.4.1.1-4 Atmos. deposition")</f>
        <v>5.4.1.1-4 Atmos. deposition</v>
      </c>
      <c r="R31" s="32"/>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2"/>
    </row>
    <row r="33" spans="1:18" ht="20.100000000000001" customHeight="1" x14ac:dyDescent="0.25">
      <c r="A33" s="5" t="str">
        <f>HYPERLINK("#'6.2.1.1-2 Pasture residue N2O'!A1", "6.2.1.1-2 Pasture residue N2O")</f>
        <v>6.2.1.1-2 Pasture residue N2O</v>
      </c>
      <c r="D33" s="2" t="s">
        <v>222</v>
      </c>
      <c r="R33" s="32"/>
    </row>
    <row r="34" spans="1:18" ht="20.100000000000001" customHeight="1" x14ac:dyDescent="0.25">
      <c r="A34" s="5" t="str">
        <f>HYPERLINK("#'6.3.1.1-2 Leach runoff pasture'!A1", "6.3.1.1-2 Leach &amp; runoff (pasture)")</f>
        <v>6.3.1.1-2 Leach &amp; runoff (pasture)</v>
      </c>
      <c r="D34" s="91"/>
      <c r="R34" s="32"/>
    </row>
    <row r="35" spans="1:18"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R35" s="32"/>
    </row>
    <row r="36" spans="1:18"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R36" s="32"/>
    </row>
    <row r="37" spans="1:18"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K37" s="26"/>
      <c r="L37" s="26"/>
      <c r="M37" s="26"/>
      <c r="R37" s="32"/>
    </row>
    <row r="38" spans="1:18" ht="20.100000000000001" customHeight="1" x14ac:dyDescent="0.25">
      <c r="A38" s="5" t="str">
        <f>HYPERLINK("#'15 Scope 3'!A1", "15 Scope 3")</f>
        <v>15 Scope 3</v>
      </c>
      <c r="K38" s="26"/>
      <c r="L38" s="26"/>
      <c r="M38" s="26"/>
      <c r="R38" s="32"/>
    </row>
    <row r="39" spans="1:18"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R39" s="32"/>
    </row>
    <row r="40" spans="1:18"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R40" s="32"/>
    </row>
    <row r="41" spans="1:18"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K41" s="26"/>
      <c r="L41" s="26"/>
      <c r="M41" s="26"/>
      <c r="R41" s="32"/>
    </row>
    <row r="42" spans="1:18" ht="20.100000000000001" customHeight="1" x14ac:dyDescent="0.25">
      <c r="A42" s="5" t="str">
        <f>HYPERLINK("#'4.3.1.5 Atmos deposition'!A1", "4.3.1.5 Atmos deposition")</f>
        <v>4.3.1.5 Atmos deposition</v>
      </c>
      <c r="K42" s="26"/>
      <c r="L42" s="26"/>
      <c r="M42" s="26"/>
      <c r="R42" s="32"/>
    </row>
    <row r="43" spans="1:18" ht="20.100000000000001" customHeight="1" x14ac:dyDescent="0.25">
      <c r="A43" s="5" t="str">
        <f>HYPERLINK("#'4.3.1.6-7 Leaching and runoff'!A1", "4.3.1.6-7 Leaching and runoff")</f>
        <v>4.3.1.6-7 Leaching and runoff</v>
      </c>
      <c r="R43" s="32"/>
    </row>
    <row r="44" spans="1:18"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R44" s="32"/>
    </row>
    <row r="45" spans="1:18" ht="20.100000000000001" customHeight="1" x14ac:dyDescent="0.25">
      <c r="A45" s="5" t="str">
        <f>HYPERLINK("#'4.3.1.9 Soil direct N2O'!A1", "4.3.1.9 Soil direct N2O")</f>
        <v>4.3.1.9 Soil direct N2O</v>
      </c>
      <c r="D45" s="2" t="s">
        <v>226</v>
      </c>
      <c r="E45" s="35"/>
      <c r="F45" s="35"/>
      <c r="G45" s="35"/>
      <c r="H45" s="35"/>
      <c r="I45" s="35"/>
      <c r="J45" s="35"/>
      <c r="K45" s="35"/>
      <c r="L45" s="35"/>
      <c r="M45" s="35"/>
      <c r="R45" s="32"/>
    </row>
    <row r="46" spans="1:18" ht="20.100000000000001" customHeight="1" x14ac:dyDescent="0.25">
      <c r="A46" s="5" t="str">
        <f>HYPERLINK("#'4.3.1.10-11 Soil Atmos Dep'!A1", "4.3.1.10-11 Soil Atmos Dep")</f>
        <v>4.3.1.10-11 Soil Atmos Dep</v>
      </c>
      <c r="G46" s="2"/>
      <c r="H46" s="2"/>
      <c r="I46" s="2"/>
      <c r="J46" s="101"/>
      <c r="K46" s="101"/>
      <c r="L46" s="101"/>
      <c r="M46" s="101"/>
      <c r="R46" s="32"/>
    </row>
    <row r="47" spans="1:18" ht="20.100000000000001" customHeight="1" x14ac:dyDescent="0.25">
      <c r="A47" s="5" t="str">
        <f>HYPERLINK("#'4.3.1.12-13 Soil leach runoff'!A1", "4.3.1.12-13 Soil leach runoff")</f>
        <v>4.3.1.12-13 Soil leach runoff</v>
      </c>
      <c r="D47" s="1" t="s">
        <v>228</v>
      </c>
      <c r="E47" s="23" t="s">
        <v>229</v>
      </c>
      <c r="F47" s="26" t="s">
        <v>106</v>
      </c>
      <c r="H47" s="35"/>
      <c r="I47" s="35"/>
      <c r="J47" s="35"/>
      <c r="K47" s="35"/>
      <c r="L47" s="35"/>
      <c r="M47" s="35"/>
      <c r="R47" s="32"/>
    </row>
    <row r="48" spans="1:18" ht="20.100000000000001" customHeight="1" x14ac:dyDescent="0.25">
      <c r="A48" s="5" t="str">
        <f>HYPERLINK("#'3.3.1.1-2 Enteric Methane'!A1", "3.3.1.1-2 Enteric Methane")</f>
        <v>3.3.1.1-2 Enteric Methane</v>
      </c>
      <c r="R48" s="32"/>
    </row>
    <row r="49" spans="1:18" ht="20.100000000000001" customHeight="1" x14ac:dyDescent="0.25">
      <c r="A49" s="5" t="str">
        <f>HYPERLINK("#'10.1.1-2 Solid waste treatment'!A1", "10.1.1-2 Solid waste treatment")</f>
        <v>10.1.1-2 Solid waste treatment</v>
      </c>
      <c r="E49" s="96" t="s">
        <v>208</v>
      </c>
      <c r="R49" s="32"/>
    </row>
    <row r="50" spans="1:18" ht="20.100000000000001" customHeight="1" x14ac:dyDescent="0.25">
      <c r="D50" s="1" t="s">
        <v>230</v>
      </c>
      <c r="E50" s="86">
        <v>20</v>
      </c>
      <c r="F50" s="26" t="str">
        <f>IF(X_Cell_Dairy_MilkProductionUnit="Litres of milk", "litres/head/day", "kg milk solids/head/day")</f>
        <v>litres/head/day</v>
      </c>
      <c r="R50" s="32"/>
    </row>
    <row r="51" spans="1:18" ht="20.100000000000001" customHeight="1" x14ac:dyDescent="0.25">
      <c r="E51" s="2"/>
      <c r="F51" s="2"/>
      <c r="R51" s="32"/>
    </row>
    <row r="52" spans="1:18" ht="20.100000000000001" customHeight="1" x14ac:dyDescent="0.25">
      <c r="A52" s="99" t="s">
        <v>1</v>
      </c>
      <c r="D52" s="88" t="s">
        <v>231</v>
      </c>
      <c r="E52" s="96" t="s">
        <v>232</v>
      </c>
      <c r="F52" s="96" t="s">
        <v>233</v>
      </c>
      <c r="R52" s="32"/>
    </row>
    <row r="53" spans="1:18" ht="20.100000000000001" customHeight="1" x14ac:dyDescent="0.25">
      <c r="A53" s="5" t="str">
        <f>HYPERLINK("#'Constants - Dairy'!A1", "Constants - Dairy")</f>
        <v>Constants - Dairy</v>
      </c>
      <c r="D53" s="1" t="s">
        <v>234</v>
      </c>
      <c r="E53" s="102">
        <f>SourceData_Dairy_FatContentInMilk_Data/100</f>
        <v>2.0999999999999999E-3</v>
      </c>
      <c r="F53" s="103">
        <f>SourceData_Dairy_FatContentInMilk_Data/100</f>
        <v>2.0999999999999999E-3</v>
      </c>
      <c r="G53" s="26" t="s">
        <v>167</v>
      </c>
      <c r="R53" s="32"/>
    </row>
    <row r="54" spans="1:18" ht="20.100000000000001" customHeight="1" x14ac:dyDescent="0.25">
      <c r="A54" s="5" t="str">
        <f>HYPERLINK("#'Constants - Ag Residue'!A1", "Constants - Ag residue")</f>
        <v>Constants - Ag residue</v>
      </c>
      <c r="D54" s="1" t="s">
        <v>235</v>
      </c>
      <c r="E54" s="102">
        <f>SourceData_Dairy_ProteinContentInMilk_Data/100</f>
        <v>0.04</v>
      </c>
      <c r="F54" s="103">
        <f>SourceData_Dairy_ProteinContentInMilk_Data/100</f>
        <v>0.04</v>
      </c>
      <c r="G54" s="26" t="s">
        <v>167</v>
      </c>
      <c r="R54" s="32"/>
    </row>
    <row r="55" spans="1:18" ht="20.100000000000001" customHeight="1" x14ac:dyDescent="0.25">
      <c r="A55" s="5" t="str">
        <f>HYPERLINK("#'Constants - Common Livestock'!A1", "Constants - Common Livestock")</f>
        <v>Constants - Common Livestock</v>
      </c>
      <c r="R55" s="32"/>
    </row>
    <row r="56" spans="1:18" ht="20.100000000000001" customHeight="1" x14ac:dyDescent="0.25">
      <c r="A56" s="5" t="str">
        <f>HYPERLINK("#'Constants - Electricity'!A1", "Constants - Electricity")</f>
        <v>Constants - Electricity</v>
      </c>
      <c r="R56" s="32"/>
    </row>
    <row r="57" spans="1:18" ht="20.100000000000001" customHeight="1" x14ac:dyDescent="0.25">
      <c r="A57" s="5" t="str">
        <f>HYPERLINK("#'Constants - Fertiliser'!A1", "Constants - Fertiliser")</f>
        <v>Constants - Fertiliser</v>
      </c>
      <c r="R57" s="32"/>
    </row>
    <row r="58" spans="1:18" ht="20.100000000000001" customHeight="1" x14ac:dyDescent="0.25">
      <c r="A58" s="5" t="str">
        <f>HYPERLINK("#'Constants - Fuel'!A1", "Constants - Fuel")</f>
        <v>Constants - Fuel</v>
      </c>
      <c r="R58" s="32"/>
    </row>
    <row r="59" spans="1:18" ht="20.100000000000001" customHeight="1" x14ac:dyDescent="0.25">
      <c r="A59" s="5" t="str">
        <f>HYPERLINK("#'Constants - Scope 3'!A1", "Constants - Scope 3")</f>
        <v>Constants - Scope 3</v>
      </c>
      <c r="R59" s="32"/>
    </row>
    <row r="60" spans="1:18" ht="20.100000000000001" customHeight="1" x14ac:dyDescent="0.25">
      <c r="A60" s="5" t="str">
        <f>HYPERLINK("#'Constants - Common'!A1", "Constants - Common")</f>
        <v>Constants - Common</v>
      </c>
      <c r="R60" s="32"/>
    </row>
    <row r="61" spans="1:18" ht="20.100000000000001" customHeight="1" x14ac:dyDescent="0.25">
      <c r="A61" s="5" t="str">
        <f>HYPERLINK("#'Acknowledgements'!A1", "Acknowledgements")</f>
        <v>Acknowledgements</v>
      </c>
      <c r="R61" s="32"/>
    </row>
    <row r="62" spans="1:18" ht="20.100000000000001" customHeight="1" x14ac:dyDescent="0.25">
      <c r="A62" s="5" t="str">
        <f>HYPERLINK("#'Constants - Solid Waste'!A1", "Constants - Solid Waste")</f>
        <v>Constants - Solid Waste</v>
      </c>
      <c r="R62" s="32"/>
    </row>
    <row r="63" spans="1:18" ht="20.100000000000001" customHeight="1" x14ac:dyDescent="0.25">
      <c r="R63" s="32"/>
    </row>
    <row r="64" spans="1:18" ht="20.100000000000001" customHeight="1" x14ac:dyDescent="0.25">
      <c r="R64" s="32"/>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2"/>
    </row>
    <row r="81" spans="18:18" ht="20.100000000000001" customHeight="1" x14ac:dyDescent="0.25">
      <c r="R81" s="32"/>
    </row>
    <row r="82" spans="18:18" ht="20.100000000000001" customHeight="1" x14ac:dyDescent="0.25">
      <c r="R82" s="32"/>
    </row>
    <row r="83" spans="18:18" ht="20.100000000000001" customHeight="1" x14ac:dyDescent="0.25">
      <c r="R83" s="32"/>
    </row>
    <row r="84" spans="18:18" ht="20.100000000000001" customHeight="1" x14ac:dyDescent="0.25">
      <c r="R84" s="32"/>
    </row>
    <row r="85" spans="18:18" ht="20.100000000000001" customHeight="1" x14ac:dyDescent="0.25">
      <c r="R85" s="32"/>
    </row>
    <row r="86" spans="18:18" ht="20.100000000000001" customHeight="1" x14ac:dyDescent="0.25">
      <c r="R86" s="32"/>
    </row>
    <row r="87" spans="18:18" ht="20.100000000000001" customHeight="1" x14ac:dyDescent="0.25">
      <c r="R87" s="32"/>
    </row>
    <row r="88" spans="18:18" ht="20.100000000000001" customHeight="1" x14ac:dyDescent="0.25">
      <c r="R88" s="32"/>
    </row>
    <row r="89" spans="18:18" ht="20.100000000000001" customHeight="1" x14ac:dyDescent="0.25">
      <c r="R89" s="32"/>
    </row>
    <row r="90" spans="18:18" ht="20.100000000000001" customHeight="1" x14ac:dyDescent="0.25">
      <c r="R90" s="32"/>
    </row>
    <row r="91" spans="18:18" ht="20.100000000000001" customHeight="1" x14ac:dyDescent="0.25">
      <c r="R91" s="32"/>
    </row>
    <row r="92" spans="18:18" ht="20.100000000000001" customHeight="1" x14ac:dyDescent="0.25">
      <c r="R92" s="32"/>
    </row>
    <row r="93" spans="18:18" ht="20.100000000000001" customHeight="1" x14ac:dyDescent="0.25">
      <c r="R93" s="32"/>
    </row>
    <row r="94" spans="18:18" ht="20.100000000000001" customHeight="1" x14ac:dyDescent="0.25">
      <c r="R94" s="32"/>
    </row>
    <row r="95" spans="18:18" ht="20.100000000000001" customHeight="1" x14ac:dyDescent="0.25">
      <c r="R95" s="32"/>
    </row>
    <row r="96" spans="18:18" ht="20.100000000000001" customHeight="1" x14ac:dyDescent="0.25">
      <c r="R96" s="32"/>
    </row>
    <row r="97" spans="18:18" ht="20.100000000000001" customHeight="1" x14ac:dyDescent="0.25">
      <c r="R97" s="32"/>
    </row>
    <row r="98" spans="18:18" ht="20.100000000000001" customHeight="1" x14ac:dyDescent="0.25">
      <c r="R98" s="32"/>
    </row>
    <row r="99" spans="18:18" ht="20.100000000000001" customHeight="1" x14ac:dyDescent="0.25">
      <c r="R99" s="32"/>
    </row>
    <row r="100" spans="18:18" ht="20.100000000000001" customHeight="1" x14ac:dyDescent="0.25">
      <c r="R100" s="32"/>
    </row>
    <row r="101" spans="18:18" ht="20.100000000000001" customHeight="1" x14ac:dyDescent="0.25">
      <c r="R101" s="32"/>
    </row>
    <row r="102" spans="18:18" ht="20.100000000000001" customHeight="1" x14ac:dyDescent="0.25">
      <c r="R102" s="32"/>
    </row>
    <row r="103" spans="18:18" ht="20.100000000000001" customHeight="1" x14ac:dyDescent="0.25">
      <c r="R103" s="32"/>
    </row>
    <row r="104" spans="18:18" ht="20.100000000000001" customHeight="1" x14ac:dyDescent="0.25">
      <c r="R104" s="32"/>
    </row>
    <row r="105" spans="18:18" ht="20.100000000000001" customHeight="1" x14ac:dyDescent="0.25">
      <c r="R105" s="32"/>
    </row>
    <row r="106" spans="18:18" ht="20.100000000000001" customHeight="1" x14ac:dyDescent="0.25">
      <c r="R106" s="32"/>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C3E8036D-05C5-4DAA-9C86-A8A29DFE0F35}">
      <formula1>"Litres of milk, Milk solids"</formula1>
    </dataValidation>
    <dataValidation type="list" allowBlank="1" showInputMessage="1" showErrorMessage="1" sqref="E7" xr:uid="{373268CD-C60D-452B-9433-94EE30A80BA4}">
      <formula1>INDIRECT("Table_SourceData_Dairy_WjCowsHeifers[Breed]")</formula1>
    </dataValidation>
    <dataValidation type="list" allowBlank="1" showInputMessage="1" showErrorMessage="1" sqref="E79:E81 E95:E97" xr:uid="{8DA83A18-762C-419E-8808-51D8E9516D45}">
      <formula1>"Yes, No"</formula1>
    </dataValidation>
    <dataValidation type="list" allowBlank="1" showInputMessage="1" showErrorMessage="1" sqref="E60" xr:uid="{6FB222AD-9852-405E-BB6D-AC39997B47A0}">
      <formula1>INDIRECT("Table_SourceData_Dairy_ProductionSystemTemplates[Area]")</formula1>
    </dataValidation>
    <dataValidation type="list" allowBlank="1" showInputMessage="1" showErrorMessage="1" sqref="E110" xr:uid="{5EB29E93-E55B-45C7-A0CB-1051D21B4FBB}">
      <formula1>INDIRECT("Table_SourceData_Dairy_IrrigationMethods[Irrigation method]")</formula1>
    </dataValidation>
    <dataValidation type="list" allowBlank="1" showInputMessage="1" showErrorMessage="1" sqref="E109" xr:uid="{402EFAFD-B478-4167-81C4-1A236891F08E}">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196</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197</v>
      </c>
    </row>
    <row r="6" spans="1:13" x14ac:dyDescent="0.25">
      <c r="D6" s="30" t="s">
        <v>198</v>
      </c>
      <c r="E6" s="30" t="s">
        <v>199</v>
      </c>
      <c r="F6" s="30" t="s">
        <v>200</v>
      </c>
      <c r="G6" s="30" t="s">
        <v>201</v>
      </c>
      <c r="H6" s="30" t="s">
        <v>202</v>
      </c>
      <c r="I6" s="30" t="s">
        <v>203</v>
      </c>
    </row>
    <row r="7" spans="1:13" x14ac:dyDescent="0.25">
      <c r="D7" s="44"/>
      <c r="E7" s="23"/>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Dairy'!A1", "Dairy")</f>
        <v>Dairy</v>
      </c>
      <c r="D11" s="44"/>
      <c r="E11" s="23"/>
      <c r="F11" s="93"/>
      <c r="G11" s="30"/>
      <c r="H11" s="30"/>
      <c r="I11" s="25">
        <f t="shared" si="0"/>
        <v>0</v>
      </c>
    </row>
    <row r="12" spans="1:13" x14ac:dyDescent="0.25">
      <c r="A12" s="5" t="str">
        <f>HYPERLINK("#'Input - Dairy (Enteric)'!A1", "Dairy (Enteric)")</f>
        <v>Dairy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Dairy cattle purchases'!A1", "Dairy cattle purchases")</f>
        <v>Dairy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AD8A9-3ADB-44EE-9403-5186CB1086BD}">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9" width="35" style="1" customWidth="1"/>
    <col min="10" max="10" width="5.28515625" style="1" customWidth="1"/>
    <col min="11" max="16384" width="9.140625" style="258"/>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18.75" x14ac:dyDescent="0.25">
      <c r="A5" s="5" t="str">
        <f>HYPERLINK("#'Results'!A1", "Results")</f>
        <v>Results</v>
      </c>
      <c r="D5" s="259" t="s">
        <v>1001</v>
      </c>
      <c r="E5" s="260"/>
      <c r="F5" s="260"/>
      <c r="G5" s="260"/>
      <c r="H5" s="260"/>
      <c r="I5" s="260"/>
    </row>
    <row r="6" spans="1:10" x14ac:dyDescent="0.25">
      <c r="A6"/>
      <c r="D6" s="261" t="s">
        <v>198</v>
      </c>
      <c r="E6" s="261" t="s">
        <v>199</v>
      </c>
      <c r="F6" s="261" t="s">
        <v>1002</v>
      </c>
      <c r="G6" s="261" t="s">
        <v>1003</v>
      </c>
      <c r="H6" s="261" t="s">
        <v>1004</v>
      </c>
      <c r="I6" s="261" t="s">
        <v>1005</v>
      </c>
    </row>
    <row r="7" spans="1:10" x14ac:dyDescent="0.25">
      <c r="A7"/>
      <c r="D7" s="44" t="s">
        <v>1006</v>
      </c>
      <c r="E7" s="23" t="s">
        <v>502</v>
      </c>
      <c r="F7" s="23" t="s">
        <v>1007</v>
      </c>
      <c r="G7" s="86">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6">
        <v>350</v>
      </c>
    </row>
    <row r="8" spans="1:10" x14ac:dyDescent="0.25">
      <c r="A8" s="7" t="s">
        <v>0</v>
      </c>
      <c r="D8" s="44"/>
      <c r="E8" s="210" t="s">
        <v>208</v>
      </c>
      <c r="F8" s="23" t="s">
        <v>1008</v>
      </c>
      <c r="G8" s="86">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6">
        <v>625</v>
      </c>
    </row>
    <row r="9" spans="1:10" x14ac:dyDescent="0.25">
      <c r="A9" s="5" t="str">
        <f>HYPERLINK("#'Input - Enterprise'!A1", "Enterprise")</f>
        <v>Enterprise</v>
      </c>
      <c r="D9" s="44"/>
      <c r="E9" s="210" t="s">
        <v>501</v>
      </c>
      <c r="F9" s="23" t="s">
        <v>1007</v>
      </c>
      <c r="G9" s="86"/>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6"/>
    </row>
    <row r="10" spans="1:10" x14ac:dyDescent="0.25">
      <c r="A10" s="5" t="str">
        <f>HYPERLINK("#'Input - Site'!A1", "Site")</f>
        <v>Site</v>
      </c>
      <c r="D10" s="44"/>
      <c r="E10" s="210"/>
      <c r="F10" s="23"/>
      <c r="G10" s="86"/>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6"/>
    </row>
    <row r="11" spans="1:10" x14ac:dyDescent="0.25">
      <c r="A11" s="5" t="str">
        <f>HYPERLINK("#'Input - Dairy'!A1", "Dairy")</f>
        <v>Dairy</v>
      </c>
      <c r="D11" s="44"/>
      <c r="E11" s="210"/>
      <c r="F11" s="23"/>
      <c r="G11" s="86"/>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6"/>
    </row>
    <row r="12" spans="1:10" x14ac:dyDescent="0.25">
      <c r="A12" s="5" t="str">
        <f>HYPERLINK("#'Input - Dairy (Enteric)'!A1", "Dairy (Enteric)")</f>
        <v>Dairy (Enteric)</v>
      </c>
      <c r="D12" s="44"/>
      <c r="E12" s="210"/>
      <c r="F12" s="23"/>
      <c r="G12" s="86"/>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6"/>
    </row>
    <row r="13" spans="1:10" x14ac:dyDescent="0.25">
      <c r="A13" s="5" t="str">
        <f>HYPERLINK("#'Input - Livestock sales'!A1", "Livestock sales")</f>
        <v>Livestock sales</v>
      </c>
      <c r="D13" s="44"/>
      <c r="E13" s="210"/>
      <c r="F13" s="23"/>
      <c r="G13" s="86"/>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6"/>
    </row>
    <row r="14" spans="1:10" x14ac:dyDescent="0.25">
      <c r="A14" s="97" t="str">
        <f>HYPERLINK("#'Input - Dairy cattle purchases'!A1", "Dairy cattle purchases")</f>
        <v>Dairy cattle purchases</v>
      </c>
      <c r="D14" s="44"/>
      <c r="E14" s="210"/>
      <c r="F14" s="23"/>
      <c r="G14" s="86"/>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6"/>
    </row>
    <row r="15" spans="1:10" x14ac:dyDescent="0.25">
      <c r="A15" s="5" t="str">
        <f>HYPERLINK("#'Input - Pasture'!A1", "Pasture")</f>
        <v>Pasture</v>
      </c>
      <c r="D15" s="44"/>
      <c r="E15" s="210"/>
      <c r="F15" s="23"/>
      <c r="G15" s="86"/>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6"/>
    </row>
    <row r="16" spans="1:10" x14ac:dyDescent="0.25">
      <c r="A16" s="5" t="str">
        <f>HYPERLINK("#'Input - Fert Prod System'!A1", "Fert Prod System")</f>
        <v>Fert Prod System</v>
      </c>
      <c r="D16" s="44"/>
      <c r="E16" s="210"/>
      <c r="F16" s="23"/>
      <c r="G16" s="86"/>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6"/>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41633AE3-71DF-46C8-A9F0-E0219CEC190B}">
      <formula1>INDIRECT("Table_SourceData_Dairy_WjCowsHeifers[[#Headers],[Milking cows]:[Heifers &lt; 1 (weaned)]]")</formula1>
    </dataValidation>
    <dataValidation type="list" allowBlank="1" showInputMessage="1" showErrorMessage="1" sqref="F7:F16" xr:uid="{C99529A5-43D7-42AD-ABA6-C3D55FE12E80}">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88E5-D5C6-4083-AF28-C5FFC94E247B}">
  <dimension ref="A1:G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940</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523</v>
      </c>
    </row>
    <row r="6" spans="1:7" ht="20.100000000000001" customHeight="1" x14ac:dyDescent="0.25"/>
    <row r="7" spans="1:7" ht="20.100000000000001" customHeight="1" x14ac:dyDescent="0.25">
      <c r="D7" s="80" t="s">
        <v>941</v>
      </c>
      <c r="E7" s="80"/>
      <c r="F7" s="80"/>
    </row>
    <row r="8" spans="1:7" ht="20.100000000000001" customHeight="1" x14ac:dyDescent="0.25">
      <c r="A8" s="7" t="s">
        <v>0</v>
      </c>
    </row>
    <row r="9" spans="1:7" ht="20.100000000000001" customHeight="1" x14ac:dyDescent="0.25">
      <c r="A9" s="5" t="str">
        <f>HYPERLINK("#'Input - Enterprise'!A1", "Enterprise")</f>
        <v>Enterprise</v>
      </c>
      <c r="D9" s="1" t="s">
        <v>942</v>
      </c>
      <c r="E9" s="23" t="s">
        <v>943</v>
      </c>
      <c r="F9" s="26" t="s">
        <v>944</v>
      </c>
    </row>
    <row r="10" spans="1:7" ht="20.100000000000001" customHeight="1" x14ac:dyDescent="0.25">
      <c r="A10" s="5" t="str">
        <f>HYPERLINK("#'Input - Site'!A1", "Site")</f>
        <v>Site</v>
      </c>
      <c r="D10" s="1" t="s">
        <v>69</v>
      </c>
      <c r="E10" s="23" t="s">
        <v>499</v>
      </c>
      <c r="F10" s="26" t="s">
        <v>944</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945</v>
      </c>
      <c r="E12" s="86">
        <v>1000</v>
      </c>
      <c r="F12" s="26" t="s">
        <v>946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947</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2" t="s">
        <v>948</v>
      </c>
      <c r="E16" s="54"/>
      <c r="F16" s="55"/>
    </row>
    <row r="17" spans="1:6" ht="20.100000000000001" customHeight="1" x14ac:dyDescent="0.25">
      <c r="A17" s="5" t="str">
        <f>HYPERLINK("#'Input - Fertiliser'!A1", "Fertiliser")</f>
        <v>Fertiliser</v>
      </c>
      <c r="D17" s="56" t="s">
        <v>949</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950</v>
      </c>
      <c r="E19" s="86">
        <f>_xlfn.XLOOKUP(X_Cell_Pasture_PastureType, Table_SourceData_PastureAttributes[Pasture type],Table_SourceData_PastureAttributes[Average Yield (t DM ha) Yp])</f>
        <v>8.34</v>
      </c>
      <c r="F19" s="26" t="s">
        <v>951</v>
      </c>
    </row>
    <row r="20" spans="1:6" ht="20.100000000000001" customHeight="1" x14ac:dyDescent="0.25">
      <c r="A20" s="5" t="str">
        <f>HYPERLINK("#'Input - Farm Inputs'!A1", "Farm Inputs")</f>
        <v>Farm Inputs</v>
      </c>
      <c r="D20" s="1" t="s">
        <v>952</v>
      </c>
      <c r="E20" s="25">
        <f>X_Cell_Pasture_AreaUnderPasture*X_Cell_Pasture_YieldPerHectare</f>
        <v>8340</v>
      </c>
      <c r="F20" s="26" t="s">
        <v>953</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954</v>
      </c>
    </row>
    <row r="24" spans="1:6" ht="20.100000000000001" customHeight="1" x14ac:dyDescent="0.25"/>
    <row r="25" spans="1:6" ht="20.100000000000001" customHeight="1" x14ac:dyDescent="0.25">
      <c r="D25" s="1" t="s">
        <v>955</v>
      </c>
      <c r="E25" s="86">
        <v>500</v>
      </c>
      <c r="F25" s="26" t="s">
        <v>946</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E90869B-4771-4FFC-93E6-7603F256F8D0}">
      <formula1>INDIRECT("Table_SourceData_Fertiliser_IrrigationMethods[Irrigation method]")</formula1>
    </dataValidation>
    <dataValidation type="list" allowBlank="1" showInputMessage="1" showErrorMessage="1" sqref="E9" xr:uid="{9F8FAE09-3285-4B33-AD89-8F2BA5899849}">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181</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186</v>
      </c>
      <c r="E5" s="80"/>
      <c r="F5" s="80"/>
      <c r="G5" s="80"/>
    </row>
    <row r="6" spans="1:11" x14ac:dyDescent="0.25">
      <c r="F6" s="26"/>
    </row>
    <row r="7" spans="1:11" x14ac:dyDescent="0.25">
      <c r="D7" s="1" t="s">
        <v>182</v>
      </c>
      <c r="E7" s="25" t="s">
        <v>185</v>
      </c>
      <c r="F7" s="26"/>
    </row>
    <row r="8" spans="1:11" x14ac:dyDescent="0.25">
      <c r="A8" s="7" t="s">
        <v>0</v>
      </c>
      <c r="D8" s="1" t="s">
        <v>183</v>
      </c>
      <c r="E8" s="25" t="s">
        <v>185</v>
      </c>
      <c r="F8" s="26"/>
    </row>
    <row r="9" spans="1:11" x14ac:dyDescent="0.25">
      <c r="A9" s="5" t="str">
        <f>HYPERLINK("#'Input - Enterprise'!A1", "Enterprise")</f>
        <v>Enterprise</v>
      </c>
      <c r="D9" s="1" t="s">
        <v>69</v>
      </c>
      <c r="E9" s="25" t="str" cm="1">
        <f t="array" ref="E9">X_Cell_Pasture_IrrigationMethod</f>
        <v>Surface irrigation</v>
      </c>
    </row>
    <row r="10" spans="1:11" x14ac:dyDescent="0.25">
      <c r="A10" s="5" t="str">
        <f>HYPERLINK("#'Input - Site'!A1", "Site")</f>
        <v>Site</v>
      </c>
      <c r="D10" s="1" t="s">
        <v>184</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CAF4D-36F2-4317-86E7-0C06A01706C4}">
  <dimension ref="A1:Y366"/>
  <sheetViews>
    <sheetView showGridLines="0" topLeftCell="A2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545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43" t="s">
        <v>546</v>
      </c>
      <c r="E7" s="54"/>
      <c r="F7" s="54"/>
      <c r="G7" s="54"/>
      <c r="H7" s="55"/>
      <c r="I7" s="149"/>
      <c r="J7" s="150"/>
      <c r="K7" s="151"/>
      <c r="L7" s="151"/>
      <c r="M7" s="151"/>
    </row>
    <row r="8" spans="1:25" ht="20.100000000000001" customHeight="1" x14ac:dyDescent="0.25">
      <c r="A8" s="7" t="s">
        <v>0</v>
      </c>
      <c r="D8" s="56" t="s">
        <v>547</v>
      </c>
      <c r="E8" s="57"/>
      <c r="F8" s="57"/>
      <c r="G8" s="58"/>
      <c r="H8" s="152"/>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548</v>
      </c>
      <c r="E10" s="8"/>
      <c r="F10" s="8"/>
      <c r="G10" s="8"/>
      <c r="H10" s="8"/>
      <c r="I10" s="8"/>
      <c r="J10" s="8"/>
      <c r="K10" s="8"/>
      <c r="L10" s="8"/>
      <c r="M10" s="8"/>
    </row>
    <row r="11" spans="1:25" ht="20.100000000000001" customHeight="1" x14ac:dyDescent="0.25">
      <c r="A11" s="5" t="str">
        <f>HYPERLINK("#'Input - Dairy'!A1", "Dairy")</f>
        <v>Dairy</v>
      </c>
      <c r="D11" s="153" t="s">
        <v>549</v>
      </c>
      <c r="E11" s="154" t="s">
        <v>550</v>
      </c>
      <c r="F11" s="155" t="s">
        <v>551</v>
      </c>
      <c r="G11" s="155" t="s">
        <v>552</v>
      </c>
      <c r="H11" s="154" t="s">
        <v>553</v>
      </c>
      <c r="I11" s="154" t="s">
        <v>554</v>
      </c>
      <c r="J11" s="153" t="s">
        <v>555</v>
      </c>
      <c r="K11" s="153" t="s">
        <v>556</v>
      </c>
      <c r="L11" s="153" t="s">
        <v>557</v>
      </c>
      <c r="M11" s="153" t="s">
        <v>558</v>
      </c>
      <c r="N11" s="153" t="s">
        <v>559</v>
      </c>
      <c r="O11" s="153" t="s">
        <v>560</v>
      </c>
      <c r="P11" s="153" t="s">
        <v>561</v>
      </c>
      <c r="Q11" s="153" t="s">
        <v>562</v>
      </c>
      <c r="R11" s="153" t="s">
        <v>563</v>
      </c>
      <c r="S11" s="153" t="s">
        <v>564</v>
      </c>
      <c r="T11" s="153" t="s">
        <v>565</v>
      </c>
      <c r="U11" s="153" t="s">
        <v>566</v>
      </c>
      <c r="V11" s="153" t="s">
        <v>567</v>
      </c>
      <c r="W11" s="156" t="s">
        <v>568</v>
      </c>
      <c r="X11" s="156" t="s">
        <v>569</v>
      </c>
    </row>
    <row r="12" spans="1:25" ht="20.100000000000001" customHeight="1" x14ac:dyDescent="0.25">
      <c r="A12" s="5" t="str">
        <f>HYPERLINK("#'Input - Dairy (Enteric)'!A1", "Dairy (Enteric)")</f>
        <v>Dairy (Enteric)</v>
      </c>
      <c r="D12" s="157" t="s">
        <v>570</v>
      </c>
      <c r="E12" s="158">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8">
        <f>X_Cell_Fertiliser_AreaUnderCropping</f>
        <v>1000</v>
      </c>
      <c r="I12" s="159">
        <f>(Table_Input_InorganicFertiliser_Brands[[#This Row],[Amount applied per hectare]]*Table_Input_InorganicFertiliser_Brands[[#This Row],[Density]])*Table_Input_InorganicFertiliser_Brands[[#This Row],[Application area (ha)]]</f>
        <v>126000</v>
      </c>
      <c r="J12" s="15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5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5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5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5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5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5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5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5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5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5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5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0" t="s">
        <v>571</v>
      </c>
      <c r="E13" s="161">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1">
        <f>X_Cell_Fertiliser_AreaUnderCropping</f>
        <v>1000</v>
      </c>
      <c r="I13" s="159">
        <f>(Table_Input_InorganicFertiliser_Brands[[#This Row],[Amount applied per hectare]]*Table_Input_InorganicFertiliser_Brands[[#This Row],[Density]])*Table_Input_InorganicFertiliser_Brands[[#This Row],[Application area (ha)]]</f>
        <v>128500</v>
      </c>
      <c r="J13" s="15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5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5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5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5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5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5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5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5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5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5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5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59" t="str">
        <f>_xlfn.XLOOKUP(Table_Input_InorganicFertiliser_Brands[[#This Row],[Product (select)]],FertiliserProducts[Product name],FertiliserProducts[Urea source])</f>
        <v/>
      </c>
      <c r="X13" s="159"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0" t="s">
        <v>571</v>
      </c>
      <c r="E14" s="161">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1">
        <f>X_Cell_Fertiliser_AreaUnderCropping</f>
        <v>1000</v>
      </c>
      <c r="I14" s="159">
        <f>(Table_Input_InorganicFertiliser_Brands[[#This Row],[Amount applied per hectare]]*Table_Input_InorganicFertiliser_Brands[[#This Row],[Density]])*Table_Input_InorganicFertiliser_Brands[[#This Row],[Application area (ha)]]</f>
        <v>128500</v>
      </c>
      <c r="J14" s="15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5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5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5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5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5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5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5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5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5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5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5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59" t="str">
        <f>_xlfn.XLOOKUP(Table_Input_InorganicFertiliser_Brands[[#This Row],[Product (select)]],FertiliserProducts[Product name],FertiliserProducts[Urea source])</f>
        <v/>
      </c>
      <c r="X14" s="159"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0" t="s">
        <v>572</v>
      </c>
      <c r="E15" s="161">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1">
        <f>X_Cell_Fertiliser_AreaUnderCropping</f>
        <v>1000</v>
      </c>
      <c r="I15" s="159">
        <f>(Table_Input_InorganicFertiliser_Brands[[#This Row],[Amount applied per hectare]]*Table_Input_InorganicFertiliser_Brands[[#This Row],[Density]])*Table_Input_InorganicFertiliser_Brands[[#This Row],[Application area (ha)]]</f>
        <v>126000</v>
      </c>
      <c r="J15" s="15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5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5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5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5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5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5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5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5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5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5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5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59" t="str">
        <f>_xlfn.XLOOKUP(Table_Input_InorganicFertiliser_Brands[[#This Row],[Product (select)]],FertiliserProducts[Product name],FertiliserProducts[Urea source])</f>
        <v/>
      </c>
      <c r="X15" s="159"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0" t="s">
        <v>573</v>
      </c>
      <c r="E16" s="161">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1">
        <f>X_Cell_Fertiliser_AreaUnderCropping</f>
        <v>1000</v>
      </c>
      <c r="I16" s="159">
        <f>(Table_Input_InorganicFertiliser_Brands[[#This Row],[Amount applied per hectare]]*Table_Input_InorganicFertiliser_Brands[[#This Row],[Density]])*Table_Input_InorganicFertiliser_Brands[[#This Row],[Application area (ha)]]</f>
        <v>150000</v>
      </c>
      <c r="J16" s="15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5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5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5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5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5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5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5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5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5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5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5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59" t="str">
        <f>_xlfn.XLOOKUP(Table_Input_InorganicFertiliser_Brands[[#This Row],[Product (select)]],FertiliserProducts[Product name],FertiliserProducts[Urea source])</f>
        <v/>
      </c>
      <c r="X16" s="159"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2"/>
      <c r="E17" s="163"/>
      <c r="F17" s="164"/>
      <c r="G17" s="164"/>
      <c r="H17" s="164"/>
      <c r="I17" s="164"/>
      <c r="J17" s="165"/>
      <c r="K17" s="165"/>
      <c r="L17" s="166"/>
      <c r="M17" s="166"/>
      <c r="N17" s="167"/>
      <c r="O17" s="167"/>
      <c r="P17" s="167"/>
      <c r="Q17" s="167"/>
      <c r="R17" s="167"/>
      <c r="S17" s="167"/>
      <c r="T17" s="167"/>
      <c r="U17" s="167"/>
      <c r="V17" s="167"/>
      <c r="W17" s="167"/>
      <c r="X17" s="167"/>
    </row>
    <row r="18" spans="1:24" ht="36" customHeight="1" x14ac:dyDescent="0.25">
      <c r="A18" s="5" t="str">
        <f>HYPERLINK("#'Input - Fuel'!A1", "Fuel")</f>
        <v>Fuel</v>
      </c>
      <c r="D18" s="168" t="s">
        <v>574</v>
      </c>
      <c r="E18" s="169"/>
      <c r="F18" s="169"/>
      <c r="G18" s="169"/>
      <c r="H18" s="169"/>
      <c r="I18" s="169"/>
      <c r="J18" s="169"/>
      <c r="K18" s="169"/>
      <c r="L18" s="169"/>
      <c r="M18" s="169"/>
      <c r="N18" s="167"/>
      <c r="O18" s="167"/>
      <c r="P18" s="167"/>
      <c r="Q18" s="167"/>
      <c r="R18" s="167"/>
      <c r="S18" s="167"/>
      <c r="T18" s="167"/>
      <c r="V18" s="167"/>
      <c r="W18" s="167"/>
      <c r="X18" s="167"/>
    </row>
    <row r="19" spans="1:24" ht="36" customHeight="1" x14ac:dyDescent="0.25">
      <c r="A19" s="5" t="str">
        <f>HYPERLINK("#'Input - Electricity'!A1", "Electricity")</f>
        <v>Electricity</v>
      </c>
      <c r="D19" s="154" t="s">
        <v>575</v>
      </c>
      <c r="E19" s="154" t="s">
        <v>576</v>
      </c>
      <c r="F19" s="154" t="s">
        <v>553</v>
      </c>
      <c r="G19" s="154" t="s">
        <v>554</v>
      </c>
      <c r="H19" s="154" t="s">
        <v>577</v>
      </c>
      <c r="I19" s="154" t="s">
        <v>556</v>
      </c>
      <c r="J19" s="154" t="s">
        <v>557</v>
      </c>
      <c r="K19" s="154" t="s">
        <v>558</v>
      </c>
      <c r="L19" s="154" t="s">
        <v>559</v>
      </c>
      <c r="M19" s="154" t="s">
        <v>560</v>
      </c>
      <c r="N19" s="154" t="s">
        <v>561</v>
      </c>
      <c r="O19" s="154" t="s">
        <v>562</v>
      </c>
      <c r="P19" s="154" t="s">
        <v>567</v>
      </c>
      <c r="Q19" s="156" t="s">
        <v>578</v>
      </c>
      <c r="R19" s="156" t="s">
        <v>579</v>
      </c>
      <c r="S19" s="167"/>
      <c r="T19" s="167"/>
      <c r="V19" s="167"/>
      <c r="W19" s="167"/>
      <c r="X19" s="167"/>
    </row>
    <row r="20" spans="1:24" ht="36" customHeight="1" x14ac:dyDescent="0.25">
      <c r="A20" s="5" t="str">
        <f>HYPERLINK("#'Input - Farm Inputs'!A1", "Farm Inputs")</f>
        <v>Farm Inputs</v>
      </c>
      <c r="D20" s="44" t="s">
        <v>580</v>
      </c>
      <c r="E20" s="154">
        <v>100</v>
      </c>
      <c r="F20" s="158">
        <f>X_Cell_Fertiliser_AreaUnderCropping</f>
        <v>1000</v>
      </c>
      <c r="G20" s="159">
        <f>Table_Input_InorganicFertiliser_Custom[[#This Row],[Amount applied (kg / ha)]]*Table_Input_InorganicFertiliser_Custom[[#This Row],[Application area (ha)]]</f>
        <v>100000</v>
      </c>
      <c r="H20" s="170" t="s">
        <v>581</v>
      </c>
      <c r="I20" s="171">
        <v>0.5</v>
      </c>
      <c r="J20" s="170" t="s">
        <v>582</v>
      </c>
      <c r="K20" s="171">
        <v>0.2</v>
      </c>
      <c r="L20" s="170" t="s">
        <v>583</v>
      </c>
      <c r="M20" s="171">
        <v>0.2</v>
      </c>
      <c r="N20" s="172" t="s">
        <v>584</v>
      </c>
      <c r="O20" s="28">
        <v>0.1</v>
      </c>
      <c r="P20"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585</v>
      </c>
      <c r="E21" s="154">
        <v>100</v>
      </c>
      <c r="F21" s="158">
        <f>X_Cell_Fertiliser_AreaUnderCropping</f>
        <v>1000</v>
      </c>
      <c r="G21" s="159">
        <f>Table_Input_InorganicFertiliser_Custom[[#This Row],[Amount applied (kg / ha)]]*Table_Input_InorganicFertiliser_Custom[[#This Row],[Application area (ha)]]</f>
        <v>100000</v>
      </c>
      <c r="H21" s="170" t="s">
        <v>586</v>
      </c>
      <c r="I21" s="173">
        <v>1</v>
      </c>
      <c r="J21" s="170"/>
      <c r="K21" s="173"/>
      <c r="L21" s="170"/>
      <c r="M21" s="173"/>
      <c r="N21" s="172"/>
      <c r="O21" s="28"/>
      <c r="P21"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587</v>
      </c>
      <c r="E22" s="154">
        <v>100</v>
      </c>
      <c r="F22" s="158">
        <f>X_Cell_Fertiliser_AreaUnderCropping</f>
        <v>1000</v>
      </c>
      <c r="G22" s="159">
        <f>Table_Input_InorganicFertiliser_Custom[[#This Row],[Amount applied (kg / ha)]]*Table_Input_InorganicFertiliser_Custom[[#This Row],[Application area (ha)]]</f>
        <v>100000</v>
      </c>
      <c r="H22" s="170" t="s">
        <v>588</v>
      </c>
      <c r="I22" s="173">
        <v>0.5</v>
      </c>
      <c r="J22" s="170"/>
      <c r="K22" s="173"/>
      <c r="L22" s="170"/>
      <c r="M22" s="173"/>
      <c r="N22" s="172"/>
      <c r="O22" s="28"/>
      <c r="P22"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589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43" t="s">
        <v>590</v>
      </c>
      <c r="E26" s="54"/>
      <c r="F26" s="55"/>
      <c r="G26" s="143"/>
      <c r="H26" s="55"/>
      <c r="I26" s="35"/>
      <c r="J26" s="35"/>
      <c r="K26" s="8"/>
      <c r="L26" s="8"/>
      <c r="M26" s="8"/>
    </row>
    <row r="27" spans="1:24" ht="20.100000000000001" customHeight="1" x14ac:dyDescent="0.25">
      <c r="A27" s="5" t="str">
        <f>HYPERLINK("#'5.1.1.1-2 Inorganic fert N2O'!A1", "5.1.1.1-2 Inorganic fert N2O")</f>
        <v>5.1.1.1-2 Inorganic fert N2O</v>
      </c>
      <c r="D27" s="174" t="s">
        <v>591</v>
      </c>
      <c r="E27" s="175"/>
      <c r="F27" s="176"/>
      <c r="G27" s="174"/>
      <c r="H27" s="176"/>
      <c r="I27" s="8"/>
      <c r="J27" s="8"/>
      <c r="K27" s="8"/>
      <c r="L27" s="8"/>
      <c r="M27" s="35"/>
    </row>
    <row r="28" spans="1:24" ht="20.100000000000001" customHeight="1" x14ac:dyDescent="0.25">
      <c r="A28" s="5" t="str">
        <f>HYPERLINK("#'5.1.1.3-4 Inorganic fert CO2'!A1", "5.1.1.3-4 Inorganic fert CO2")</f>
        <v>5.1.1.3-4 Inorganic fert CO2</v>
      </c>
      <c r="D28" s="56" t="s">
        <v>547</v>
      </c>
      <c r="E28" s="57"/>
      <c r="F28" s="57"/>
      <c r="G28" s="57"/>
      <c r="H28" s="58"/>
      <c r="I28" s="8"/>
      <c r="J28" s="8"/>
      <c r="K28" s="8"/>
      <c r="L28" s="8"/>
      <c r="M28" s="35"/>
    </row>
    <row r="29" spans="1:24" ht="20.100000000000001" customHeight="1" x14ac:dyDescent="0.25">
      <c r="A29" s="5" t="str">
        <f>HYPERLINK("#'5.2.1.1-2 Organic Fert N2O'!A1", "5.2.1.1-2 Organic fert N2O")</f>
        <v>5.2.1.1-2 Organic fert N2O</v>
      </c>
      <c r="D29" s="92"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7" t="s">
        <v>148</v>
      </c>
      <c r="E30" s="177" t="s">
        <v>592</v>
      </c>
      <c r="F30" s="177" t="s">
        <v>553</v>
      </c>
      <c r="G30" s="177" t="s">
        <v>593</v>
      </c>
      <c r="H30" s="177" t="s">
        <v>594</v>
      </c>
      <c r="I30" s="177" t="s">
        <v>595</v>
      </c>
      <c r="J30" s="177" t="s">
        <v>596</v>
      </c>
      <c r="K30" s="177" t="s">
        <v>4</v>
      </c>
    </row>
    <row r="31" spans="1:24" ht="20.100000000000001" customHeight="1" x14ac:dyDescent="0.25">
      <c r="A31" s="5" t="str">
        <f>HYPERLINK("#'5.4.1.1-4 Atmos deposition'!A1", "5.4.1.1-4 Atmos. deposition")</f>
        <v>5.4.1.1-4 Atmos. deposition</v>
      </c>
      <c r="D31" s="178" t="s">
        <v>597</v>
      </c>
      <c r="E31" s="158">
        <v>1</v>
      </c>
      <c r="F31" s="158">
        <f>X_Cell_Fertiliser_AreaUnderCropping</f>
        <v>1000</v>
      </c>
      <c r="G31" s="159">
        <f>IFERROR(Table_Input_Lime[[#This Row],[Amount applied (t/hectare)]]*Table_Input_Lime[[#This Row],[Application area (ha)]], 0)</f>
        <v>1000</v>
      </c>
      <c r="H31" s="179">
        <v>0.8</v>
      </c>
      <c r="I31" s="179">
        <v>0.1</v>
      </c>
      <c r="J31" s="179">
        <v>0.1</v>
      </c>
      <c r="K31" s="180">
        <f>SUM(Table_Input_Lime[[#This Row],[Percent Lime CaCO3]:[Percent Gypsum]])</f>
        <v>1</v>
      </c>
    </row>
    <row r="32" spans="1:24" ht="30" customHeight="1" x14ac:dyDescent="0.25">
      <c r="A32" s="5" t="str">
        <f>HYPERLINK("#'5.5.1.1-2 Leaching and runoff'!A1", "5.5.1.1-2 Leaching &amp; runoff")</f>
        <v>5.5.1.1-2 Leaching &amp; runoff</v>
      </c>
      <c r="D32" s="178" t="s">
        <v>598</v>
      </c>
      <c r="E32" s="158">
        <v>1</v>
      </c>
      <c r="F32" s="158">
        <f>X_Cell_Fertiliser_AreaUnderCropping</f>
        <v>1000</v>
      </c>
      <c r="G32" s="159">
        <f>IFERROR(Table_Input_Lime[[#This Row],[Amount applied (t/hectare)]]*Table_Input_Lime[[#This Row],[Application area (ha)]], 0)</f>
        <v>1000</v>
      </c>
      <c r="H32" s="179">
        <v>1</v>
      </c>
      <c r="I32" s="179"/>
      <c r="J32" s="179"/>
      <c r="K32" s="180">
        <f>SUM(Table_Input_Lime[[#This Row],[Percent Lime CaCO3]:[Percent Gypsum]])</f>
        <v>1</v>
      </c>
      <c r="L32" s="35"/>
    </row>
    <row r="33" spans="1:25" ht="36" customHeight="1" x14ac:dyDescent="0.25">
      <c r="A33" s="5" t="str">
        <f>HYPERLINK("#'6.2.1.1-2 Pasture residue N2O'!A1", "6.2.1.1-2 Pasture residue N2O")</f>
        <v>6.2.1.1-2 Pasture residue N2O</v>
      </c>
      <c r="D33" s="178" t="s">
        <v>599</v>
      </c>
      <c r="E33" s="158">
        <v>1</v>
      </c>
      <c r="F33" s="158">
        <f>X_Cell_Fertiliser_AreaUnderCropping</f>
        <v>1000</v>
      </c>
      <c r="G33" s="159">
        <f>IFERROR(Table_Input_Lime[[#This Row],[Amount applied (t/hectare)]]*Table_Input_Lime[[#This Row],[Application area (ha)]], 0)</f>
        <v>1000</v>
      </c>
      <c r="H33" s="179">
        <v>0</v>
      </c>
      <c r="I33" s="179"/>
      <c r="J33" s="179">
        <v>1</v>
      </c>
      <c r="K33" s="180">
        <f>SUM(Table_Input_Lime[[#This Row],[Percent Lime CaCO3]:[Percent Gypsum]])</f>
        <v>1</v>
      </c>
      <c r="L33" s="35"/>
      <c r="M33" s="35"/>
    </row>
    <row r="34" spans="1:25" ht="36" customHeight="1" x14ac:dyDescent="0.25">
      <c r="A34" s="5" t="str">
        <f>HYPERLINK("#'6.3.1.1-2 Leach runoff pasture'!A1", "6.3.1.1-2 Leach &amp; runoff (pasture)")</f>
        <v>6.3.1.1-2 Leach &amp; runoff (pasture)</v>
      </c>
      <c r="D34" s="8"/>
      <c r="E34" s="8"/>
      <c r="F34" s="8"/>
      <c r="G34" s="8"/>
      <c r="H34" s="8"/>
      <c r="I34" s="8"/>
      <c r="J34" s="8"/>
      <c r="L34" s="8"/>
      <c r="M34" s="35"/>
    </row>
    <row r="35" spans="1:25" ht="36" customHeight="1" x14ac:dyDescent="0.25">
      <c r="A35" s="5" t="str">
        <f>HYPERLINK("#'8.1.1.1-2 Transport fuel'!A1", "8.1.1.1-2 Transport fuel")</f>
        <v>8.1.1.1-2 Transport fuel</v>
      </c>
      <c r="D35" s="8"/>
      <c r="E35" s="8"/>
      <c r="F35" s="8"/>
      <c r="G35" s="8"/>
      <c r="H35" s="8"/>
      <c r="I35" s="8"/>
      <c r="J35" s="181"/>
      <c r="K35" s="35"/>
      <c r="L35" s="8"/>
      <c r="M35" s="8"/>
    </row>
    <row r="36" spans="1:25" ht="36" customHeight="1" x14ac:dyDescent="0.25">
      <c r="A36" s="5" t="str">
        <f>HYPERLINK("#'8.2.1.1-2 Stationary fuel'!A1", "8.2.1.1-2 Stationary fuel")</f>
        <v>8.2.1.1-2 Stationary fuel</v>
      </c>
      <c r="D36" s="2" t="s">
        <v>600</v>
      </c>
      <c r="E36" s="35"/>
      <c r="F36" s="35"/>
      <c r="G36" s="35"/>
      <c r="H36" s="8"/>
      <c r="I36" s="8"/>
      <c r="J36" s="8"/>
      <c r="K36" s="8"/>
      <c r="L36" s="8"/>
      <c r="M36" s="8"/>
      <c r="S36" s="167"/>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7"/>
      <c r="R37" s="167"/>
      <c r="S37" s="167"/>
    </row>
    <row r="38" spans="1:25" ht="20.100000000000001" customHeight="1" x14ac:dyDescent="0.25">
      <c r="A38" s="5" t="str">
        <f>HYPERLINK("#'15 Scope 3'!A1", "15 Scope 3")</f>
        <v>15 Scope 3</v>
      </c>
      <c r="C38" s="167"/>
      <c r="D38" s="143" t="s">
        <v>590</v>
      </c>
      <c r="E38" s="54"/>
      <c r="F38" s="54"/>
      <c r="G38" s="54"/>
      <c r="H38" s="55"/>
      <c r="I38" s="8"/>
      <c r="J38" s="8"/>
      <c r="K38" s="8"/>
      <c r="L38" s="8"/>
      <c r="M38" s="8"/>
      <c r="O38" s="167"/>
      <c r="P38" s="167"/>
      <c r="Q38" s="167"/>
      <c r="R38" s="167"/>
    </row>
    <row r="39" spans="1:25" ht="20.100000000000001" customHeight="1" x14ac:dyDescent="0.25">
      <c r="A39" s="5" t="str">
        <f>HYPERLINK("#'Calcs - Manure sent off-site'!A1", "Calcs - Manure sent off-site")</f>
        <v>Calcs - Manure sent off-site</v>
      </c>
      <c r="C39" s="167"/>
      <c r="D39" s="56" t="s">
        <v>547</v>
      </c>
      <c r="E39" s="57"/>
      <c r="F39" s="57"/>
      <c r="G39" s="57"/>
      <c r="H39" s="58"/>
      <c r="I39" s="8"/>
      <c r="J39" s="8"/>
      <c r="K39" s="8"/>
      <c r="L39" s="169"/>
      <c r="M39" s="167"/>
      <c r="N39" s="167"/>
      <c r="O39" s="167"/>
      <c r="P39" s="167"/>
    </row>
    <row r="40" spans="1:25" s="182" customFormat="1" ht="20.100000000000001" customHeight="1" x14ac:dyDescent="0.25">
      <c r="A40" s="5" t="str">
        <f>HYPERLINK("#'4.3.1.1-2 Methane'!A1", "4.3.1.1-2 Methane")</f>
        <v>4.3.1.1-2 Methane</v>
      </c>
      <c r="C40" s="1"/>
      <c r="D40" s="8"/>
      <c r="E40" s="8"/>
      <c r="F40" s="8"/>
      <c r="G40" s="8"/>
      <c r="H40" s="8"/>
      <c r="I40" s="8"/>
      <c r="J40" s="8"/>
      <c r="K40" s="8"/>
      <c r="L40" s="169"/>
      <c r="M40" s="167"/>
      <c r="N40" s="167"/>
      <c r="O40" s="1"/>
      <c r="P40" s="1"/>
      <c r="Q40" s="1"/>
      <c r="R40" s="1"/>
      <c r="S40" s="1"/>
      <c r="T40" s="1"/>
      <c r="U40" s="1"/>
      <c r="V40" s="1"/>
      <c r="W40" s="1"/>
      <c r="X40" s="1"/>
      <c r="Y40" s="1"/>
    </row>
    <row r="41" spans="1:25" s="182" customFormat="1" ht="20.100000000000001" customHeight="1" x14ac:dyDescent="0.25">
      <c r="A41" s="5" t="str">
        <f>HYPERLINK("#'4.3.1.3-4 Direct N20'!A1", "4.3.1.3-4 Direct N20")</f>
        <v>4.3.1.3-4 Direct N20</v>
      </c>
      <c r="C41" s="1"/>
      <c r="D41" s="177" t="s">
        <v>601</v>
      </c>
      <c r="E41" s="177" t="s">
        <v>602</v>
      </c>
      <c r="F41" s="177" t="s">
        <v>603</v>
      </c>
      <c r="G41" s="177" t="s">
        <v>604</v>
      </c>
      <c r="H41" s="177" t="s">
        <v>553</v>
      </c>
      <c r="I41" s="177" t="s">
        <v>605</v>
      </c>
      <c r="J41" s="177" t="s">
        <v>606</v>
      </c>
      <c r="K41" s="169"/>
      <c r="L41" s="1"/>
      <c r="M41" s="1"/>
      <c r="N41" s="1"/>
      <c r="O41" s="1"/>
      <c r="P41" s="1"/>
      <c r="Q41" s="1"/>
      <c r="R41" s="1"/>
      <c r="S41" s="1"/>
      <c r="T41" s="1"/>
      <c r="U41" s="1"/>
      <c r="V41" s="1"/>
      <c r="W41" s="1"/>
      <c r="X41" s="1"/>
      <c r="Y41" s="1"/>
    </row>
    <row r="42" spans="1:25" ht="30" customHeight="1" x14ac:dyDescent="0.25">
      <c r="A42" s="5" t="str">
        <f>HYPERLINK("#'4.3.1.5 Atmos deposition'!A1", "4.3.1.5 Atmos deposition")</f>
        <v>4.3.1.5 Atmos deposition</v>
      </c>
      <c r="D42" s="157" t="s">
        <v>607</v>
      </c>
      <c r="E42" s="179">
        <v>0.3</v>
      </c>
      <c r="F42" s="158">
        <v>10</v>
      </c>
      <c r="G42" s="159">
        <f>Table_Input_OrganicFertiliser[[#This Row],[Amount applied (kg/hectare)]]*Table_Input_OrganicFertiliser[[#This Row],[Percentage of N in fertiliser]]</f>
        <v>3</v>
      </c>
      <c r="H42" s="158">
        <f>X_Cell_Fertiliser_AreaUnderCropping</f>
        <v>1000</v>
      </c>
      <c r="I42" s="159">
        <f>Table_Input_OrganicFertiliser[[#This Row],[Amount applied (kg/hectare)]]*Table_Input_OrganicFertiliser[[#This Row],[Application area (ha)]]</f>
        <v>10000</v>
      </c>
      <c r="J42" s="159">
        <f>IFERROR(Table_Input_OrganicFertiliser[[#This Row],[Amount N applied (kg/hectare)]]*Table_Input_OrganicFertiliser[[#This Row],[Application area (ha)]], 0)</f>
        <v>3000</v>
      </c>
      <c r="K42" s="169"/>
    </row>
    <row r="43" spans="1:25" ht="36" customHeight="1" x14ac:dyDescent="0.25">
      <c r="A43" s="5" t="str">
        <f>HYPERLINK("#'4.3.1.6-7 Leaching and runoff'!A1", "4.3.1.6-7 Leaching and runoff")</f>
        <v>4.3.1.6-7 Leaching and runoff</v>
      </c>
      <c r="D43" s="157" t="s">
        <v>608</v>
      </c>
      <c r="E43" s="179">
        <v>0.25</v>
      </c>
      <c r="F43" s="158">
        <v>10</v>
      </c>
      <c r="G43" s="159">
        <f>Table_Input_OrganicFertiliser[[#This Row],[Amount applied (kg/hectare)]]*Table_Input_OrganicFertiliser[[#This Row],[Percentage of N in fertiliser]]</f>
        <v>2.5</v>
      </c>
      <c r="H43" s="158">
        <f>X_Cell_Fertiliser_AreaUnderCropping</f>
        <v>1000</v>
      </c>
      <c r="I43" s="159">
        <f>Table_Input_OrganicFertiliser[[#This Row],[Amount applied (kg/hectare)]]*Table_Input_OrganicFertiliser[[#This Row],[Application area (ha)]]</f>
        <v>10000</v>
      </c>
      <c r="J43" s="159">
        <f>IFERROR(Table_Input_OrganicFertiliser[[#This Row],[Amount N applied (kg/hectare)]]*Table_Input_OrganicFertiliser[[#This Row],[Application area (ha)]], 0)</f>
        <v>2500</v>
      </c>
    </row>
    <row r="44" spans="1:25" ht="36" customHeight="1" x14ac:dyDescent="0.25">
      <c r="A44" s="5" t="str">
        <f>HYPERLINK("#'4.3.1.8 Manure applied to soils'!A1", "4.3.1.8 Manure applied to soils")</f>
        <v>4.3.1.8 Manure applied to soils</v>
      </c>
      <c r="D44" s="157" t="s">
        <v>609</v>
      </c>
      <c r="E44" s="179">
        <v>0.16</v>
      </c>
      <c r="F44" s="158">
        <v>10</v>
      </c>
      <c r="G44" s="159">
        <f>Table_Input_OrganicFertiliser[[#This Row],[Amount applied (kg/hectare)]]*Table_Input_OrganicFertiliser[[#This Row],[Percentage of N in fertiliser]]</f>
        <v>1.6</v>
      </c>
      <c r="H44" s="158">
        <f>X_Cell_Fertiliser_AreaUnderCropping</f>
        <v>1000</v>
      </c>
      <c r="I44" s="159">
        <f>Table_Input_OrganicFertiliser[[#This Row],[Amount applied (kg/hectare)]]*Table_Input_OrganicFertiliser[[#This Row],[Application area (ha)]]</f>
        <v>10000</v>
      </c>
      <c r="J44" s="159">
        <f>IFERROR(Table_Input_OrganicFertiliser[[#This Row],[Amount N applied (kg/hectare)]]*Table_Input_OrganicFertiliser[[#This Row],[Application area (ha)]], 0)</f>
        <v>1600</v>
      </c>
    </row>
    <row r="45" spans="1:25" ht="36" customHeight="1" x14ac:dyDescent="0.25">
      <c r="A45" s="5" t="str">
        <f>HYPERLINK("#'4.3.1.9 Soil direct N2O'!A1", "4.3.1.9 Soil direct N2O")</f>
        <v>4.3.1.9 Soil direct N2O</v>
      </c>
    </row>
    <row r="46" spans="1:25" ht="36" customHeight="1" x14ac:dyDescent="0.25">
      <c r="A46" s="5" t="str">
        <f>HYPERLINK("#'4.3.1.10-11 Soil Atmos Dep'!A1", "4.3.1.10-11 Soil Atmos Dep")</f>
        <v>4.3.1.10-11 Soil Atmos Dep</v>
      </c>
    </row>
    <row r="47" spans="1:25" ht="20.100000000000001" customHeight="1" x14ac:dyDescent="0.25">
      <c r="A47" s="5" t="str">
        <f>HYPERLINK("#'4.3.1.12-13 Soil leach runoff'!A1", "4.3.1.12-13 Soil leach runoff")</f>
        <v>4.3.1.12-13 Soil leach runoff</v>
      </c>
    </row>
    <row r="48" spans="1:25"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0A7DA-034F-474D-8752-8F823FEDDD46}">
      <formula1>INDIRECT("Table_SourceData_Fertiliser_UreaAmmoniaSources[Source]")</formula1>
    </dataValidation>
    <dataValidation type="list" allowBlank="1" showInputMessage="1" showErrorMessage="1" sqref="D12:D16" xr:uid="{0EE4E2F5-87ED-43C6-ACFB-91D2C90F174A}">
      <formula1>INDIRECT("FertiliserProducts[Product Name]")</formula1>
    </dataValidation>
    <dataValidation type="list" allowBlank="1" showInputMessage="1" showErrorMessage="1" sqref="D42:D44" xr:uid="{AE4A52C1-F12F-4D68-9708-07964188D779}">
      <formula1>INDIRECT("Table_SourceData_OrganicFertiliserTypes[Organic fertiliser type]")</formula1>
    </dataValidation>
    <dataValidation type="list" allowBlank="1" showInputMessage="1" showErrorMessage="1" sqref="H20:H22 J20:J22 L20:L22 N20:N22" xr:uid="{97B3420C-47F1-4411-A330-2283869F4C73}">
      <formula1>INDIRECT("Table_Fertiliser_ChemicalCompounds[Fertiliser type f]")</formula1>
    </dataValidation>
    <dataValidation type="list" allowBlank="1" showInputMessage="1" showErrorMessage="1" sqref="E69" xr:uid="{F0735865-A07C-4387-802E-E12EFF8F12D2}">
      <formula1>INDIRECT("Table_SourceData_Swine_CropProdSystems[Production system]")</formula1>
    </dataValidation>
    <dataValidation type="list" allowBlank="1" showInputMessage="1" showErrorMessage="1" sqref="E70" xr:uid="{947A5742-95CF-44CD-83B5-F77A3870AEAF}">
      <formula1>INDIRECT("Table_SourceData_Swine_IrrigationMethods[Irrigation method]")</formula1>
    </dataValidation>
    <dataValidation type="list" allowBlank="1" showInputMessage="1" showErrorMessage="1" sqref="E254 E259 E264 E298 E293 E288 E166 E154 E130 E142" xr:uid="{56E4F058-0FA7-4B0E-BC27-38530E678E7C}">
      <formula1>"Yes, No"</formula1>
    </dataValidation>
    <dataValidation type="list" allowBlank="1" showInputMessage="1" showErrorMessage="1" sqref="E230" xr:uid="{700736FA-4E11-4366-BF27-DF9AEAC0A345}">
      <formula1>INDIRECT("Table_SourceData_Dairy_ProductionSystemTemplates[Area]")</formula1>
    </dataValidation>
    <dataValidation type="list" allowBlank="1" showInputMessage="1" showErrorMessage="1" sqref="D282" xr:uid="{E737E624-CB3E-4967-88F1-E6AB6B88E9B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D425A-F933-4BAF-A910-9E880436EB1A}">
  <dimension ref="A1:K346"/>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775</v>
      </c>
      <c r="E5" s="35"/>
      <c r="F5" s="35"/>
      <c r="G5" s="35"/>
      <c r="H5" s="35"/>
    </row>
    <row r="6" spans="1:11" ht="20.100000000000001" customHeight="1" x14ac:dyDescent="0.25">
      <c r="D6" s="8"/>
      <c r="E6" s="8"/>
      <c r="F6" s="8"/>
      <c r="G6" s="8"/>
      <c r="H6" s="8"/>
      <c r="I6" s="8"/>
      <c r="J6" s="8"/>
    </row>
    <row r="7" spans="1:11" ht="20.100000000000001" customHeight="1" x14ac:dyDescent="0.25">
      <c r="D7" s="1" t="s">
        <v>776</v>
      </c>
    </row>
    <row r="8" spans="1:11" ht="20.100000000000001" customHeight="1" x14ac:dyDescent="0.25">
      <c r="A8" s="7" t="s">
        <v>0</v>
      </c>
      <c r="D8" s="1" t="s">
        <v>777</v>
      </c>
    </row>
    <row r="9" spans="1:11" ht="20.100000000000001" customHeight="1" x14ac:dyDescent="0.25">
      <c r="A9" s="5" t="str">
        <f>HYPERLINK("#'Input - Enterprise'!A1", "Enterprise")</f>
        <v>Enterprise</v>
      </c>
      <c r="D9" s="1" t="s">
        <v>778</v>
      </c>
    </row>
    <row r="10" spans="1:11" ht="20.100000000000001" customHeight="1" x14ac:dyDescent="0.25">
      <c r="A10" s="5" t="str">
        <f>HYPERLINK("#'Input - Site'!A1", "Site")</f>
        <v>Site</v>
      </c>
    </row>
    <row r="11" spans="1:11" ht="20.100000000000001" customHeight="1" x14ac:dyDescent="0.25">
      <c r="A11" s="5" t="str">
        <f>HYPERLINK("#'Input - Dairy'!A1", "Dairy")</f>
        <v>Dairy</v>
      </c>
      <c r="D11" s="1" t="s">
        <v>779</v>
      </c>
      <c r="E11" s="23" t="s">
        <v>780</v>
      </c>
      <c r="F11" s="26" t="s">
        <v>106</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3" t="s">
        <v>747</v>
      </c>
      <c r="E13" s="54"/>
      <c r="F13" s="54"/>
      <c r="G13" s="54"/>
      <c r="H13" s="55"/>
    </row>
    <row r="14" spans="1:11" ht="20.100000000000001" customHeight="1" x14ac:dyDescent="0.25">
      <c r="A14" s="5" t="str">
        <f>HYPERLINK("#'Input - Dairy cattle purchases'!A1", "Dairy cattle purchases")</f>
        <v>Dairy cattle purchases</v>
      </c>
      <c r="D14" s="56" t="s">
        <v>781</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782</v>
      </c>
      <c r="E16" s="96" t="s">
        <v>783</v>
      </c>
      <c r="F16" s="96" t="s">
        <v>784</v>
      </c>
      <c r="G16" s="96" t="s">
        <v>785</v>
      </c>
      <c r="H16" s="96" t="s">
        <v>786</v>
      </c>
      <c r="I16" s="96" t="s">
        <v>787</v>
      </c>
      <c r="J16" s="96" t="s">
        <v>788</v>
      </c>
    </row>
    <row r="17" spans="1:10" ht="20.100000000000001" customHeight="1" x14ac:dyDescent="0.25">
      <c r="A17" s="5" t="str">
        <f>HYPERLINK("#'Input - Fertiliser'!A1", "Fertiliser")</f>
        <v>Fertiliser</v>
      </c>
      <c r="D17" s="23" t="s">
        <v>789</v>
      </c>
      <c r="E17" s="23" t="s">
        <v>790</v>
      </c>
      <c r="F17" s="207">
        <v>100</v>
      </c>
      <c r="G17" s="25" t="str" cm="1">
        <f t="array" ref="G17">Common_InputFunctions.Utility_LookupValueInTable(Table_Input_Fuel[[#This Row],[Fuel type (select)]],Table_FuelTypes_Units[Fuel type], Table_FuelTypes_Units[Input Unit])</f>
        <v>GJ</v>
      </c>
      <c r="H17" s="20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789</v>
      </c>
      <c r="E18" s="23" t="s">
        <v>791</v>
      </c>
      <c r="F18" s="207">
        <v>10000</v>
      </c>
      <c r="G18" s="25" t="str" cm="1">
        <f t="array" ref="G18">Common_InputFunctions.Utility_LookupValueInTable(Table_Input_Fuel[[#This Row],[Fuel type (select)]],Table_FuelTypes_Units[Fuel type], Table_FuelTypes_Units[Input Unit])</f>
        <v>L</v>
      </c>
      <c r="H18" s="20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792</v>
      </c>
      <c r="E19" s="23" t="s">
        <v>793</v>
      </c>
      <c r="F19" s="207">
        <v>10000</v>
      </c>
      <c r="G19" s="25" t="str" cm="1">
        <f t="array" ref="G19">Common_InputFunctions.Utility_LookupValueInTable(Table_Input_Fuel[[#This Row],[Fuel type (select)]],Table_FuelTypes_Units[Fuel type], Table_FuelTypes_Units[Input Unit])</f>
        <v>L</v>
      </c>
      <c r="H19" s="20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794</v>
      </c>
      <c r="E20" s="23" t="s">
        <v>793</v>
      </c>
      <c r="F20" s="207">
        <v>10000</v>
      </c>
      <c r="G20" s="25" t="str" cm="1">
        <f t="array" ref="G20">Common_InputFunctions.Utility_LookupValueInTable(Table_Input_Fuel[[#This Row],[Fuel type (select)]],Table_FuelTypes_Units[Fuel type], Table_FuelTypes_Units[Input Unit])</f>
        <v>L</v>
      </c>
      <c r="H20" s="20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0" t="s">
        <v>795</v>
      </c>
      <c r="E21" s="210" t="s">
        <v>796</v>
      </c>
      <c r="F21" s="207">
        <v>10000</v>
      </c>
      <c r="G21" s="211" t="str" cm="1">
        <f t="array" ref="G21">Common_InputFunctions.Utility_LookupValueInTable(Table_Input_Fuel[[#This Row],[Fuel type (select)]],Table_FuelTypes_Units[Fuel type], Table_FuelTypes_Units[Input Unit])</f>
        <v>L</v>
      </c>
      <c r="H21" s="212">
        <f>1</f>
        <v>1</v>
      </c>
      <c r="I21" s="21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7"/>
      <c r="K38" s="167"/>
    </row>
    <row r="39" spans="1:11" ht="20.100000000000001" customHeight="1" x14ac:dyDescent="0.25">
      <c r="A39" s="5" t="str">
        <f>HYPERLINK("#'Calcs - Manure sent off-site'!A1", "Calcs - Manure sent off-site")</f>
        <v>Calcs - Manure sent off-site</v>
      </c>
      <c r="C39" s="167"/>
      <c r="K39" s="167"/>
    </row>
    <row r="40" spans="1:11" s="182" customFormat="1" ht="20.100000000000001" customHeight="1" x14ac:dyDescent="0.25">
      <c r="A40" s="5" t="str">
        <f>HYPERLINK("#'4.3.1.1-2 Methane'!A1", "4.3.1.1-2 Methane")</f>
        <v>4.3.1.1-2 Methane</v>
      </c>
      <c r="C40" s="1"/>
      <c r="D40" s="1"/>
      <c r="E40" s="1"/>
      <c r="F40" s="1"/>
      <c r="G40" s="1"/>
      <c r="H40" s="1"/>
      <c r="I40" s="1"/>
      <c r="J40" s="1"/>
      <c r="K40" s="1"/>
    </row>
    <row r="41" spans="1:11" s="182" customFormat="1" ht="20.100000000000001" customHeight="1" x14ac:dyDescent="0.25">
      <c r="A41" s="5" t="str">
        <f>HYPERLINK("#'4.3.1.3-4 Direct N20'!A1", "4.3.1.3-4 Direct N20")</f>
        <v>4.3.1.3-4 Direct N20</v>
      </c>
      <c r="C41" s="1"/>
      <c r="D41" s="1"/>
      <c r="E41" s="1"/>
      <c r="F41" s="1"/>
      <c r="G41" s="1"/>
      <c r="H41" s="1"/>
      <c r="I41" s="1"/>
      <c r="J41" s="1"/>
      <c r="K41" s="1"/>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row>
    <row r="48" spans="1: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AA77AE8A-E2B9-4B32-AE44-FE5CEBFB45E2}">
      <formula1>_xlfn.TRIMRANGE(INDIRECT("Table_FuelTypesPerUse["&amp;D17&amp;"]"))</formula1>
    </dataValidation>
    <dataValidation type="list" allowBlank="1" showInputMessage="1" showErrorMessage="1" sqref="D17:D21" xr:uid="{CFDC694F-8ABD-41B6-9590-446E60D825CE}">
      <formula1>INDIRECT("Table_FuelTypesPerUse[#Headers]")</formula1>
    </dataValidation>
    <dataValidation type="list" allowBlank="1" showInputMessage="1" showErrorMessage="1" sqref="E11" xr:uid="{F7CBEF33-E270-4168-84B6-014C83D1453C}">
      <formula1>"Metro, Non-metro"</formula1>
    </dataValidation>
    <dataValidation type="list" allowBlank="1" showInputMessage="1" showErrorMessage="1" sqref="D29:D30" xr:uid="{A447E347-9C9E-4573-8F3C-87CB581C507F}">
      <formula1>INDIRECT("Table_SourceData_OrganicFertiliserTypes[Organic fertiliser type]")</formula1>
    </dataValidation>
    <dataValidation type="list" allowBlank="1" showInputMessage="1" showErrorMessage="1" sqref="E49" xr:uid="{9AA22D2B-B272-4DED-9FBA-F7BDB87EAE2D}">
      <formula1>INDIRECT("Table_SourceData_Swine_CropProdSystems[Production system]")</formula1>
    </dataValidation>
    <dataValidation type="list" allowBlank="1" showInputMessage="1" showErrorMessage="1" sqref="E50" xr:uid="{B81F3081-AC5C-485F-B8AB-4D88D287AEE8}">
      <formula1>INDIRECT("Table_SourceData_Swine_IrrigationMethods[Irrigation method]")</formula1>
    </dataValidation>
    <dataValidation type="list" allowBlank="1" showInputMessage="1" showErrorMessage="1" sqref="E234 E239 E244 E278 E273 E268 E146 E134 E110 E122" xr:uid="{0E802127-A888-4ACE-8A68-62DD866A02E2}">
      <formula1>"Yes, No"</formula1>
    </dataValidation>
    <dataValidation type="list" allowBlank="1" showInputMessage="1" showErrorMessage="1" sqref="E210" xr:uid="{88C8D267-2A77-4391-9DBF-E562F3F41EA9}">
      <formula1>INDIRECT("Table_SourceData_Dairy_ProductionSystemTemplates[Area]")</formula1>
    </dataValidation>
    <dataValidation type="list" allowBlank="1" showInputMessage="1" showErrorMessage="1" sqref="D262" xr:uid="{3084B4CE-9680-42CF-84C4-8DFC3FED6EF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BF514-B025-44E8-B871-C5DF6A31C13E}">
  <dimension ref="A1:L3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729</v>
      </c>
      <c r="E5" s="23" t="s">
        <v>730</v>
      </c>
      <c r="F5" s="26" t="s">
        <v>106</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731</v>
      </c>
    </row>
    <row r="10" spans="1:10" ht="20.100000000000001" customHeight="1" x14ac:dyDescent="0.25">
      <c r="A10" s="5" t="str">
        <f>HYPERLINK("#'Input - Site'!A1", "Site")</f>
        <v>Site</v>
      </c>
    </row>
    <row r="11" spans="1:10" ht="20.100000000000001" customHeight="1" x14ac:dyDescent="0.25">
      <c r="A11" s="5" t="str">
        <f>HYPERLINK("#'Input - Dairy'!A1", "Dairy")</f>
        <v>Dairy</v>
      </c>
      <c r="D11" s="91" t="s">
        <v>732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6" t="s">
        <v>733</v>
      </c>
      <c r="E13" s="49"/>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734</v>
      </c>
      <c r="E15" s="199">
        <v>30000</v>
      </c>
      <c r="F15" s="26" t="s">
        <v>735</v>
      </c>
    </row>
    <row r="16" spans="1:10" ht="20.100000000000001" customHeight="1" x14ac:dyDescent="0.25">
      <c r="A16" s="5" t="str">
        <f>HYPERLINK("#'Input - Fert Prod System'!A1", "Fert Prod System")</f>
        <v>Fert Prod System</v>
      </c>
      <c r="D16" s="1" t="s">
        <v>736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737</v>
      </c>
      <c r="E17" s="23" t="s">
        <v>738</v>
      </c>
      <c r="F17" s="26" t="s">
        <v>106</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740</v>
      </c>
      <c r="E23" s="199">
        <v>30000</v>
      </c>
      <c r="F23" s="26" t="s">
        <v>735</v>
      </c>
    </row>
    <row r="24" spans="1:11" ht="20.100000000000001" customHeight="1" x14ac:dyDescent="0.25">
      <c r="D24" s="1" t="s">
        <v>741</v>
      </c>
      <c r="E24" s="28">
        <v>0.1</v>
      </c>
      <c r="F24" s="26" t="s">
        <v>167</v>
      </c>
    </row>
    <row r="25" spans="1:11" ht="20.100000000000001" customHeight="1" x14ac:dyDescent="0.25">
      <c r="D25" s="1" t="s">
        <v>742</v>
      </c>
      <c r="E25" s="28">
        <v>0.1</v>
      </c>
      <c r="F25" s="26" t="s">
        <v>167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743</v>
      </c>
      <c r="E27" s="199">
        <v>10000</v>
      </c>
      <c r="F27" s="26" t="s">
        <v>735</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744</v>
      </c>
      <c r="E29" s="200" t="str">
        <f>TEXT(X_Cell_Site_StartDate, "dd mmm yyyy")</f>
        <v>01 Jan 2024</v>
      </c>
      <c r="K29" s="182"/>
    </row>
    <row r="30" spans="1:11" ht="20.100000000000001" customHeight="1" x14ac:dyDescent="0.25">
      <c r="A30" s="5" t="str">
        <f>HYPERLINK("#'5.3.1.1-2 Lime CO2'!A1", "5.3.1.1-2 Lime CO2")</f>
        <v>5.3.1.1-2 Lime CO2</v>
      </c>
      <c r="D30" s="1" t="s">
        <v>745</v>
      </c>
      <c r="E30" s="200" t="str">
        <f>TEXT(X_Cell_Site_EndDate, "dd mmm yyyy")</f>
        <v>02 Nov 1900</v>
      </c>
      <c r="K30" s="182"/>
    </row>
    <row r="31" spans="1:11" ht="20.100000000000001" customHeight="1" x14ac:dyDescent="0.25">
      <c r="A31" s="5" t="str">
        <f>HYPERLINK("#'5.4.1.1-4 Atmos deposition'!A1", "5.4.1.1-4 Atmos. deposition")</f>
        <v>5.4.1.1-4 Atmos. deposition</v>
      </c>
      <c r="K31" s="182"/>
    </row>
    <row r="32" spans="1:11" ht="20.100000000000001" customHeight="1" x14ac:dyDescent="0.25">
      <c r="A32" s="5" t="str">
        <f>HYPERLINK("#'5.5.1.1-2 Leaching and runoff'!A1", "5.5.1.1-2 Leaching &amp; runoff")</f>
        <v>5.5.1.1-2 Leaching &amp; runoff</v>
      </c>
      <c r="D32" s="91" t="s">
        <v>746</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D34" s="46" t="s">
        <v>747</v>
      </c>
      <c r="E34" s="49"/>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748</v>
      </c>
      <c r="E36" s="96" t="s">
        <v>749</v>
      </c>
      <c r="F36" s="96" t="s">
        <v>750</v>
      </c>
      <c r="G36" s="96" t="s">
        <v>751</v>
      </c>
      <c r="H36" s="96" t="s">
        <v>752</v>
      </c>
      <c r="I36" s="96" t="s">
        <v>753</v>
      </c>
      <c r="L36" s="182"/>
    </row>
    <row r="37" spans="1:12" ht="20.100000000000001" customHeight="1" x14ac:dyDescent="0.25">
      <c r="A37" s="5" t="str">
        <f>HYPERLINK("#'14.1.1-2 Purchased electricity'!A1", "14.1.1-2 Purchased electricity")</f>
        <v>14.1.1-2 Purchased electricity</v>
      </c>
      <c r="D37" s="30" t="s">
        <v>754</v>
      </c>
      <c r="E37" s="23" t="s">
        <v>755</v>
      </c>
      <c r="F37" s="201">
        <v>44185</v>
      </c>
      <c r="G37" s="30">
        <v>12</v>
      </c>
      <c r="H37" s="25">
        <f>Table_Input_RECSurrendered[[#This Row],[Number of certificates]]</f>
        <v>12</v>
      </c>
      <c r="I37" s="25" t="e">
        <f>IF(DATEDIF(Table_Input_RECSurrendered[[#This Row],[Generation date]],DATEVALUE($E$30),"M")&gt;36,"Ineligible - older than 36 months","Elegible")</f>
        <v>#NUM!</v>
      </c>
      <c r="L37" s="182"/>
    </row>
    <row r="38" spans="1:12" ht="20.100000000000001" customHeight="1" x14ac:dyDescent="0.25">
      <c r="A38" s="5" t="str">
        <f>HYPERLINK("#'15 Scope 3'!A1", "15 Scope 3")</f>
        <v>15 Scope 3</v>
      </c>
      <c r="D38" s="30" t="s">
        <v>756</v>
      </c>
      <c r="E38" s="23" t="s">
        <v>757</v>
      </c>
      <c r="F38" s="201">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HYPERLINK("#'Calcs - Manure sent off-site'!A1", "Calcs - Manure sent off-site")</f>
        <v>Calcs - Manure sent off-site</v>
      </c>
      <c r="D39" s="30" t="s">
        <v>758</v>
      </c>
      <c r="E39" s="23" t="s">
        <v>755</v>
      </c>
      <c r="F39" s="201">
        <v>45438</v>
      </c>
      <c r="G39" s="30">
        <v>5</v>
      </c>
      <c r="H39" s="25">
        <f>Table_Input_RECSurrendered[[#This Row],[Number of certificates]]</f>
        <v>5</v>
      </c>
      <c r="I39" s="25" t="e">
        <f>IF(DATEDIF(Table_Input_RECSurrendered[[#This Row],[Generation date]],DATEVALUE($E$30),"M")&gt;36,"Ineligible - older than 36 months","Elegible")</f>
        <v>#NUM!</v>
      </c>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t="s">
        <v>759</v>
      </c>
      <c r="E41" s="25">
        <f>SUMIF(Table_Input_RECSurrendered[Elegibility], "Elegible", Table_Input_RECSurrendered[MWh])</f>
        <v>0</v>
      </c>
      <c r="F41" s="26" t="s">
        <v>752</v>
      </c>
      <c r="G41" s="1"/>
      <c r="H41" s="1"/>
      <c r="I41" s="1"/>
      <c r="J41" s="1"/>
      <c r="L41" s="182" t="s">
        <v>482</v>
      </c>
    </row>
    <row r="42" spans="1:12" ht="20.100000000000001" customHeight="1" x14ac:dyDescent="0.25">
      <c r="A42" s="5" t="str">
        <f>HYPERLINK("#'4.3.1.5 Atmos deposition'!A1", "4.3.1.5 Atmos deposition")</f>
        <v>4.3.1.5 Atmos deposition</v>
      </c>
      <c r="C42" s="167"/>
    </row>
    <row r="43" spans="1:12" ht="20.100000000000001" customHeight="1" x14ac:dyDescent="0.25">
      <c r="A43" s="5" t="str">
        <f>HYPERLINK("#'4.3.1.6-7 Leaching and runoff'!A1", "4.3.1.6-7 Leaching and runoff")</f>
        <v>4.3.1.6-7 Leaching and runoff</v>
      </c>
      <c r="C43" s="167"/>
      <c r="D43" s="91" t="s">
        <v>760</v>
      </c>
      <c r="J43" s="167"/>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c r="D45" s="96" t="s">
        <v>748</v>
      </c>
      <c r="E45" s="96" t="s">
        <v>700</v>
      </c>
      <c r="F45" s="96" t="s">
        <v>750</v>
      </c>
      <c r="G45" s="96" t="s">
        <v>751</v>
      </c>
      <c r="H45" s="96" t="s">
        <v>752</v>
      </c>
      <c r="I45" s="96" t="s">
        <v>753</v>
      </c>
    </row>
    <row r="46" spans="1:12" ht="20.100000000000001" customHeight="1" x14ac:dyDescent="0.25">
      <c r="A46" s="5" t="str">
        <f>HYPERLINK("#'4.3.1.10-11 Soil Atmos Dep'!A1", "4.3.1.10-11 Soil Atmos Dep")</f>
        <v>4.3.1.10-11 Soil Atmos Dep</v>
      </c>
      <c r="D46" s="30" t="s">
        <v>761</v>
      </c>
      <c r="E46" s="202" t="str">
        <f>"Issued for generated electricity"</f>
        <v>Issued for generated electricity</v>
      </c>
      <c r="F46" s="201">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HYPERLINK("#'4.3.1.12-13 Soil leach runoff'!A1", "4.3.1.12-13 Soil leach runoff")</f>
        <v>4.3.1.12-13 Soil leach runoff</v>
      </c>
      <c r="D47" s="30" t="s">
        <v>762</v>
      </c>
      <c r="E47" s="202" t="str">
        <f>"Issued for generated electricity"</f>
        <v>Issued for generated electricity</v>
      </c>
      <c r="F47" s="201">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HYPERLINK("#'3.3.1.1-2 Enteric Methane'!A1", "3.3.1.1-2 Enteric Methane")</f>
        <v>3.3.1.1-2 Enteric Methane</v>
      </c>
      <c r="D48" s="203">
        <v>45597</v>
      </c>
      <c r="E48" s="202" t="str">
        <f>"Issued for generated electricity"</f>
        <v>Issued for generated electricity</v>
      </c>
      <c r="F48" s="201">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HYPERLINK("#'10.1.1-2 Solid waste treatment'!A1", "10.1.1-2 Solid waste treatment")</f>
        <v>10.1.1-2 Solid waste treatment</v>
      </c>
    </row>
    <row r="50" spans="1:6" ht="20.100000000000001" customHeight="1" x14ac:dyDescent="0.25">
      <c r="D50" s="1" t="s">
        <v>763</v>
      </c>
      <c r="E50" s="25">
        <f>SUMIF(Table_Input_RECConsumedByEntity[Elegibility], "Elegible", Table_Input_RECConsumedByEntity[Number of certificates])</f>
        <v>0</v>
      </c>
      <c r="F50" s="26" t="s">
        <v>752</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4"/>
    </row>
    <row r="56" spans="1:6" ht="20.100000000000001" customHeight="1" x14ac:dyDescent="0.25">
      <c r="A56" s="5" t="str">
        <f>HYPERLINK("#'Constants - Electricity'!A1", "Constants - Electricity")</f>
        <v>Constants - Electricity</v>
      </c>
      <c r="D56" s="204"/>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2D816161-6F6B-4195-BC46-11D5BD8F2E48}">
      <formula1>"Location-based (simpler), Market-based (more complex)"</formula1>
    </dataValidation>
    <dataValidation type="list" allowBlank="1" showInputMessage="1" showErrorMessage="1" sqref="E37:E39" xr:uid="{65EF25C6-F837-4B3E-86EF-955F0ECF510B}">
      <formula1>"Purchased certificate, Issued for generated electricity"</formula1>
    </dataValidation>
    <dataValidation type="list" allowBlank="1" showInputMessage="1" showErrorMessage="1" sqref="E17" xr:uid="{2BDAD7C0-0A7A-449A-BDC7-C7A5D763678C}">
      <formula1>INDIRECT("Table_SourceData_ElectricityEFs[State, Territory or grid description]")</formula1>
    </dataValidation>
    <dataValidation type="list" allowBlank="1" showInputMessage="1" showErrorMessage="1" sqref="E69" xr:uid="{9E53711C-B7B7-4065-B9EA-2CD191FBDC62}">
      <formula1>INDIRECT("Table_SourceData_Swine_IrrigationMethods[Irrigation method]")</formula1>
    </dataValidation>
    <dataValidation type="list" allowBlank="1" showInputMessage="1" showErrorMessage="1" sqref="E253 E258 E263 E297 E292 E287 E165 E153 E129 E141" xr:uid="{49A6B819-9BA7-4628-A6FD-258238B5834C}">
      <formula1>"Yes, No"</formula1>
    </dataValidation>
    <dataValidation type="list" allowBlank="1" showInputMessage="1" showErrorMessage="1" sqref="E229" xr:uid="{E687B175-8D22-4F2A-B200-36261E72A8F3}">
      <formula1>INDIRECT("Table_SourceData_Dairy_ProductionSystemTemplates[Area]")</formula1>
    </dataValidation>
    <dataValidation type="list" allowBlank="1" showInputMessage="1" showErrorMessage="1" sqref="D281" xr:uid="{427E5BD7-A9EE-4D2C-B772-1250F974D6C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EAD33-1B68-44D8-9F89-D130347DB07B}">
  <sheetPr>
    <tabColor theme="5" tint="-0.249977111117893"/>
  </sheetPr>
  <dimension ref="A1:S227"/>
  <sheetViews>
    <sheetView showGridLines="0" topLeftCell="A72" workbookViewId="0" zoomScale="100" zoomScaleNormal="100">
      <selection activeCell="A62" sqref="A62"/>
    </sheetView>
  </sheetViews>
  <sheetFormatPr defaultRowHeight="15.75" x14ac:dyDescent="0.25"/>
  <cols>
    <col min="1" max="1" width="30.7109375" style="94" customWidth="1"/>
    <col min="2" max="2" width="4.7109375" style="94" customWidth="1"/>
    <col min="3" max="3" width="4.7109375" style="260" customWidth="1"/>
    <col min="4" max="4" width="47.140625" style="260" customWidth="1"/>
    <col min="5" max="10" width="30.7109375" style="260" customWidth="1"/>
    <col min="11" max="18" width="35" style="1" customWidth="1"/>
    <col min="19" max="19" width="5.28515625" style="1" customWidth="1"/>
    <col min="20" max="16384" width="9.140625" style="94"/>
  </cols>
  <sheetData>
    <row r="1" spans="1:19" ht="30" customHeight="1" x14ac:dyDescent="0.35">
      <c r="A1" s="16" t="e" vm="1">
        <v>#VALUE!</v>
      </c>
      <c r="C1" s="38" t="s">
        <v>1009</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1010</v>
      </c>
      <c r="E5" s="35"/>
      <c r="F5" s="35"/>
      <c r="G5" s="35"/>
      <c r="H5" s="35"/>
      <c r="I5" s="35"/>
      <c r="J5" s="35"/>
    </row>
    <row r="6" spans="1:19" ht="20.100000000000001" customHeight="1" x14ac:dyDescent="0.25">
      <c r="A6"/>
      <c r="C6" s="1"/>
      <c r="D6" s="259" t="s">
        <v>1011</v>
      </c>
      <c r="E6" s="262"/>
      <c r="F6" s="262"/>
      <c r="G6" s="262"/>
      <c r="H6" s="262"/>
      <c r="I6" s="262"/>
      <c r="J6" s="262"/>
    </row>
    <row r="7" spans="1:19" ht="20.100000000000001" customHeight="1" x14ac:dyDescent="0.25">
      <c r="A7"/>
      <c r="C7" s="1"/>
      <c r="D7" s="263" t="s">
        <v>1012</v>
      </c>
      <c r="E7" s="263"/>
      <c r="F7" s="143"/>
      <c r="G7" s="55"/>
      <c r="H7" s="35"/>
      <c r="I7" s="35"/>
      <c r="J7" s="35"/>
    </row>
    <row r="8" spans="1:19" ht="20.100000000000001" customHeight="1" x14ac:dyDescent="0.25">
      <c r="A8" s="7" t="s">
        <v>0</v>
      </c>
      <c r="C8" s="1"/>
      <c r="D8" s="56" t="s">
        <v>1013</v>
      </c>
      <c r="E8" s="57"/>
      <c r="F8" s="57"/>
      <c r="G8" s="58"/>
      <c r="H8" s="35"/>
      <c r="I8" s="35"/>
      <c r="J8" s="35"/>
    </row>
    <row r="9" spans="1:19" ht="20.100000000000001" customHeight="1" x14ac:dyDescent="0.25">
      <c r="A9" s="5" t="str">
        <f>HYPERLINK("#'Input - Enterprise'!A1", "Enterprise")</f>
        <v>Enterprise</v>
      </c>
      <c r="C9" s="1"/>
      <c r="D9" s="262"/>
      <c r="E9" s="262"/>
      <c r="F9" s="262"/>
      <c r="G9" s="262"/>
      <c r="H9" s="262"/>
      <c r="I9" s="262"/>
      <c r="J9" s="262"/>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4" t="s">
        <v>718</v>
      </c>
      <c r="E10" s="264" t="s">
        <v>1014</v>
      </c>
      <c r="F10" s="264" t="s">
        <v>1015</v>
      </c>
      <c r="G10" s="264" t="s">
        <v>553</v>
      </c>
      <c r="H10" s="264" t="s">
        <v>1016</v>
      </c>
      <c r="I10" s="264" t="s">
        <v>1017</v>
      </c>
      <c r="J10" s="264" t="s">
        <v>1018</v>
      </c>
      <c r="K10" s="261" t="s">
        <v>1019</v>
      </c>
      <c r="L10" s="261" t="s">
        <v>1020</v>
      </c>
      <c r="M10" s="261" t="s">
        <v>1021</v>
      </c>
      <c r="N10" s="261" t="s">
        <v>1022</v>
      </c>
      <c r="O10" s="261" t="s">
        <v>1023</v>
      </c>
      <c r="P10" s="261" t="s">
        <v>1024</v>
      </c>
      <c r="Q10" s="261" t="s">
        <v>1025</v>
      </c>
      <c r="R10" s="261" t="s">
        <v>1026</v>
      </c>
    </row>
    <row r="11" spans="1:19" ht="20.100000000000001" customHeight="1" x14ac:dyDescent="0.25">
      <c r="A11" s="5" t="str">
        <f>HYPERLINK("#'Input - Dairy'!A1", "Dairy")</f>
        <v>Dairy</v>
      </c>
      <c r="D11" s="265" t="s">
        <v>1027</v>
      </c>
      <c r="E11" s="266">
        <v>10</v>
      </c>
      <c r="F11" s="23" t="s">
        <v>622</v>
      </c>
      <c r="G11" s="86">
        <v>100</v>
      </c>
      <c r="H11" s="25">
        <f>Table_Input_Pesticides[[#This Row],[Amount applied per ha]]*Table_Input_Pesticides[[#This Row],[Application area (ha)]]</f>
        <v>1000</v>
      </c>
      <c r="I11" s="23" t="s">
        <v>1028</v>
      </c>
      <c r="J11" s="23" t="s">
        <v>1029</v>
      </c>
      <c r="K11" s="86">
        <v>100</v>
      </c>
      <c r="L11" s="25">
        <f>Table_Input_Pesticides[[#This Row],[Total applied]]*Table_Input_Pesticides[[#This Row],[Active ingredient 1 amount]]*IF(Table_Input_Pesticides[[#This Row],[Constituent unit (select)]]="fraction of product", 1, 10^-3)</f>
        <v>100</v>
      </c>
      <c r="M11" s="23" t="s">
        <v>1029</v>
      </c>
      <c r="N11" s="86">
        <v>100</v>
      </c>
      <c r="O11" s="25">
        <f>Table_Input_Pesticides[[#This Row],[Total applied]]*Table_Input_Pesticides[[#This Row],[Active ingredient 2 amount]]*IF(Table_Input_Pesticides[[#This Row],[Constituent unit (select)]]="fraction of product", 1, 10^-3)</f>
        <v>100</v>
      </c>
      <c r="P11" s="23" t="s">
        <v>1030</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5" t="s">
        <v>1031</v>
      </c>
      <c r="E12" s="266">
        <v>10</v>
      </c>
      <c r="F12" s="23" t="s">
        <v>1032</v>
      </c>
      <c r="G12" s="86">
        <v>100</v>
      </c>
      <c r="H12" s="25">
        <f>Table_Input_Pesticides[[#This Row],[Amount applied per ha]]*Table_Input_Pesticides[[#This Row],[Application area (ha)]]</f>
        <v>1000</v>
      </c>
      <c r="I12" s="23" t="s">
        <v>1028</v>
      </c>
      <c r="J12" s="23" t="s">
        <v>1029</v>
      </c>
      <c r="K12" s="86">
        <v>100</v>
      </c>
      <c r="L12" s="25">
        <f>Table_Input_Pesticides[[#This Row],[Total applied]]*Table_Input_Pesticides[[#This Row],[Active ingredient 1 amount]]*IF(Table_Input_Pesticides[[#This Row],[Constituent unit (select)]]="fraction of product", 1, 10^-3)</f>
        <v>100</v>
      </c>
      <c r="M12" s="23" t="s">
        <v>1033</v>
      </c>
      <c r="N12" s="86">
        <v>100</v>
      </c>
      <c r="O12" s="25">
        <f>Table_Input_Pesticides[[#This Row],[Total applied]]*Table_Input_Pesticides[[#This Row],[Active ingredient 2 amount]]*IF(Table_Input_Pesticides[[#This Row],[Constituent unit (select)]]="fraction of product", 1, 10^-3)</f>
        <v>100</v>
      </c>
      <c r="P12" s="23" t="s">
        <v>1034</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5" t="s">
        <v>1035</v>
      </c>
      <c r="E13" s="266">
        <v>10</v>
      </c>
      <c r="F13" s="23" t="s">
        <v>622</v>
      </c>
      <c r="G13" s="86">
        <v>100</v>
      </c>
      <c r="H13" s="25">
        <f>Table_Input_Pesticides[[#This Row],[Amount applied per ha]]*Table_Input_Pesticides[[#This Row],[Application area (ha)]]</f>
        <v>1000</v>
      </c>
      <c r="I13" s="23" t="s">
        <v>1028</v>
      </c>
      <c r="J13" s="23" t="s">
        <v>1029</v>
      </c>
      <c r="K13" s="86">
        <v>100</v>
      </c>
      <c r="L13" s="25">
        <f>Table_Input_Pesticides[[#This Row],[Total applied]]*Table_Input_Pesticides[[#This Row],[Active ingredient 1 amount]]*IF(Table_Input_Pesticides[[#This Row],[Constituent unit (select)]]="fraction of product", 1, 10^-3)</f>
        <v>100</v>
      </c>
      <c r="M13" s="23" t="s">
        <v>1036</v>
      </c>
      <c r="N13" s="86">
        <v>100</v>
      </c>
      <c r="O13" s="25">
        <f>Table_Input_Pesticides[[#This Row],[Total applied]]*Table_Input_Pesticides[[#This Row],[Active ingredient 2 amount]]*IF(Table_Input_Pesticides[[#This Row],[Constituent unit (select)]]="fraction of product", 1, 10^-3)</f>
        <v>100</v>
      </c>
      <c r="P13" s="23" t="s">
        <v>1037</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5"/>
      <c r="E14" s="26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5"/>
      <c r="E15" s="26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5"/>
      <c r="E16" s="26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5"/>
      <c r="E17" s="26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5"/>
      <c r="E18" s="26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5"/>
      <c r="E19" s="26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5"/>
      <c r="E20" s="26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59" t="s">
        <v>1038</v>
      </c>
      <c r="E22" s="1"/>
      <c r="F22" s="1"/>
    </row>
    <row r="23" spans="1:18" ht="20.100000000000001" customHeight="1" x14ac:dyDescent="0.25">
      <c r="A23" s="5" t="str">
        <f>HYPERLINK("#'Input - Solid waste'!A1", "Solid waste")</f>
        <v>Solid waste</v>
      </c>
      <c r="D23" s="96" t="s">
        <v>718</v>
      </c>
      <c r="E23" s="96" t="s">
        <v>1039</v>
      </c>
      <c r="F23" s="96" t="s">
        <v>1040</v>
      </c>
    </row>
    <row r="24" spans="1:18" ht="20.100000000000001" customHeight="1" x14ac:dyDescent="0.25">
      <c r="A24"/>
      <c r="D24" s="44" t="s">
        <v>1041</v>
      </c>
      <c r="E24" s="23" t="s">
        <v>1042</v>
      </c>
      <c r="F24" s="86">
        <v>100</v>
      </c>
    </row>
    <row r="25" spans="1:18" ht="20.100000000000001" customHeight="1" x14ac:dyDescent="0.25">
      <c r="A25"/>
      <c r="C25" s="1"/>
      <c r="D25" s="44" t="s">
        <v>1043</v>
      </c>
      <c r="E25" s="210" t="s">
        <v>1044</v>
      </c>
      <c r="F25" s="267">
        <v>100</v>
      </c>
    </row>
    <row r="26" spans="1:18" ht="20.100000000000001" customHeight="1" x14ac:dyDescent="0.25">
      <c r="A26" s="6" t="s">
        <v>2</v>
      </c>
      <c r="C26" s="1"/>
      <c r="D26" s="44" t="s">
        <v>1045</v>
      </c>
      <c r="E26" s="210" t="s">
        <v>1046</v>
      </c>
      <c r="F26" s="267">
        <v>100</v>
      </c>
    </row>
    <row r="27" spans="1:18" ht="20.100000000000001" customHeight="1" x14ac:dyDescent="0.25">
      <c r="A27" s="5" t="str">
        <f>HYPERLINK("#'5.1.1.1-2 Inorganic fert N2O'!A1", "5.1.1.1-2 Inorganic fert N2O")</f>
        <v>5.1.1.1-2 Inorganic fert N2O</v>
      </c>
      <c r="C27" s="1"/>
      <c r="D27" s="44" t="s">
        <v>1045</v>
      </c>
      <c r="E27" s="210" t="s">
        <v>1046</v>
      </c>
      <c r="F27" s="267">
        <v>100</v>
      </c>
    </row>
    <row r="28" spans="1:18" ht="20.100000000000001" customHeight="1" x14ac:dyDescent="0.25">
      <c r="A28" s="5" t="str">
        <f>HYPERLINK("#'5.1.1.3-4 Inorganic fert CO2'!A1", "5.1.1.3-4 Inorganic fert CO2")</f>
        <v>5.1.1.3-4 Inorganic fert CO2</v>
      </c>
      <c r="D28" s="44" t="s">
        <v>1041</v>
      </c>
      <c r="E28" s="210" t="s">
        <v>1042</v>
      </c>
      <c r="F28" s="267">
        <v>100</v>
      </c>
    </row>
    <row r="29" spans="1:18" ht="20.100000000000001" customHeight="1" x14ac:dyDescent="0.25">
      <c r="A29" s="5" t="str">
        <f>HYPERLINK("#'5.2.1.1-2 Organic Fert N2O'!A1", "5.2.1.1-2 Organic fert N2O")</f>
        <v>5.2.1.1-2 Organic fert N2O</v>
      </c>
      <c r="D29" s="44" t="s">
        <v>1041</v>
      </c>
      <c r="E29" s="210" t="s">
        <v>1042</v>
      </c>
      <c r="F29" s="267">
        <v>100</v>
      </c>
    </row>
    <row r="30" spans="1:18" ht="20.100000000000001" customHeight="1" x14ac:dyDescent="0.25">
      <c r="A30" s="5" t="str">
        <f>HYPERLINK("#'5.3.1.1-2 Lime CO2'!A1", "5.3.1.1-2 Lime CO2")</f>
        <v>5.3.1.1-2 Lime CO2</v>
      </c>
      <c r="D30" s="44"/>
      <c r="E30" s="23"/>
      <c r="F30" s="86"/>
    </row>
    <row r="31" spans="1:18" ht="20.100000000000001" customHeight="1" x14ac:dyDescent="0.25">
      <c r="A31" s="5" t="str">
        <f>HYPERLINK("#'5.4.1.1-4 Atmos deposition'!A1", "5.4.1.1-4 Atmos. deposition")</f>
        <v>5.4.1.1-4 Atmos. deposition</v>
      </c>
      <c r="D31" s="44"/>
      <c r="E31" s="23"/>
      <c r="F31" s="86"/>
    </row>
    <row r="32" spans="1:18" ht="20.100000000000001" customHeight="1" x14ac:dyDescent="0.25">
      <c r="A32" s="5" t="str">
        <f>HYPERLINK("#'5.5.1.1-2 Leaching and runoff'!A1", "5.5.1.1-2 Leaching &amp; runoff")</f>
        <v>5.5.1.1-2 Leaching &amp; runoff</v>
      </c>
      <c r="D32" s="44"/>
      <c r="E32" s="23"/>
      <c r="F32" s="86"/>
    </row>
    <row r="33" spans="1:6" ht="20.100000000000001" customHeight="1" x14ac:dyDescent="0.25">
      <c r="A33" s="5" t="str">
        <f>HYPERLINK("#'6.2.1.1-2 Pasture residue N2O'!A1", "6.2.1.1-2 Pasture residue N2O")</f>
        <v>6.2.1.1-2 Pasture residue N2O</v>
      </c>
      <c r="D33" s="44"/>
      <c r="E33" s="23"/>
      <c r="F33" s="86"/>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59" t="s">
        <v>1047</v>
      </c>
      <c r="E35" s="1"/>
      <c r="F35" s="1"/>
    </row>
    <row r="36" spans="1:6" ht="20.100000000000001" customHeight="1" x14ac:dyDescent="0.25">
      <c r="A36" s="5" t="str">
        <f>HYPERLINK("#'8.2.1.1-2 Stationary fuel'!A1", "8.2.1.1-2 Stationary fuel")</f>
        <v>8.2.1.1-2 Stationary fuel</v>
      </c>
      <c r="D36" s="96" t="s">
        <v>718</v>
      </c>
      <c r="E36" s="96" t="s">
        <v>1039</v>
      </c>
      <c r="F36" s="96" t="s">
        <v>1048</v>
      </c>
    </row>
    <row r="37" spans="1:6" ht="20.100000000000001" customHeight="1" x14ac:dyDescent="0.25">
      <c r="A37" s="5" t="str">
        <f>HYPERLINK("#'14.1.1-2 Purchased electricity'!A1", "14.1.1-2 Purchased electricity")</f>
        <v>14.1.1-2 Purchased electricity</v>
      </c>
      <c r="D37" s="44" t="s">
        <v>1049</v>
      </c>
      <c r="E37" s="157" t="s">
        <v>1050</v>
      </c>
      <c r="F37" s="86">
        <v>100</v>
      </c>
    </row>
    <row r="38" spans="1:6" ht="20.100000000000001" customHeight="1" x14ac:dyDescent="0.25">
      <c r="A38" s="5" t="str">
        <f>HYPERLINK("#'15 Scope 3'!A1", "15 Scope 3")</f>
        <v>15 Scope 3</v>
      </c>
      <c r="D38" s="44" t="s">
        <v>1051</v>
      </c>
      <c r="E38" s="268" t="s">
        <v>1052</v>
      </c>
      <c r="F38" s="267">
        <v>100</v>
      </c>
    </row>
    <row r="39" spans="1:6" ht="20.100000000000001" customHeight="1" x14ac:dyDescent="0.25">
      <c r="A39" s="5" t="str">
        <f>HYPERLINK("#'Calcs - Manure sent off-site'!A1", "Calcs - Manure sent off-site")</f>
        <v>Calcs - Manure sent off-site</v>
      </c>
      <c r="D39" s="44" t="s">
        <v>1053</v>
      </c>
      <c r="E39" s="268" t="s">
        <v>1054</v>
      </c>
      <c r="F39" s="267">
        <v>100</v>
      </c>
    </row>
    <row r="40" spans="1:6" ht="20.100000000000001" customHeight="1" x14ac:dyDescent="0.25">
      <c r="A40" s="5" t="str">
        <f>HYPERLINK("#'4.3.1.1-2 Methane'!A1", "4.3.1.1-2 Methane")</f>
        <v>4.3.1.1-2 Methane</v>
      </c>
      <c r="D40" s="44" t="s">
        <v>1055</v>
      </c>
      <c r="E40" s="268" t="s">
        <v>1056</v>
      </c>
      <c r="F40" s="267">
        <v>100</v>
      </c>
    </row>
    <row r="41" spans="1:6" ht="20.100000000000001" customHeight="1" x14ac:dyDescent="0.25">
      <c r="A41" s="5" t="str">
        <f>HYPERLINK("#'4.3.1.3-4 Direct N20'!A1", "4.3.1.3-4 Direct N20")</f>
        <v>4.3.1.3-4 Direct N20</v>
      </c>
      <c r="D41" s="44" t="s">
        <v>1049</v>
      </c>
      <c r="E41" s="268" t="s">
        <v>1050</v>
      </c>
      <c r="F41" s="267">
        <v>100</v>
      </c>
    </row>
    <row r="42" spans="1:6" ht="20.100000000000001" customHeight="1" x14ac:dyDescent="0.25">
      <c r="A42" s="5" t="str">
        <f>HYPERLINK("#'4.3.1.5 Atmos deposition'!A1", "4.3.1.5 Atmos deposition")</f>
        <v>4.3.1.5 Atmos deposition</v>
      </c>
      <c r="D42" s="44" t="s">
        <v>1051</v>
      </c>
      <c r="E42" s="268" t="s">
        <v>1052</v>
      </c>
      <c r="F42" s="267">
        <v>100</v>
      </c>
    </row>
    <row r="43" spans="1:6" ht="20.100000000000001" customHeight="1" x14ac:dyDescent="0.25">
      <c r="A43" s="5" t="str">
        <f>HYPERLINK("#'4.3.1.6-7 Leaching and runoff'!A1", "4.3.1.6-7 Leaching and runoff")</f>
        <v>4.3.1.6-7 Leaching and runoff</v>
      </c>
      <c r="D43" s="44"/>
      <c r="E43" s="157"/>
      <c r="F43" s="86"/>
    </row>
    <row r="44" spans="1:6" ht="20.100000000000001" customHeight="1" x14ac:dyDescent="0.25">
      <c r="A44" s="5" t="str">
        <f>HYPERLINK("#'4.3.1.8 Manure applied to soils'!A1", "4.3.1.8 Manure applied to soils")</f>
        <v>4.3.1.8 Manure applied to soils</v>
      </c>
      <c r="C44" s="1"/>
      <c r="D44" s="44"/>
      <c r="E44" s="157"/>
      <c r="F44" s="86"/>
    </row>
    <row r="45" spans="1:6" ht="20.100000000000001" customHeight="1" x14ac:dyDescent="0.25">
      <c r="A45" s="5" t="str">
        <f>HYPERLINK("#'4.3.1.9 Soil direct N2O'!A1", "4.3.1.9 Soil direct N2O")</f>
        <v>4.3.1.9 Soil direct N2O</v>
      </c>
      <c r="C45" s="1"/>
      <c r="D45" s="44"/>
      <c r="E45" s="157"/>
      <c r="F45" s="86"/>
    </row>
    <row r="46" spans="1:6" ht="20.100000000000001" customHeight="1" x14ac:dyDescent="0.25">
      <c r="A46" s="5" t="str">
        <f>HYPERLINK("#'4.3.1.10-11 Soil Atmos Dep'!A1", "4.3.1.10-11 Soil Atmos Dep")</f>
        <v>4.3.1.10-11 Soil Atmos Dep</v>
      </c>
      <c r="C46" s="1"/>
      <c r="D46" s="44"/>
      <c r="E46" s="157"/>
      <c r="F46" s="86"/>
    </row>
    <row r="47" spans="1:6" ht="20.100000000000001" customHeight="1" x14ac:dyDescent="0.25">
      <c r="A47" s="5" t="str">
        <f>HYPERLINK("#'4.3.1.12-13 Soil leach runoff'!A1", "4.3.1.12-13 Soil leach runoff")</f>
        <v>4.3.1.12-13 Soil leach runoff</v>
      </c>
      <c r="C47" s="1"/>
    </row>
    <row r="48" spans="1:6" ht="20.100000000000001" customHeight="1" x14ac:dyDescent="0.25">
      <c r="A48" s="5" t="str">
        <f>HYPERLINK("#'3.3.1.1-2 Enteric Methane'!A1", "3.3.1.1-2 Enteric Methane")</f>
        <v>3.3.1.1-2 Enteric Methane</v>
      </c>
      <c r="C48" s="1"/>
    </row>
    <row r="49" spans="1:17" ht="20.100000000000001" customHeight="1" x14ac:dyDescent="0.25">
      <c r="A49" s="5" t="str">
        <f>HYPERLINK("#'10.1.1-2 Solid waste treatment'!A1", "10.1.1-2 Solid waste treatment")</f>
        <v>10.1.1-2 Solid waste treatment</v>
      </c>
      <c r="C49" s="1"/>
      <c r="D49" s="2" t="s">
        <v>1057</v>
      </c>
    </row>
    <row r="50" spans="1:17" ht="20.100000000000001" customHeight="1" x14ac:dyDescent="0.25">
      <c r="A50"/>
      <c r="D50" s="259" t="s">
        <v>1058</v>
      </c>
      <c r="E50" s="269"/>
      <c r="F50" s="270"/>
    </row>
    <row r="51" spans="1:17" ht="20.100000000000001" customHeight="1" x14ac:dyDescent="0.25">
      <c r="A51"/>
      <c r="D51" s="1" t="str" cm="1">
        <f t="array" ref="D51:D53">Table_SourceData_Scope3_LickBlocks[Product]</f>
        <v>Lick block, dry season mix</v>
      </c>
      <c r="E51" s="86">
        <v>100</v>
      </c>
      <c r="F51" s="26" t="s">
        <v>624</v>
      </c>
    </row>
    <row r="52" spans="1:17" ht="20.100000000000001" customHeight="1" x14ac:dyDescent="0.25">
      <c r="A52" s="99" t="s">
        <v>1</v>
      </c>
      <c r="D52" s="1" t="str">
        <v>Lick block, mineral</v>
      </c>
      <c r="E52" s="86">
        <v>100</v>
      </c>
      <c r="F52" s="26" t="s">
        <v>624</v>
      </c>
    </row>
    <row r="53" spans="1:17" ht="20.100000000000001" customHeight="1" x14ac:dyDescent="0.25">
      <c r="A53" s="5" t="str">
        <f>HYPERLINK("#'Constants - Dairy'!A1", "Constants - Dairy")</f>
        <v>Constants - Dairy</v>
      </c>
      <c r="D53" s="1" t="str">
        <v>Lick block, weaner</v>
      </c>
      <c r="E53" s="86">
        <v>100</v>
      </c>
      <c r="F53" s="26" t="s">
        <v>624</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59" t="s">
        <v>1059</v>
      </c>
      <c r="E55" s="35"/>
      <c r="F55" s="35"/>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6">
        <v>100</v>
      </c>
      <c r="F56" s="26" t="s">
        <v>624</v>
      </c>
    </row>
    <row r="57" spans="1:17" ht="20.100000000000001" customHeight="1" x14ac:dyDescent="0.25">
      <c r="A57" s="5" t="str">
        <f>HYPERLINK("#'Constants - Fertiliser'!A1", "Constants - Fertiliser")</f>
        <v>Constants - Fertiliser</v>
      </c>
      <c r="D57" s="1" t="str">
        <v>Feed for dairy calves</v>
      </c>
      <c r="E57" s="86">
        <v>100</v>
      </c>
      <c r="F57" s="26" t="s">
        <v>624</v>
      </c>
    </row>
    <row r="58" spans="1:17" ht="20.100000000000001" customHeight="1" x14ac:dyDescent="0.25">
      <c r="A58" s="5" t="str">
        <f>HYPERLINK("#'Constants - Fuel'!A1", "Constants - Fuel")</f>
        <v>Constants - Fuel</v>
      </c>
      <c r="D58" s="1" t="str">
        <v>Feed for dairy cows</v>
      </c>
      <c r="E58" s="86">
        <v>100</v>
      </c>
      <c r="F58" s="26" t="s">
        <v>624</v>
      </c>
    </row>
    <row r="59" spans="1:17" ht="20.100000000000001" customHeight="1" x14ac:dyDescent="0.25">
      <c r="A59" s="5" t="str">
        <f>HYPERLINK("#'Constants - Scope 3'!A1", "Constants - Scope 3")</f>
        <v>Constants - Scope 3</v>
      </c>
      <c r="D59" s="1" t="str">
        <v>Feed for pigs</v>
      </c>
      <c r="E59" s="86">
        <v>100</v>
      </c>
      <c r="F59" s="26" t="s">
        <v>624</v>
      </c>
    </row>
    <row r="60" spans="1:17" ht="20.100000000000001" customHeight="1" x14ac:dyDescent="0.25">
      <c r="A60" s="5" t="str">
        <f>HYPERLINK("#'Constants - Common'!A1", "Constants - Common")</f>
        <v>Constants - Common</v>
      </c>
      <c r="D60" s="35"/>
      <c r="E60" s="35"/>
      <c r="F60" s="35"/>
    </row>
    <row r="61" spans="1:17" ht="20.100000000000001" customHeight="1" x14ac:dyDescent="0.25">
      <c r="A61" s="5" t="str">
        <f>HYPERLINK("#'Acknowledgements'!A1", "Acknowledgements")</f>
        <v>Acknowledgements</v>
      </c>
      <c r="D61" s="259" t="s">
        <v>1060</v>
      </c>
      <c r="E61" s="35"/>
      <c r="F61" s="35"/>
    </row>
    <row r="62" spans="1:17" ht="20.100000000000001" customHeight="1" x14ac:dyDescent="0.25">
      <c r="A62" s="5" t="str">
        <f>HYPERLINK("#'Constants - Solid Waste'!A1", "Constants - Solid Waste")</f>
        <v>Constants - Solid Waste</v>
      </c>
      <c r="D62" s="207" t="s">
        <v>1061</v>
      </c>
      <c r="E62" s="207" t="s">
        <v>1062</v>
      </c>
      <c r="F62" s="207" t="s">
        <v>577</v>
      </c>
      <c r="G62" s="207" t="s">
        <v>1063</v>
      </c>
      <c r="H62" s="207" t="s">
        <v>556</v>
      </c>
      <c r="I62" s="207" t="s">
        <v>1064</v>
      </c>
      <c r="J62" s="207" t="s">
        <v>1065</v>
      </c>
      <c r="K62" s="207" t="s">
        <v>558</v>
      </c>
      <c r="L62" s="207" t="s">
        <v>1066</v>
      </c>
      <c r="M62" s="207" t="s">
        <v>1067</v>
      </c>
      <c r="N62" s="207" t="s">
        <v>560</v>
      </c>
      <c r="O62" s="207" t="s">
        <v>1068</v>
      </c>
      <c r="P62" s="207" t="s">
        <v>1069</v>
      </c>
      <c r="Q62" s="207" t="s">
        <v>562</v>
      </c>
    </row>
    <row r="63" spans="1:17" ht="20.100000000000001" customHeight="1" x14ac:dyDescent="0.25">
      <c r="A63"/>
      <c r="D63" s="37"/>
      <c r="E63" s="271">
        <v>1200</v>
      </c>
      <c r="F63" s="23" t="s">
        <v>1070</v>
      </c>
      <c r="G63" s="23" t="s">
        <v>514</v>
      </c>
      <c r="H63" s="208">
        <v>0.35</v>
      </c>
      <c r="I63" s="23" t="s">
        <v>1071</v>
      </c>
      <c r="J63" s="23" t="s">
        <v>514</v>
      </c>
      <c r="K63" s="208">
        <v>0.22</v>
      </c>
      <c r="L63" s="23" t="s">
        <v>1072</v>
      </c>
      <c r="M63" s="23" t="s">
        <v>1073</v>
      </c>
      <c r="N63" s="208">
        <v>0.12</v>
      </c>
      <c r="O63" s="23" t="s">
        <v>1074</v>
      </c>
      <c r="P63" s="23" t="s">
        <v>513</v>
      </c>
      <c r="Q63" s="208">
        <v>0.05</v>
      </c>
    </row>
    <row r="64" spans="1:17" ht="20.100000000000001" customHeight="1" x14ac:dyDescent="0.25">
      <c r="A64"/>
      <c r="D64" s="37"/>
      <c r="E64" s="271">
        <v>3456</v>
      </c>
      <c r="F64" s="23" t="s">
        <v>1075</v>
      </c>
      <c r="G64" s="23" t="s">
        <v>517</v>
      </c>
      <c r="H64" s="208">
        <v>0.2</v>
      </c>
      <c r="I64" s="23" t="s">
        <v>1075</v>
      </c>
      <c r="J64" s="23" t="s">
        <v>511</v>
      </c>
      <c r="K64" s="208">
        <v>0.2</v>
      </c>
      <c r="L64" s="23"/>
      <c r="M64" s="23"/>
      <c r="N64" s="208"/>
      <c r="O64" s="23"/>
      <c r="P64" s="23"/>
      <c r="Q64" s="208"/>
    </row>
    <row r="65" spans="1:17" ht="20.100000000000001" customHeight="1" x14ac:dyDescent="0.25">
      <c r="A65"/>
      <c r="D65" s="37" t="s">
        <v>1076</v>
      </c>
      <c r="E65" s="271">
        <v>300</v>
      </c>
      <c r="F65" s="23" t="s">
        <v>1077</v>
      </c>
      <c r="G65" s="23" t="s">
        <v>516</v>
      </c>
      <c r="H65" s="208">
        <v>0.8</v>
      </c>
      <c r="I65" s="23" t="s">
        <v>1078</v>
      </c>
      <c r="J65" s="23" t="s">
        <v>1079</v>
      </c>
      <c r="K65" s="208">
        <v>0.2</v>
      </c>
      <c r="L65" s="23"/>
      <c r="M65" s="23"/>
      <c r="N65" s="208"/>
      <c r="O65" s="23"/>
      <c r="P65" s="23"/>
      <c r="Q65" s="208"/>
    </row>
    <row r="66" spans="1:17" ht="20.100000000000001" customHeight="1" x14ac:dyDescent="0.25">
      <c r="A66"/>
      <c r="D66" s="37"/>
      <c r="E66" s="271">
        <v>500</v>
      </c>
      <c r="F66" s="23" t="s">
        <v>1080</v>
      </c>
      <c r="G66" s="23" t="s">
        <v>516</v>
      </c>
      <c r="H66" s="208">
        <v>1</v>
      </c>
      <c r="I66" s="23"/>
      <c r="J66" s="23"/>
      <c r="K66" s="208"/>
      <c r="L66" s="23"/>
      <c r="M66" s="23"/>
      <c r="N66" s="208"/>
      <c r="O66" s="23"/>
      <c r="P66" s="23"/>
      <c r="Q66" s="208"/>
    </row>
    <row r="67" spans="1:17" ht="20.100000000000001" customHeight="1" x14ac:dyDescent="0.25">
      <c r="A67"/>
      <c r="D67" s="37"/>
      <c r="E67" s="271"/>
      <c r="F67" s="23"/>
      <c r="G67" s="23"/>
      <c r="H67" s="208"/>
      <c r="I67" s="23"/>
      <c r="J67" s="23"/>
      <c r="K67" s="208"/>
      <c r="L67" s="23"/>
      <c r="M67" s="23"/>
      <c r="N67" s="208"/>
      <c r="O67" s="23"/>
      <c r="P67" s="23"/>
      <c r="Q67" s="208"/>
    </row>
    <row r="68" spans="1:17" ht="20.100000000000001" customHeight="1" x14ac:dyDescent="0.25">
      <c r="A68"/>
      <c r="D68" s="37"/>
      <c r="E68" s="271"/>
      <c r="F68" s="23"/>
      <c r="G68" s="23"/>
      <c r="H68" s="208"/>
      <c r="I68" s="23"/>
      <c r="J68" s="23"/>
      <c r="K68" s="208"/>
      <c r="L68" s="23"/>
      <c r="M68" s="23"/>
      <c r="N68" s="208"/>
      <c r="O68" s="23"/>
      <c r="P68" s="23"/>
      <c r="Q68" s="208"/>
    </row>
    <row r="69" spans="1:17" ht="20.100000000000001" customHeight="1" x14ac:dyDescent="0.25">
      <c r="A69"/>
      <c r="D69" s="37"/>
      <c r="E69" s="271"/>
      <c r="F69" s="23"/>
      <c r="G69" s="23"/>
      <c r="H69" s="208"/>
      <c r="I69" s="23"/>
      <c r="J69" s="23"/>
      <c r="K69" s="208"/>
      <c r="L69" s="23"/>
      <c r="M69" s="23"/>
      <c r="N69" s="208"/>
      <c r="O69" s="23"/>
      <c r="P69" s="23"/>
      <c r="Q69" s="208"/>
    </row>
    <row r="70" spans="1:17" ht="20.100000000000001" customHeight="1" x14ac:dyDescent="0.25">
      <c r="A70"/>
      <c r="D70" s="37"/>
      <c r="E70" s="271"/>
      <c r="F70" s="23"/>
      <c r="G70" s="23"/>
      <c r="H70" s="208"/>
      <c r="I70" s="23"/>
      <c r="J70" s="23"/>
      <c r="K70" s="208"/>
      <c r="L70" s="23"/>
      <c r="M70" s="23"/>
      <c r="N70" s="208"/>
      <c r="O70" s="23"/>
      <c r="P70" s="23"/>
      <c r="Q70" s="208"/>
    </row>
    <row r="71" spans="1:17" ht="20.100000000000001" customHeight="1" x14ac:dyDescent="0.25">
      <c r="A71"/>
      <c r="D71" s="37"/>
      <c r="E71" s="271"/>
      <c r="F71" s="23"/>
      <c r="G71" s="23"/>
      <c r="H71" s="208"/>
      <c r="I71" s="23"/>
      <c r="J71" s="23"/>
      <c r="K71" s="208"/>
      <c r="L71" s="23"/>
      <c r="M71" s="23"/>
      <c r="N71" s="208"/>
      <c r="O71" s="23"/>
      <c r="P71" s="23"/>
      <c r="Q71" s="208"/>
    </row>
    <row r="72" spans="1:17" ht="20.100000000000001" customHeight="1" x14ac:dyDescent="0.25">
      <c r="A72"/>
      <c r="D72" s="37"/>
      <c r="E72" s="271"/>
      <c r="F72" s="23"/>
      <c r="G72" s="23"/>
      <c r="H72" s="208"/>
      <c r="I72" s="23"/>
      <c r="J72" s="23"/>
      <c r="K72" s="208"/>
      <c r="L72" s="23"/>
      <c r="M72" s="23"/>
      <c r="N72" s="208"/>
      <c r="O72" s="23"/>
      <c r="P72" s="23"/>
      <c r="Q72" s="208"/>
    </row>
    <row r="73" spans="1:17" ht="20.100000000000001" customHeight="1" x14ac:dyDescent="0.25">
      <c r="A73"/>
    </row>
    <row r="74" spans="1:17" ht="20.100000000000001" customHeight="1" x14ac:dyDescent="0.25">
      <c r="A74"/>
      <c r="K74" s="260"/>
    </row>
    <row r="75" spans="1:17" ht="20.100000000000001" customHeight="1" x14ac:dyDescent="0.25">
      <c r="A75"/>
      <c r="D75" s="2" t="s">
        <v>1081</v>
      </c>
    </row>
    <row r="76" spans="1:17" ht="20.100000000000001" customHeight="1" x14ac:dyDescent="0.25">
      <c r="A76"/>
      <c r="D76" s="36"/>
    </row>
    <row r="77" spans="1:17" ht="20.100000000000001" customHeight="1" x14ac:dyDescent="0.25">
      <c r="A77"/>
      <c r="D77" s="272" t="s">
        <v>1082</v>
      </c>
      <c r="E77" s="272" t="s">
        <v>1083</v>
      </c>
      <c r="F77" s="272" t="s">
        <v>1084</v>
      </c>
      <c r="G77" s="272" t="s">
        <v>785</v>
      </c>
    </row>
    <row r="78" spans="1:17" ht="20.100000000000001" customHeight="1" x14ac:dyDescent="0.25">
      <c r="A78"/>
      <c r="D78" s="44" t="s">
        <v>1085</v>
      </c>
      <c r="E78" s="44" t="s">
        <v>1086</v>
      </c>
      <c r="F78" s="86">
        <v>10000</v>
      </c>
      <c r="G78" s="23" t="s">
        <v>1087</v>
      </c>
    </row>
    <row r="79" spans="1:17" ht="20.100000000000001" customHeight="1" x14ac:dyDescent="0.25">
      <c r="A79"/>
      <c r="D79" s="44" t="s">
        <v>1088</v>
      </c>
      <c r="E79" s="44" t="s">
        <v>1089</v>
      </c>
      <c r="F79" s="86">
        <v>1000</v>
      </c>
      <c r="G79" s="23" t="s">
        <v>1090</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1091</v>
      </c>
    </row>
    <row r="91" spans="1:10" ht="20.100000000000001" customHeight="1" x14ac:dyDescent="0.25">
      <c r="A91"/>
    </row>
    <row r="92" spans="1:10" ht="20.100000000000001" customHeight="1" x14ac:dyDescent="0.25">
      <c r="A92"/>
      <c r="D92" s="177" t="s">
        <v>1092</v>
      </c>
      <c r="E92" s="177" t="s">
        <v>1093</v>
      </c>
      <c r="F92" s="177" t="s">
        <v>1094</v>
      </c>
      <c r="G92" s="177" t="s">
        <v>1095</v>
      </c>
      <c r="H92" s="177" t="s">
        <v>1096</v>
      </c>
      <c r="J92" s="35"/>
    </row>
    <row r="93" spans="1:10" ht="20.100000000000001" customHeight="1" x14ac:dyDescent="0.25">
      <c r="A93"/>
      <c r="D93" s="265" t="s">
        <v>1097</v>
      </c>
      <c r="E93" s="86">
        <v>100000</v>
      </c>
      <c r="F93" s="23" t="s">
        <v>1098</v>
      </c>
      <c r="G93" s="86">
        <v>0.02</v>
      </c>
      <c r="H93" s="25">
        <f>Table_Input_Packaging[[#This Row],[Quantity purchased]]*Table_Input_Packaging[[#This Row],[Weight per unit (kg)]]</f>
        <v>2000</v>
      </c>
      <c r="J93" s="35"/>
    </row>
    <row r="94" spans="1:10" ht="20.100000000000001" customHeight="1" x14ac:dyDescent="0.25">
      <c r="A94"/>
      <c r="D94" s="265"/>
      <c r="E94" s="273"/>
      <c r="F94" s="23"/>
      <c r="G94" s="86"/>
      <c r="H94" s="25">
        <f>Table_Input_Packaging[[#This Row],[Quantity purchased]]*Table_Input_Packaging[[#This Row],[Weight per unit (kg)]]</f>
        <v>0</v>
      </c>
      <c r="J94" s="35"/>
    </row>
    <row r="95" spans="1:10" ht="20.100000000000001" customHeight="1" x14ac:dyDescent="0.25">
      <c r="A95"/>
      <c r="D95" s="265"/>
      <c r="E95" s="273"/>
      <c r="F95" s="23"/>
      <c r="G95" s="86"/>
      <c r="H95" s="25">
        <f>Table_Input_Packaging[[#This Row],[Quantity purchased]]*Table_Input_Packaging[[#This Row],[Weight per unit (kg)]]</f>
        <v>0</v>
      </c>
      <c r="J95" s="35"/>
    </row>
    <row r="96" spans="1:10" ht="20.100000000000001" customHeight="1" x14ac:dyDescent="0.25">
      <c r="A96"/>
      <c r="D96" s="265"/>
      <c r="E96" s="273"/>
      <c r="F96" s="23"/>
      <c r="G96" s="86"/>
      <c r="H96" s="25">
        <f>Table_Input_Packaging[[#This Row],[Quantity purchased]]*Table_Input_Packaging[[#This Row],[Weight per unit (kg)]]</f>
        <v>0</v>
      </c>
      <c r="J96" s="35"/>
    </row>
    <row r="97" spans="1:10" ht="20.100000000000001" customHeight="1" x14ac:dyDescent="0.25">
      <c r="A97"/>
      <c r="D97" s="265"/>
      <c r="E97" s="273"/>
      <c r="F97" s="23"/>
      <c r="G97" s="86"/>
      <c r="H97" s="25">
        <f>Table_Input_Packaging[[#This Row],[Quantity purchased]]*Table_Input_Packaging[[#This Row],[Weight per unit (kg)]]</f>
        <v>0</v>
      </c>
      <c r="J97" s="2"/>
    </row>
    <row r="98" spans="1:10" ht="20.100000000000001" customHeight="1" x14ac:dyDescent="0.25">
      <c r="A98"/>
      <c r="D98" s="265"/>
      <c r="E98" s="273"/>
      <c r="F98" s="23"/>
      <c r="G98" s="86"/>
      <c r="H98" s="25">
        <f>Table_Input_Packaging[[#This Row],[Quantity purchased]]*Table_Input_Packaging[[#This Row],[Weight per unit (kg)]]</f>
        <v>0</v>
      </c>
      <c r="J98" s="1"/>
    </row>
    <row r="99" spans="1:10" ht="20.100000000000001" customHeight="1" x14ac:dyDescent="0.25">
      <c r="A99"/>
      <c r="D99" s="265"/>
      <c r="E99" s="273"/>
      <c r="F99" s="23"/>
      <c r="G99" s="86"/>
      <c r="H99" s="25">
        <f>Table_Input_Packaging[[#This Row],[Quantity purchased]]*Table_Input_Packaging[[#This Row],[Weight per unit (kg)]]</f>
        <v>0</v>
      </c>
      <c r="J99" s="1"/>
    </row>
    <row r="100" spans="1:10" ht="20.100000000000001" customHeight="1" x14ac:dyDescent="0.25">
      <c r="A100"/>
      <c r="D100" s="265"/>
      <c r="E100" s="273"/>
      <c r="F100" s="23"/>
      <c r="G100" s="86"/>
      <c r="H100" s="25">
        <f>Table_Input_Packaging[[#This Row],[Quantity purchased]]*Table_Input_Packaging[[#This Row],[Weight per unit (kg)]]</f>
        <v>0</v>
      </c>
      <c r="J100" s="1"/>
    </row>
    <row r="101" spans="1:10" ht="20.100000000000001" customHeight="1" x14ac:dyDescent="0.25">
      <c r="A101"/>
      <c r="D101" s="265"/>
      <c r="E101" s="273"/>
      <c r="F101" s="23"/>
      <c r="G101" s="86"/>
      <c r="H101" s="25">
        <f>Table_Input_Packaging[[#This Row],[Quantity purchased]]*Table_Input_Packaging[[#This Row],[Weight per unit (kg)]]</f>
        <v>0</v>
      </c>
      <c r="J101" s="1"/>
    </row>
    <row r="102" spans="1:10" ht="20.100000000000001" customHeight="1" x14ac:dyDescent="0.25">
      <c r="A102"/>
      <c r="D102" s="265"/>
      <c r="E102" s="273"/>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1099</v>
      </c>
    </row>
    <row r="106" spans="1:10" ht="20.100000000000001" customHeight="1" x14ac:dyDescent="0.25">
      <c r="A106"/>
      <c r="D106" s="36"/>
    </row>
    <row r="107" spans="1:10" ht="20.100000000000001" customHeight="1" x14ac:dyDescent="0.25">
      <c r="A107"/>
      <c r="D107" s="272" t="s">
        <v>1100</v>
      </c>
      <c r="E107" s="272" t="s">
        <v>1084</v>
      </c>
      <c r="F107" s="272" t="s">
        <v>785</v>
      </c>
      <c r="J107" s="1"/>
    </row>
    <row r="108" spans="1:10" ht="20.100000000000001" customHeight="1" x14ac:dyDescent="0.25">
      <c r="A108"/>
      <c r="D108" s="44" t="s">
        <v>1101</v>
      </c>
      <c r="E108" s="86">
        <v>10000</v>
      </c>
      <c r="F108" s="23" t="s">
        <v>624</v>
      </c>
      <c r="J108" s="1"/>
    </row>
    <row r="109" spans="1:10" ht="20.100000000000001" customHeight="1" x14ac:dyDescent="0.25">
      <c r="A109"/>
      <c r="D109" s="44" t="s">
        <v>1102</v>
      </c>
      <c r="E109" s="86">
        <v>100</v>
      </c>
      <c r="F109" s="23" t="s">
        <v>1103</v>
      </c>
      <c r="J109" s="1"/>
    </row>
    <row r="110" spans="1:10" ht="20.100000000000001" customHeight="1" x14ac:dyDescent="0.25">
      <c r="A110"/>
      <c r="D110" s="44" t="s">
        <v>1104</v>
      </c>
      <c r="E110" s="86">
        <v>10000</v>
      </c>
      <c r="F110" s="23" t="s">
        <v>624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62"/>
    </row>
    <row r="120" spans="1:16" ht="20.100000000000001" customHeight="1" x14ac:dyDescent="0.25">
      <c r="A120"/>
      <c r="D120" s="2" t="s">
        <v>1105</v>
      </c>
      <c r="J120" s="35"/>
      <c r="P120" s="262"/>
    </row>
    <row r="121" spans="1:16" ht="20.100000000000001" customHeight="1" x14ac:dyDescent="0.25">
      <c r="A121"/>
      <c r="D121" s="1" t="str">
        <f>'Constants - Scope 3'!E204</f>
        <v>Barley grain (for seed)</v>
      </c>
      <c r="E121" s="86">
        <v>500</v>
      </c>
      <c r="F121" s="26" t="s">
        <v>624</v>
      </c>
      <c r="J121" s="2"/>
      <c r="P121" s="262"/>
    </row>
    <row r="122" spans="1:16" ht="20.100000000000001" customHeight="1" x14ac:dyDescent="0.25">
      <c r="A122"/>
      <c r="D122" s="1" t="str">
        <f>'Constants - Scope 3'!E205</f>
        <v>Maize grain (for seed)</v>
      </c>
      <c r="E122" s="86">
        <v>600</v>
      </c>
      <c r="F122" s="26" t="s">
        <v>624</v>
      </c>
      <c r="G122" s="35"/>
      <c r="H122" s="1"/>
      <c r="J122" s="1"/>
      <c r="P122" s="262"/>
    </row>
    <row r="123" spans="1:16" ht="20.100000000000001" customHeight="1" x14ac:dyDescent="0.25">
      <c r="A123"/>
      <c r="D123" s="1" t="str">
        <f>'Constants - Scope 3'!E207</f>
        <v>Oat grain (for seed)</v>
      </c>
      <c r="E123" s="86">
        <v>700</v>
      </c>
      <c r="F123" s="26" t="s">
        <v>624</v>
      </c>
      <c r="G123" s="35"/>
      <c r="H123" s="1"/>
      <c r="J123" s="1"/>
      <c r="P123" s="262"/>
    </row>
    <row r="124" spans="1:16" ht="20.100000000000001" customHeight="1" x14ac:dyDescent="0.25">
      <c r="A124"/>
      <c r="D124" s="1" t="str">
        <f>'Constants - Scope 3'!E208</f>
        <v>Sorghum grain (for seed)</v>
      </c>
      <c r="E124" s="86">
        <v>800</v>
      </c>
      <c r="F124" s="26" t="s">
        <v>624</v>
      </c>
      <c r="G124" s="35"/>
      <c r="H124" s="35"/>
      <c r="J124" s="1"/>
      <c r="N124" s="35"/>
      <c r="O124" s="35"/>
      <c r="P124" s="35"/>
    </row>
    <row r="125" spans="1:16" ht="20.100000000000001" customHeight="1" x14ac:dyDescent="0.25">
      <c r="A125"/>
      <c r="D125" s="1" t="str">
        <f>'Constants - Scope 3'!E209</f>
        <v>Wheat grain (for seed)</v>
      </c>
      <c r="E125" s="86">
        <v>900</v>
      </c>
      <c r="F125" s="26" t="s">
        <v>624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1106</v>
      </c>
      <c r="G127" s="1"/>
      <c r="I127" s="35"/>
      <c r="J127" s="35"/>
    </row>
    <row r="128" spans="1:16" ht="20.100000000000001" customHeight="1" x14ac:dyDescent="0.25">
      <c r="A128"/>
      <c r="D128" s="1" t="str">
        <f>'Constants - Scope 3'!E202</f>
        <v>Animal ear tags (large)</v>
      </c>
      <c r="E128" s="86">
        <v>100</v>
      </c>
      <c r="F128" s="26" t="s">
        <v>1107</v>
      </c>
      <c r="G128" s="1"/>
      <c r="I128" s="35"/>
      <c r="J128" s="35"/>
    </row>
    <row r="129" spans="1:13" ht="20.100000000000001" customHeight="1" x14ac:dyDescent="0.25">
      <c r="A129"/>
      <c r="D129" s="1" t="str">
        <f>'Constants - Scope 3'!E203</f>
        <v>Animal ear tags (small)</v>
      </c>
      <c r="E129" s="86">
        <v>200</v>
      </c>
      <c r="F129" s="26" t="s">
        <v>1107</v>
      </c>
      <c r="G129" s="1"/>
      <c r="I129" s="35"/>
      <c r="L129" s="35"/>
      <c r="M129" s="35"/>
    </row>
    <row r="130" spans="1:13" ht="20.100000000000001" customHeight="1" x14ac:dyDescent="0.25">
      <c r="A130"/>
      <c r="D130" s="1" t="str">
        <f>'Constants - Scope 3'!E206</f>
        <v>Nylon netting</v>
      </c>
      <c r="E130" s="86">
        <v>300</v>
      </c>
      <c r="F130" s="26" t="s">
        <v>624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1108</v>
      </c>
      <c r="G133" s="35"/>
      <c r="I133" s="1"/>
    </row>
    <row r="134" spans="1:13" ht="20.100000000000001" customHeight="1" x14ac:dyDescent="0.25">
      <c r="A134"/>
      <c r="D134" s="36"/>
      <c r="I134" s="1"/>
    </row>
    <row r="135" spans="1:13" ht="20.100000000000001" customHeight="1" x14ac:dyDescent="0.25">
      <c r="A135"/>
      <c r="D135" s="96" t="s">
        <v>1109</v>
      </c>
      <c r="E135" s="96" t="s">
        <v>877</v>
      </c>
      <c r="F135" s="96" t="s">
        <v>785</v>
      </c>
      <c r="I135" s="1"/>
    </row>
    <row r="136" spans="1:13" ht="20.100000000000001" customHeight="1" x14ac:dyDescent="0.25">
      <c r="A136"/>
      <c r="D136" s="44" t="s">
        <v>1110</v>
      </c>
      <c r="E136" s="86">
        <v>1000</v>
      </c>
      <c r="F136" s="44" t="s">
        <v>624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A9A33528-8F4E-4B03-9151-5999410CE34E}">
      <formula1>"kg, m3"</formula1>
    </dataValidation>
    <dataValidation type="list" allowBlank="1" showInputMessage="1" showErrorMessage="1" sqref="N122:N123 H122:H123 J125:J126 L135:L136" xr:uid="{009461E9-8E98-43AB-BA26-3C32EA2553F0}">
      <formula1>INDIRECT("Table_Scope3_AquacultureFeedBait[Feed / Bait ingredient]")</formula1>
    </dataValidation>
    <dataValidation type="list" allowBlank="1" showInputMessage="1" showErrorMessage="1" sqref="F63:F72 I63:I72 L63:L72 O63:O72" xr:uid="{92661972-AB4B-449F-8C9C-9A395109D52B}">
      <formula1>INDIRECT(_xlfn.UNIQUE("Table_SourceData_Scope3_Feed[Product]"))</formula1>
    </dataValidation>
    <dataValidation type="list" allowBlank="1" showInputMessage="1" showErrorMessage="1" sqref="M63:M72 P63:P72 J63:J72 G63:G72" xr:uid="{888754B7-8305-4676-8861-7DFBF1C20EC8}">
      <formula1>INDIRECT("Table_ProductRegions_" &amp; SUBSTITUTE(SUBSTITUTE(SUBSTITUTE(SUBSTITUTE(F63, " ", ""), ",", ""), "(", ""), ")", "") &amp; "[Region]")</formula1>
    </dataValidation>
    <dataValidation type="list" allowBlank="1" showInputMessage="1" showErrorMessage="1" sqref="G78:G87" xr:uid="{52ABE1D1-15F2-4106-B05D-2F916F8FE0E5}">
      <formula1>"Hour, Hectare"</formula1>
    </dataValidation>
    <dataValidation type="list" allowBlank="1" showInputMessage="1" showErrorMessage="1" sqref="E37:E46" xr:uid="{10420A0A-52C0-4CEF-88B8-641CB4B73230}">
      <formula1>INDIRECT("Table_SourceData_Scope3_ChemicalsPharmacy[Product]")</formula1>
    </dataValidation>
    <dataValidation type="list" allowBlank="1" showInputMessage="1" showErrorMessage="1" sqref="F11:F20" xr:uid="{FDC1081B-3F41-4AE2-8795-B92FC2B50E31}">
      <formula1>"kg / hectare, litre / hectare"</formula1>
    </dataValidation>
    <dataValidation type="list" allowBlank="1" showInputMessage="1" showErrorMessage="1" sqref="I11:I20" xr:uid="{7D28F984-FB3F-46A0-8B39-502BD35EE1DF}">
      <formula1>"grams/litre or grams/kg, fraction of product"</formula1>
    </dataValidation>
    <dataValidation type="list" allowBlank="1" showInputMessage="1" showErrorMessage="1" sqref="J11:J20 M11:M20 P11:P20" xr:uid="{0EC66090-2FD4-4116-ACA0-AAA22EDF778D}">
      <formula1>INDIRECT("Table_SourceData_Scope3_Pesticides[Product]")</formula1>
    </dataValidation>
    <dataValidation type="list" allowBlank="1" showInputMessage="1" showErrorMessage="1" sqref="F93:F102" xr:uid="{02853F83-1FEC-4482-9160-840A171E645B}">
      <formula1>INDIRECT("Table_SourceData_Scope3_Packaging[Product]")</formula1>
    </dataValidation>
    <dataValidation type="list" allowBlank="1" showInputMessage="1" showErrorMessage="1" sqref="E24:E33" xr:uid="{38DF579D-28AC-4F7E-8C85-490D92897757}">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03F6B-538D-4CE3-99F1-180879C31BAC}">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 width="46.5703125" style="1" customWidth="1"/>
    <col min="5" max="9" width="35" style="1" customWidth="1"/>
    <col min="10" max="10" width="5.28515625" style="1" customWidth="1"/>
    <col min="11" max="16384" width="9.140625" style="258"/>
  </cols>
  <sheetData>
    <row r="1" spans="1:10" s="16" customFormat="1" ht="30" customHeight="1" x14ac:dyDescent="0.35">
      <c r="C1" s="16" t="s">
        <v>1111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1112</v>
      </c>
    </row>
    <row r="7" spans="1:10" ht="20.100000000000001" customHeight="1" x14ac:dyDescent="0.25">
      <c r="A7"/>
    </row>
    <row r="8" spans="1:10" ht="20.100000000000001" customHeight="1" x14ac:dyDescent="0.25">
      <c r="A8" s="7" t="s">
        <v>0</v>
      </c>
      <c r="D8" s="30" t="s">
        <v>1113</v>
      </c>
      <c r="E8" s="30" t="s">
        <v>1114</v>
      </c>
      <c r="F8" s="30" t="s">
        <v>1115</v>
      </c>
      <c r="G8" s="30" t="s">
        <v>1116</v>
      </c>
      <c r="H8" s="30" t="s">
        <v>1117</v>
      </c>
    </row>
    <row r="9" spans="1:10" ht="20.100000000000001" customHeight="1" x14ac:dyDescent="0.25">
      <c r="A9" s="5" t="str">
        <f>HYPERLINK("#'Input - Enterprise'!A1", "Enterprise")</f>
        <v>Enterprise</v>
      </c>
      <c r="D9" s="30" t="s">
        <v>1118</v>
      </c>
      <c r="E9" s="23" t="s">
        <v>1119</v>
      </c>
      <c r="F9" s="30">
        <v>986</v>
      </c>
      <c r="G9" s="30">
        <v>10</v>
      </c>
      <c r="H9" s="30">
        <v>52</v>
      </c>
    </row>
    <row r="10" spans="1:10" ht="20.100000000000001" customHeight="1" x14ac:dyDescent="0.25">
      <c r="A10" s="5" t="str">
        <f>HYPERLINK("#'Input - Site'!A1", "Site")</f>
        <v>Site</v>
      </c>
      <c r="D10" s="30" t="s">
        <v>1120</v>
      </c>
      <c r="E10" s="23" t="s">
        <v>1121</v>
      </c>
      <c r="F10" s="30">
        <v>65</v>
      </c>
      <c r="G10" s="30">
        <v>10</v>
      </c>
      <c r="H10" s="30">
        <v>6</v>
      </c>
    </row>
    <row r="11" spans="1:10" ht="20.100000000000001" customHeight="1" x14ac:dyDescent="0.25">
      <c r="A11" s="5" t="str">
        <f>HYPERLINK("#'Input - Dairy'!A1", "Dairy")</f>
        <v>Dairy</v>
      </c>
      <c r="D11" s="30"/>
      <c r="E11" s="23"/>
      <c r="F11" s="30"/>
      <c r="G11" s="30"/>
      <c r="H11" s="30"/>
    </row>
    <row r="12" spans="1:10" ht="20.100000000000001" customHeight="1" x14ac:dyDescent="0.25">
      <c r="A12" s="5" t="str">
        <f>HYPERLINK("#'Input - Dairy (Enteric)'!A1", "Dairy (Enteric)")</f>
        <v>Dairy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Dairy cattle purchases'!A1", "Dairy cattle purchases")</f>
        <v>Dairy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1122</v>
      </c>
    </row>
    <row r="23" spans="1:8" ht="20.100000000000001" customHeight="1" x14ac:dyDescent="0.25">
      <c r="A23" s="5" t="str">
        <f>HYPERLINK("#'Input - Solid waste'!A1", "Solid waste")</f>
        <v>Solid waste</v>
      </c>
    </row>
    <row r="24" spans="1:8" ht="20.100000000000001" customHeight="1" x14ac:dyDescent="0.25">
      <c r="A24"/>
      <c r="D24" s="30" t="s">
        <v>1113</v>
      </c>
      <c r="E24" s="30" t="s">
        <v>1114</v>
      </c>
      <c r="F24" s="30" t="s">
        <v>1115</v>
      </c>
      <c r="G24" s="30" t="s">
        <v>1116</v>
      </c>
      <c r="H24" s="30" t="s">
        <v>1117</v>
      </c>
    </row>
    <row r="25" spans="1:8" ht="20.100000000000001" customHeight="1" x14ac:dyDescent="0.25">
      <c r="A25"/>
      <c r="D25" s="30" t="s">
        <v>1123</v>
      </c>
      <c r="E25" s="23" t="s">
        <v>1119</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HYPERLINK("#'5.1.1.1-2 Inorganic fert N2O'!A1", "5.1.1.1-2 Inorganic fert N2O")</f>
        <v>5.1.1.1-2 Inorganic fert N2O</v>
      </c>
      <c r="D27" s="30"/>
      <c r="E27" s="23"/>
      <c r="F27" s="30"/>
      <c r="G27" s="30"/>
      <c r="H27" s="30"/>
    </row>
    <row r="28" spans="1:8" ht="20.100000000000001" customHeight="1" x14ac:dyDescent="0.25">
      <c r="A28" s="5" t="str">
        <f>HYPERLINK("#'5.1.1.3-4 Inorganic fert CO2'!A1", "5.1.1.3-4 Inorganic fert CO2")</f>
        <v>5.1.1.3-4 Inorganic fert CO2</v>
      </c>
      <c r="D28" s="30"/>
      <c r="E28" s="23"/>
      <c r="F28" s="30"/>
      <c r="G28" s="30"/>
      <c r="H28" s="30"/>
    </row>
    <row r="29" spans="1:8" ht="20.100000000000001" customHeight="1" x14ac:dyDescent="0.25">
      <c r="A29" s="5" t="str">
        <f>HYPERLINK("#'5.2.1.1-2 Organic Fert N2O'!A1", "5.2.1.1-2 Organic fert N2O")</f>
        <v>5.2.1.1-2 Organic fert N2O</v>
      </c>
      <c r="D29" s="30"/>
      <c r="E29" s="23"/>
      <c r="F29" s="30"/>
      <c r="G29" s="30"/>
      <c r="H29" s="30"/>
    </row>
    <row r="30" spans="1:8" ht="20.100000000000001" customHeight="1" x14ac:dyDescent="0.25">
      <c r="A30" s="5" t="str">
        <f>HYPERLINK("#'5.3.1.1-2 Lime CO2'!A1", "5.3.1.1-2 Lime CO2")</f>
        <v>5.3.1.1-2 Lime CO2</v>
      </c>
      <c r="D30" s="30"/>
      <c r="E30" s="23"/>
      <c r="F30" s="30"/>
      <c r="G30" s="30"/>
      <c r="H30" s="30"/>
    </row>
    <row r="31" spans="1:8" ht="20.100000000000001" customHeight="1" x14ac:dyDescent="0.25">
      <c r="A31" s="5" t="str">
        <f>HYPERLINK("#'5.4.1.1-4 Atmos deposition'!A1", "5.4.1.1-4 Atmos. deposition")</f>
        <v>5.4.1.1-4 Atmos. deposition</v>
      </c>
      <c r="D31" s="30"/>
      <c r="E31" s="23"/>
      <c r="F31" s="30"/>
      <c r="G31" s="30"/>
      <c r="H31" s="30"/>
    </row>
    <row r="32" spans="1:8" ht="20.100000000000001" customHeight="1" x14ac:dyDescent="0.25">
      <c r="A32" s="5" t="str">
        <f>HYPERLINK("#'5.5.1.1-2 Leaching and runoff'!A1", "5.5.1.1-2 Leaching &amp; runoff")</f>
        <v>5.5.1.1-2 Leaching &amp; runoff</v>
      </c>
      <c r="D32" s="30"/>
      <c r="E32" s="23"/>
      <c r="F32" s="30"/>
      <c r="G32" s="30"/>
      <c r="H32" s="30"/>
    </row>
    <row r="33" spans="1:8" ht="20.100000000000001" customHeight="1" x14ac:dyDescent="0.25">
      <c r="A33" s="5" t="str">
        <f>HYPERLINK("#'6.2.1.1-2 Pasture residue N2O'!A1", "6.2.1.1-2 Pasture residue N2O")</f>
        <v>6.2.1.1-2 Pasture residue N2O</v>
      </c>
      <c r="D33" s="30"/>
      <c r="E33" s="23"/>
      <c r="F33" s="30"/>
      <c r="G33" s="30"/>
      <c r="H33" s="30"/>
    </row>
    <row r="34" spans="1:8" ht="20.100000000000001" customHeight="1" x14ac:dyDescent="0.25">
      <c r="A34" s="5" t="str">
        <f>HYPERLINK("#'6.3.1.1-2 Leach runoff pasture'!A1", "6.3.1.1-2 Leach &amp; runoff (pasture)")</f>
        <v>6.3.1.1-2 Leach &amp; runoff (pasture)</v>
      </c>
      <c r="D34" s="30"/>
      <c r="E34" s="23"/>
      <c r="F34" s="30"/>
      <c r="G34" s="30"/>
      <c r="H34" s="30"/>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HYPERLINK("#'4.3.1.1-2 Methane'!A1", "4.3.1.1-2 Methane")</f>
        <v>4.3.1.1-2 Methane</v>
      </c>
    </row>
    <row r="41" spans="1:8" ht="20.100000000000001" customHeight="1" x14ac:dyDescent="0.25">
      <c r="A41" s="5" t="str">
        <f>HYPERLINK("#'4.3.1.3-4 Direct N20'!A1", "4.3.1.3-4 Direct N20")</f>
        <v>4.3.1.3-4 Direct N20</v>
      </c>
    </row>
    <row r="42" spans="1:8" ht="20.100000000000001" customHeight="1" x14ac:dyDescent="0.25">
      <c r="A42" s="5" t="str">
        <f>HYPERLINK("#'4.3.1.5 Atmos deposition'!A1", "4.3.1.5 Atmos deposition")</f>
        <v>4.3.1.5 Atmos deposition</v>
      </c>
    </row>
    <row r="43" spans="1:8" ht="20.100000000000001" customHeight="1" x14ac:dyDescent="0.25">
      <c r="A43" s="5" t="str">
        <f>HYPERLINK("#'4.3.1.6-7 Leaching and runoff'!A1", "4.3.1.6-7 Leaching and runoff")</f>
        <v>4.3.1.6-7 Leaching and runoff</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row>
    <row r="46" spans="1:8" ht="20.100000000000001" customHeight="1" x14ac:dyDescent="0.25">
      <c r="A46" s="5" t="str">
        <f>HYPERLINK("#'4.3.1.10-11 Soil Atmos Dep'!A1", "4.3.1.10-11 Soil Atmos Dep")</f>
        <v>4.3.1.10-11 Soil Atmos Dep</v>
      </c>
    </row>
    <row r="47" spans="1:8" ht="20.100000000000001" customHeight="1" x14ac:dyDescent="0.25">
      <c r="A47" s="5" t="str">
        <f>HYPERLINK("#'4.3.1.12-13 Soil leach runoff'!A1", "4.3.1.12-13 Soil leach runoff")</f>
        <v>4.3.1.12-13 Soil leach runoff</v>
      </c>
    </row>
    <row r="48" spans="1:8"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B2F22079-F864-454B-99D7-A4FE38EFEC8B}">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64449-C1D6-442A-A080-42BCFDFEF5E3}">
  <sheetPr>
    <tabColor theme="5" tint="-0.249977111117893"/>
  </sheetPr>
  <dimension ref="A1:K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6384" width="9.140625" style="258"/>
  </cols>
  <sheetData>
    <row r="1" spans="1:11" ht="25.5" x14ac:dyDescent="0.35">
      <c r="A1" s="16" t="e" vm="1">
        <v>#VALUE!</v>
      </c>
      <c r="C1" s="16" t="s">
        <v>1124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1125</v>
      </c>
    </row>
    <row r="6" spans="1:11" x14ac:dyDescent="0.25">
      <c r="A6"/>
    </row>
    <row r="7" spans="1:11" x14ac:dyDescent="0.25">
      <c r="A7"/>
      <c r="D7" s="1" t="s">
        <v>1126</v>
      </c>
    </row>
    <row r="8" spans="1:11" ht="18.75" x14ac:dyDescent="0.25">
      <c r="A8" s="7" t="s">
        <v>0</v>
      </c>
      <c r="D8" s="1" t="s">
        <v>1127</v>
      </c>
    </row>
    <row r="9" spans="1:11" x14ac:dyDescent="0.25">
      <c r="A9" s="5" t="str">
        <f>HYPERLINK("#'Input - Enterprise'!A1", "Enterprise")</f>
        <v>Enterprise</v>
      </c>
    </row>
    <row r="10" spans="1:11" x14ac:dyDescent="0.25">
      <c r="A10" s="5" t="str">
        <f>HYPERLINK("#'Input - Site'!A1", "Site")</f>
        <v>Site</v>
      </c>
      <c r="D10" s="1" t="s">
        <v>1128</v>
      </c>
      <c r="F10" s="86">
        <v>1000</v>
      </c>
      <c r="G10" s="26" t="s">
        <v>1129</v>
      </c>
    </row>
    <row r="11" spans="1:11" x14ac:dyDescent="0.25">
      <c r="A11" s="5" t="str">
        <f>HYPERLINK("#'Input - Dairy'!A1", "Dairy")</f>
        <v>Dairy</v>
      </c>
      <c r="D11" s="1" t="s">
        <v>1130</v>
      </c>
      <c r="F11" s="86">
        <v>2000</v>
      </c>
      <c r="G11" s="26" t="s">
        <v>1129</v>
      </c>
    </row>
    <row r="12" spans="1:11" x14ac:dyDescent="0.25">
      <c r="A12" s="5" t="str">
        <f>HYPERLINK("#'Input - Dairy (Enteric)'!A1", "Dairy (Enteric)")</f>
        <v>Dairy (Enteric)</v>
      </c>
    </row>
    <row r="13" spans="1:11" x14ac:dyDescent="0.25">
      <c r="A13" s="5" t="str">
        <f>HYPERLINK("#'Input - Livestock sales'!A1", "Livestock sales")</f>
        <v>Livestock sales</v>
      </c>
      <c r="D13" s="1" t="s">
        <v>1131</v>
      </c>
      <c r="F13" s="23" t="s">
        <v>705</v>
      </c>
      <c r="G13" s="26" t="s">
        <v>106</v>
      </c>
    </row>
    <row r="14" spans="1:11" x14ac:dyDescent="0.25">
      <c r="A14" s="5" t="str">
        <f>HYPERLINK("#'Input - Dairy cattle purchases'!A1", "Dairy cattle purchases")</f>
        <v>Dairy cattle purchases</v>
      </c>
      <c r="D14" s="1" t="s">
        <v>1132</v>
      </c>
      <c r="F14" s="23" t="s">
        <v>255</v>
      </c>
      <c r="G14" s="26" t="s">
        <v>106</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212E205-DE7F-4A82-ADBA-93F1751BCD38}">
      <formula1>INDIRECT("Table_SourceData_Fertiliser_IrrigationMethods[Irrigation method]")</formula1>
    </dataValidation>
    <dataValidation type="list" allowBlank="1" showInputMessage="1" showErrorMessage="1" sqref="F13" xr:uid="{209A3714-A0A6-4158-8750-E08AE28386CC}">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21FA8-E47F-4AB6-ACA2-C7F2D5D5B69F}">
  <dimension ref="A1:X342"/>
  <sheetViews>
    <sheetView showGridLines="0" topLeftCell="B4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610</v>
      </c>
      <c r="K1"/>
    </row>
    <row r="2" spans="1:24" s="3" customFormat="1" ht="20.100000000000001" customHeight="1" x14ac:dyDescent="0.25">
      <c r="A2"/>
      <c r="K2"/>
    </row>
    <row r="3" spans="1:24"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6" t="s">
        <v>257</v>
      </c>
      <c r="E7" s="116"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258</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258</v>
      </c>
      <c r="E10" s="1" t="str" cm="1">
        <f t="array" ref="E10">Fertiliser_Equations_InorganicN2O.VEERG_5_1_1_1__2_MassOfNitrogenInInorganicFertiliser_Variable()</f>
        <v>MN_jf</v>
      </c>
      <c r="M10" s="88" t="s">
        <v>127</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8" t="s">
        <v>127</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0" t="str" cm="1">
        <f t="array" ref="M12:N13">_xlfn.CHOOSECOLS(Fertiliser_Equations_InorganicN2O.VEERG_5_1_1_2__1_EmissionFactorIrrigatedMaize_Arguments(), 1, 2)</f>
        <v>N_fjIrrigatedMaize</v>
      </c>
      <c r="N12" s="136" t="str">
        <v>application rate of inorganic fertiliser type f in the irrigated maize crop</v>
      </c>
      <c r="O12" s="144"/>
      <c r="P12" s="130" t="str" cm="1">
        <f t="array" ref="P12:Q13">_xlfn.CHOOSECOLS(Fertiliser_Equations_InorganicN2O.VEERG_5_1_1_2__1_EmissionFactorIrrigatedMaize_Arguments(), 3,4)</f>
        <v>kg N/ha</v>
      </c>
      <c r="Q12" s="119" t="str">
        <v>Input</v>
      </c>
      <c r="R12" s="183" t="str" cm="1">
        <f t="array" aca="1" ref="R12" ca="1">HYPERLINK(Common_InputFunctions.Utility_SourceHyperlink($M$41), $M$41)</f>
        <v>M2_Table_FertApplications</v>
      </c>
      <c r="S12" s="184"/>
    </row>
    <row r="13" spans="1:24" ht="20.100000000000001" customHeight="1" x14ac:dyDescent="0.25">
      <c r="A13" s="5" t="str">
        <f>HYPERLINK("#'Input - Livestock sales'!A1", "Livestock sales")</f>
        <v>Livestock sales</v>
      </c>
      <c r="D13" s="130" t="str" cm="1">
        <f t="array" ref="D13:E14">_xlfn.CHOOSECOLS(Fertiliser_Equations_InorganicN2O.VEERG_5_1_1_1__2_MassOfNitrogenInInorganicFertiliser_Arguments(), 1,2)</f>
        <v>TM_jf</v>
      </c>
      <c r="E13" s="130" t="str">
        <v>total mass of inorganic fertiliser type f applied to production system j</v>
      </c>
      <c r="F13" s="130"/>
      <c r="G13" s="130" t="str" cm="1">
        <f t="array" ref="G13:H14">_xlfn.CHOOSECOLS(Fertiliser_Equations_InorganicN2O.VEERG_5_1_1_1__2_MassOfNitrogenInInorganicFertiliser_Arguments(), 3,4)</f>
        <v>kg</v>
      </c>
      <c r="H13" s="119" t="str">
        <v>Input</v>
      </c>
      <c r="I13" s="125" t="str" cm="1">
        <f t="array" aca="1" ref="I13" ca="1">HYPERLINK(Common_InputFunctions.Utility_SourceHyperlink($D$16), $D$16)</f>
        <v>Table_MN_j_f</v>
      </c>
      <c r="M13" s="130" t="str">
        <v>f</v>
      </c>
      <c r="N13" s="136" t="str">
        <v>Inorganic fertiliser type</v>
      </c>
      <c r="O13" s="144"/>
      <c r="P13" s="130" t="str">
        <v/>
      </c>
      <c r="Q13" s="126" t="str">
        <v>Constant</v>
      </c>
      <c r="R13" s="136" t="s">
        <v>611</v>
      </c>
      <c r="S13" s="184"/>
    </row>
    <row r="14" spans="1:24" ht="20.100000000000001" customHeight="1" x14ac:dyDescent="0.25">
      <c r="A14" s="5" t="str">
        <f>HYPERLINK("#'Input - Dairy cattle purchases'!A1", "Dairy cattle purchases")</f>
        <v>Dairy cattle purchases</v>
      </c>
      <c r="D14" s="130" t="str">
        <v>FN_inorganicf</v>
      </c>
      <c r="E14" s="136" t="str">
        <v xml:space="preserve">fraction of nitrogen in inorganic fertiliser type f </v>
      </c>
      <c r="F14" s="141"/>
      <c r="G14" s="130" t="str">
        <v>kg N/kg</v>
      </c>
      <c r="H14" s="126" t="str">
        <v>Constant</v>
      </c>
      <c r="I14" s="125"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0" t="s">
        <v>612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1" t="s">
        <v>613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2" t="s">
        <v>614</v>
      </c>
      <c r="E18" s="96" t="s">
        <v>615</v>
      </c>
      <c r="F18" s="122" t="s">
        <v>616</v>
      </c>
      <c r="G18" s="122" t="s">
        <v>617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258</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127</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0" t="str" cm="1">
        <f t="array" ref="M23:N24">_xlfn.CHOOSECOLS(Fertiliser_Equations_InorganicN2O.VEERG_5_1_1_2__2_EmissionFactorNonIrrigatedGrainsHighRainfall_Arguments(), 1, 2)</f>
        <v>N_fjNonIrrigatedGrains</v>
      </c>
      <c r="N23" s="136" t="str">
        <v>application rate of inorganic fertiliser type f in the grains crop</v>
      </c>
      <c r="O23" s="144"/>
      <c r="P23" s="130" t="str" cm="1">
        <f t="array" ref="P23:Q24">_xlfn.CHOOSECOLS(Fertiliser_Equations_InorganicN2O.VEERG_5_1_1_2__2_EmissionFactorNonIrrigatedGrainsHighRainfall_Arguments(), 3,4)</f>
        <v>kg N/ha</v>
      </c>
      <c r="Q23" s="119" t="str">
        <v>Input</v>
      </c>
      <c r="R23" s="183" t="str" cm="1">
        <f t="array" aca="1" ref="R23" ca="1">HYPERLINK(Common_InputFunctions.Utility_SourceHyperlink($M$41), $M$41)</f>
        <v>M2_Table_FertApplications</v>
      </c>
      <c r="S23" s="141"/>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0" t="str">
        <v>f</v>
      </c>
      <c r="N24" s="136" t="str">
        <v>Inorganic fertiliser type</v>
      </c>
      <c r="O24" s="144"/>
      <c r="P24" s="130" t="str">
        <v/>
      </c>
      <c r="Q24" s="126" t="str">
        <v>Constant</v>
      </c>
      <c r="R24" s="136" t="s">
        <v>611</v>
      </c>
      <c r="S24" s="141"/>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17"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258</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127</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0" t="str" cm="1">
        <f t="array" ref="M35:N36">_xlfn.CHOOSECOLS(Fertiliser_Equations_InorganicN2O.VEERG_5_1_1_2__3_EmissionFactorCotton_Arguments(), 1, 2)</f>
        <v>N_fjCotton</v>
      </c>
      <c r="N35" s="136" t="str">
        <v>application rate of inorganic fertiliser type f in the cotton crop</v>
      </c>
      <c r="O35" s="144"/>
      <c r="P35" s="136" t="str" cm="1">
        <f t="array" ref="P35:Q36">_xlfn.CHOOSECOLS(Fertiliser_Equations_InorganicN2O.VEERG_5_1_1_2__3_EmissionFactorCotton_Arguments(), 3,4)</f>
        <v>kg N/ha</v>
      </c>
      <c r="Q35" s="119" t="str">
        <v>Input</v>
      </c>
      <c r="R35" s="183" t="str" cm="1">
        <f t="array" aca="1" ref="R35" ca="1">HYPERLINK(Common_InputFunctions.Utility_SourceHyperlink($M$41), $M$41)</f>
        <v>M2_Table_FertApplications</v>
      </c>
      <c r="S35" s="141"/>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0" t="str">
        <v>f</v>
      </c>
      <c r="N36" s="136" t="str">
        <v>Inorganic fertiliser type</v>
      </c>
      <c r="O36" s="144"/>
      <c r="P36" s="136" t="str">
        <v/>
      </c>
      <c r="Q36" s="126" t="str">
        <v>Constant</v>
      </c>
      <c r="R36" s="136" t="s">
        <v>611</v>
      </c>
      <c r="S36" s="141"/>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HYPERLINK("#'15 Scope 3'!A1", "15 Scope 3")</f>
        <v>15 Scope 3</v>
      </c>
      <c r="N38" s="92"/>
      <c r="O38" s="92"/>
      <c r="P38" s="92"/>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2" t="s">
        <v>618</v>
      </c>
    </row>
    <row r="40" spans="1:23" ht="20.100000000000001" customHeight="1" x14ac:dyDescent="0.25">
      <c r="A40" s="5" t="str">
        <f>HYPERLINK("#'4.3.1.1-2 Methane'!A1", "4.3.1.1-2 Methane")</f>
        <v>4.3.1.1-2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HYPERLINK("#'4.3.1.3-4 Direct N20'!A1", "4.3.1.3-4 Direct N20")</f>
        <v>4.3.1.3-4 Direct N20</v>
      </c>
      <c r="D41" s="27" t="str" cm="1">
        <f t="array" ref="D41">Fertiliser_Equations_InorganicN2O.VEERG_5_1_1_1__1_InorganicFertiliserApplicationN2OEmissions_Source()</f>
        <v>VEERG 2026: 5.1.1.1, Equation (1)</v>
      </c>
      <c r="M41" s="120" t="s">
        <v>619</v>
      </c>
      <c r="T41" s="148" t="s">
        <v>620</v>
      </c>
    </row>
    <row r="42" spans="1:23" ht="20.100000000000001" customHeight="1" x14ac:dyDescent="0.25">
      <c r="A42" s="5" t="str">
        <f>HYPERLINK("#'4.3.1.5 Atmos deposition'!A1", "4.3.1.5 Atmos deposition")</f>
        <v>4.3.1.5 Atmos deposition</v>
      </c>
      <c r="D42" s="116" t="s">
        <v>257</v>
      </c>
      <c r="E42" s="116" t="str" cm="1">
        <f t="array" aca="1" ref="E42" ca="1">Common_InputFunctions.Utility_DisplayFunctionName($E$60)</f>
        <v>=Fertiliser_Equations_InorganicN2O.VEERG_5_1_1_1__1_InorganicFertiliserApplicationN2OEmissions</v>
      </c>
      <c r="F42" s="26"/>
      <c r="M42" s="121" t="s">
        <v>621</v>
      </c>
    </row>
    <row r="43" spans="1:23" ht="20.100000000000001" customHeight="1" x14ac:dyDescent="0.25">
      <c r="A43" s="5" t="str">
        <f>HYPERLINK("#'4.3.1.6-7 Leaching and runoff'!A1", "4.3.1.6-7 Leaching and runoff")</f>
        <v>4.3.1.6-7 Leaching and runoff</v>
      </c>
      <c r="F43" s="26"/>
      <c r="O43" s="185" t="s">
        <v>622</v>
      </c>
      <c r="P43" s="185" t="s">
        <v>623</v>
      </c>
      <c r="Q43" s="185" t="s">
        <v>624</v>
      </c>
      <c r="R43" s="185" t="str">
        <f>$N$10</f>
        <v>kg N2O-N/kg N applied</v>
      </c>
      <c r="S43" s="185" t="str">
        <f>$N$21</f>
        <v>kg N2O-N/kg N applied</v>
      </c>
      <c r="T43" s="185" t="s">
        <v>622</v>
      </c>
      <c r="U43" s="185" t="s">
        <v>624</v>
      </c>
      <c r="V43" s="185" t="str">
        <f>$N$33</f>
        <v>kg N2O-N/kg N applied</v>
      </c>
      <c r="W43" s="185" t="s">
        <v>625</v>
      </c>
    </row>
    <row r="44" spans="1:23" ht="20.100000000000001" customHeight="1" x14ac:dyDescent="0.25">
      <c r="A44" s="5" t="str">
        <f>HYPERLINK("#'4.3.1.8 Manure applied to soils'!A1", "4.3.1.8 Manure applied to soils")</f>
        <v>4.3.1.8 Manure applied to soils</v>
      </c>
      <c r="F44" s="26"/>
      <c r="M44" s="122" t="s">
        <v>626</v>
      </c>
      <c r="N44" s="96" t="s">
        <v>626</v>
      </c>
      <c r="O44" s="96" t="s">
        <v>627</v>
      </c>
      <c r="P44" s="96" t="s">
        <v>628</v>
      </c>
      <c r="Q44" s="122" t="s">
        <v>629</v>
      </c>
      <c r="R44" s="122" t="str">
        <f>N9</f>
        <v>EF_fjIrrigatedMaizeN2O</v>
      </c>
      <c r="S44" s="122" t="str">
        <f>N20</f>
        <v>EF_fjNonIrrigatedGrainsN2O</v>
      </c>
      <c r="T44" s="122" t="s">
        <v>630</v>
      </c>
      <c r="U44" s="122" t="s">
        <v>631</v>
      </c>
      <c r="V44" s="122" t="str">
        <f>N32</f>
        <v>EF_fjCottonN2O</v>
      </c>
      <c r="W44" s="122" t="s">
        <v>632</v>
      </c>
    </row>
    <row r="45" spans="1:23" ht="20.100000000000001" customHeight="1" x14ac:dyDescent="0.25">
      <c r="A45" s="5" t="str">
        <f>HYPERLINK("#'4.3.1.9 Soil direct N2O'!A1", "4.3.1.9 Soil direct N2O")</f>
        <v>4.3.1.9 Soil direct N2O</v>
      </c>
      <c r="F45" s="26"/>
      <c r="M45" s="25" t="s">
        <v>633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HYPERLINK("#'4.3.1.10-11 Soil Atmos Dep'!A1", "4.3.1.10-11 Soil Atmos Dep")</f>
        <v>4.3.1.10-11 Soil Atmos Dep</v>
      </c>
      <c r="D46" s="88" t="s">
        <v>258</v>
      </c>
      <c r="E46" s="1" t="str" cm="1">
        <f t="array" ref="E46">Fertiliser_Equations_InorganicN2O.VEERG_5_1_1_1__1_InorganicFertiliserApplicationN2OEmissions_Variable()</f>
        <v>E_N2O</v>
      </c>
      <c r="F46" s="26"/>
      <c r="M46" s="25" t="s">
        <v>633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HYPERLINK("#'4.3.1.12-13 Soil leach runoff'!A1", "4.3.1.12-13 Soil leach runoff")</f>
        <v>4.3.1.12-13 Soil leach runoff</v>
      </c>
      <c r="D47" s="88" t="s">
        <v>127</v>
      </c>
      <c r="E47" s="15" t="str" cm="1">
        <f t="array" ref="E47">Fertiliser_Equations_InorganicN2O.VEERG_5_1_1_1__1_InorganicFertiliserApplicationN2OEmissions_Unit()</f>
        <v>t N2O</v>
      </c>
      <c r="F47" s="26"/>
      <c r="M47" s="25" t="s">
        <v>633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HYPERLINK("#'3.3.1.1-2 Enteric Methane'!A1", "3.3.1.1-2 Enteric Methane")</f>
        <v>3.3.1.1-2 Enteric Methane</v>
      </c>
      <c r="F48" s="26"/>
      <c r="M48" s="25" t="s">
        <v>633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30" t="str" cm="1">
        <f t="array" ref="D49:E55">_xlfn.CHOOSECOLS(Fertiliser_Equations_InorganicN2O.VEERG_5_1_1_1__1_InorganicFertiliserApplicationN2OEmissions_Arguments(), 1, 2)</f>
        <v>MN_jf</v>
      </c>
      <c r="E49" s="136" t="str">
        <v>mass of nitrogen in inorganic fertiliser type f applied to production system j</v>
      </c>
      <c r="F49" s="144"/>
      <c r="G49" s="130" t="str" cm="1">
        <f t="array" ref="G49:H55">_xlfn.CHOOSECOLS(Fertiliser_Equations_InorganicN2O.VEERG_5_1_1_1__1_InorganicFertiliserApplicationN2OEmissions_Arguments(), 3,4)</f>
        <v>kg N</v>
      </c>
      <c r="H49" s="126" t="str">
        <v>Calculated from 5.1.1.1 (2)</v>
      </c>
      <c r="I49" s="125" t="str" cm="1">
        <f t="array" aca="1" ref="I49" ca="1">HYPERLINK(Common_InputFunctions.Utility_SourceHyperlink(D16), D16)</f>
        <v>Table_MN_j_f</v>
      </c>
      <c r="M49" s="25" t="s">
        <v>633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30" t="str">
        <v>EF_jN2O</v>
      </c>
      <c r="E50" s="136" t="str">
        <v>emission factor for nitrous oxide for inorganic fertilisers</v>
      </c>
      <c r="F50" s="144"/>
      <c r="G50" s="130" t="str">
        <v>kg N2O-N/kg N applied</v>
      </c>
      <c r="H50" s="126" t="str">
        <v>Constant</v>
      </c>
      <c r="I50" s="130">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30" t="str">
        <v>C_N2O</v>
      </c>
      <c r="E51" s="136" t="str">
        <v>factor to convert elemental mass of nitrous oxide to molecular mass</v>
      </c>
      <c r="F51" s="144"/>
      <c r="G51" s="130" t="str">
        <v/>
      </c>
      <c r="H51" s="126" t="str">
        <v>Constant</v>
      </c>
      <c r="I51" s="130">
        <f>Common_InputFunctions.Utility_LookupValueInTableNumber("N2O",Table_GasToMolecularConversionFactor[Gas],Table_GasToMolecularConversionFactor[Conversion factor combined])</f>
        <v>1.5714285714285714</v>
      </c>
      <c r="M51" s="25" t="s">
        <v>634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30" t="str">
        <v>j</v>
      </c>
      <c r="E52" s="136" t="str">
        <v>Production system</v>
      </c>
      <c r="F52" s="144"/>
      <c r="G52" s="130" t="str">
        <v/>
      </c>
      <c r="H52" s="119" t="str">
        <v>Input</v>
      </c>
      <c r="I52" s="130" t="str">
        <f>X_Cell_Fertiliser_ProductionSystem</f>
        <v>Pasture</v>
      </c>
      <c r="M52" s="25" t="s">
        <v>634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30" t="str">
        <v>f</v>
      </c>
      <c r="E53" s="136" t="str">
        <v>Inorganic fertiliser type</v>
      </c>
      <c r="F53" s="144"/>
      <c r="G53" s="130" t="str">
        <v/>
      </c>
      <c r="H53" s="126" t="str">
        <v>Constant</v>
      </c>
      <c r="I53" s="130" t="str">
        <f>"See " &amp; D57</f>
        <v>See M1_Table_E_N2O</v>
      </c>
      <c r="M53" s="25" t="s">
        <v>634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30" t="str">
        <v>ir</v>
      </c>
      <c r="E54" s="136" t="str">
        <v>irrigation method</v>
      </c>
      <c r="F54" s="144"/>
      <c r="G54" s="130" t="str">
        <v/>
      </c>
      <c r="H54" s="119" t="str">
        <v>Input</v>
      </c>
      <c r="I54" s="130" t="str">
        <f>X_Cell_Fertiliser_IrrigationMethod</f>
        <v>Surface irrigation</v>
      </c>
      <c r="M54" s="25" t="s">
        <v>634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30" t="str">
        <v>z</v>
      </c>
      <c r="E55" s="136" t="str">
        <v>rainfall zone</v>
      </c>
      <c r="F55" s="144"/>
      <c r="G55" s="130" t="str">
        <v/>
      </c>
      <c r="H55" s="119" t="str">
        <v>Input</v>
      </c>
      <c r="I55" s="130"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20" t="s">
        <v>635</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21" t="s">
        <v>636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22" t="s">
        <v>614</v>
      </c>
      <c r="E59" s="122" t="s">
        <v>637</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16" t="s">
        <v>257</v>
      </c>
      <c r="N60" s="116"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258</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127</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0" t="str" cm="1">
        <f t="array" ref="M67:N74">_xlfn.CHOOSECOLS(Fertiliser_Equations_InorganicN2O.VEERG_5_1_1_1__1_InorganicFertiliserApplicationN2OEmissions_Arguments_Method2(), 1, 2)</f>
        <v>MN_jf</v>
      </c>
      <c r="N67" s="136" t="str">
        <v>mass of nitrogen in inorganic fertiliser type f applied to production system j</v>
      </c>
      <c r="O67" s="144"/>
      <c r="P67" s="141"/>
      <c r="Q67" s="130" t="str" cm="1">
        <f t="array" ref="Q67:R74">_xlfn.CHOOSECOLS(Fertiliser_Equations_InorganicN2O.VEERG_5_1_1_1__1_InorganicFertiliserApplicationN2OEmissions_Arguments_Method2(), 3,4)</f>
        <v>kg N</v>
      </c>
      <c r="R67" s="126" t="str">
        <v>Calculated from 5.1.1.1 (2)</v>
      </c>
      <c r="S67" s="125"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30" t="str">
        <v>EF_jN2O</v>
      </c>
      <c r="N68" s="136" t="str">
        <v>emission factor for nitrous oxide for inorganic fertilisers</v>
      </c>
      <c r="O68" s="144"/>
      <c r="P68" s="141"/>
      <c r="Q68" s="130" t="str">
        <v>kg N2O-N/kg N applied</v>
      </c>
      <c r="R68" s="126" t="str">
        <v>Calculated from 5.1.1.2 (1)(2)(3)</v>
      </c>
      <c r="S68" s="130"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30" t="str">
        <v>C_N2O</v>
      </c>
      <c r="N69" s="136" t="str">
        <v>factor to convert elemental mass of nitrous oxide to molecular mass</v>
      </c>
      <c r="O69" s="144"/>
      <c r="P69" s="141"/>
      <c r="Q69" s="130" t="str">
        <v/>
      </c>
      <c r="R69" s="126" t="str">
        <v>Constant</v>
      </c>
      <c r="S69" s="130">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0" t="str">
        <v>j</v>
      </c>
      <c r="N70" s="136" t="str">
        <v>Production system</v>
      </c>
      <c r="O70" s="144"/>
      <c r="P70" s="141"/>
      <c r="Q70" s="130" t="str">
        <v/>
      </c>
      <c r="R70" s="119" t="str">
        <v>Input</v>
      </c>
      <c r="S70" s="130"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30" t="str">
        <v>c</v>
      </c>
      <c r="N71" s="136" t="str">
        <v>Crop type</v>
      </c>
      <c r="O71" s="144"/>
      <c r="P71" s="141"/>
      <c r="Q71" s="130" t="str">
        <v/>
      </c>
      <c r="R71" s="119" t="str">
        <v>Input</v>
      </c>
      <c r="S71" s="130"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30" t="str">
        <v>f</v>
      </c>
      <c r="N72" s="136" t="str">
        <v>Inorganic fertiliser type</v>
      </c>
      <c r="O72" s="144"/>
      <c r="P72" s="141"/>
      <c r="Q72" s="130" t="str">
        <v/>
      </c>
      <c r="R72" s="126" t="str">
        <v>Constant</v>
      </c>
      <c r="S72" s="130" t="s">
        <v>638</v>
      </c>
    </row>
    <row r="73" spans="4:19" ht="20.100000000000001" customHeight="1" x14ac:dyDescent="0.25">
      <c r="D73" s="25" t="str">
        <v>Zinc - Generic</v>
      </c>
      <c r="E73" s="25" cm="1">
        <f t="array" ref="E73">Fertiliser_Equations_InorganicN2O.VEERG_5_1_1_1__1_InorganicFertiliserApplicationN2OEmissions(G32,$I$50,$I$51)</f>
        <v>0</v>
      </c>
      <c r="M73" s="130" t="str">
        <v>ir</v>
      </c>
      <c r="N73" s="136" t="str">
        <v>irrigation method</v>
      </c>
      <c r="O73" s="144"/>
      <c r="P73" s="141"/>
      <c r="Q73" s="130" t="str">
        <v/>
      </c>
      <c r="R73" s="119" t="str">
        <v>Input</v>
      </c>
      <c r="S73" s="130"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36" t="str">
        <v>z</v>
      </c>
      <c r="N74" s="136" t="str">
        <v>rainfall zone</v>
      </c>
      <c r="O74" s="144"/>
      <c r="P74" s="144"/>
      <c r="Q74" s="130" t="str">
        <v/>
      </c>
      <c r="R74" s="119" t="str">
        <v>Input</v>
      </c>
      <c r="S74" s="130"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22" t="s">
        <v>626</v>
      </c>
      <c r="N76" s="122" t="s">
        <v>626</v>
      </c>
      <c r="O76" s="122" t="s">
        <v>639</v>
      </c>
      <c r="P76" s="122" t="s">
        <v>637</v>
      </c>
    </row>
    <row r="77" spans="4:19" ht="20.100000000000001" customHeight="1" x14ac:dyDescent="0.25">
      <c r="D77" s="25" t="str">
        <v>Ammonia</v>
      </c>
      <c r="E77" s="25" cm="1">
        <f t="array" ref="E77">Fertiliser_Equations_InorganicN2O.VEERG_5_1_1_1__1_InorganicFertiliserApplicationN2OEmissions(G36,$I$50,$I$51)</f>
        <v>0.38175107142857145</v>
      </c>
      <c r="M77" s="25" t="s">
        <v>633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33" t="s">
        <v>640</v>
      </c>
      <c r="E80" s="134">
        <f>SUM(E60:E78)</f>
        <v>1.206185042857143</v>
      </c>
      <c r="F80" s="135" t="str">
        <f>$E$47</f>
        <v>t N2O</v>
      </c>
      <c r="M80" s="25" t="s">
        <v>633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30" t="str" cm="1">
        <f t="array" ref="D82:E83">Common_Equations.Common_ConvertN2OToCO2e_Arguments()</f>
        <v>EN2O</v>
      </c>
      <c r="E82" s="136" t="str">
        <v>Nitrous oxide emissions (t N2O)</v>
      </c>
      <c r="F82" s="137"/>
      <c r="G82" s="25">
        <f>VEERG_5_1_1_1__1_InorganicFertiliserApplicationN2OEmissions_Result_Method1</f>
        <v>1.206185042857143</v>
      </c>
      <c r="M82" s="25" t="s">
        <v>634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30" t="str">
        <v>GWPN2O</v>
      </c>
      <c r="E83" s="136" t="str">
        <v>Global warming potential for nitrous oxide (t CO2-e / t N2O)</v>
      </c>
      <c r="F83" s="137"/>
      <c r="G83" s="25">
        <f>Common_InputFunctions.Utility_LookupValueInTableNumber("N2O",Table_GWPData[Gas],Table_GWPData[CO2-e factor])</f>
        <v>265</v>
      </c>
      <c r="M83" s="25" t="s">
        <v>634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407</v>
      </c>
      <c r="E85" s="100" cm="1">
        <f t="array" ref="E85">Common_Equations.Common_ConvertN2OToCO2e(G82,G83)</f>
        <v>319.63903635714291</v>
      </c>
      <c r="F85" s="138" t="str" cm="1">
        <f t="array" ref="F85">Common_Equations.Common_ConvertN2OToCO2e_Unit()</f>
        <v>t CO2e</v>
      </c>
      <c r="M85" s="25" t="s">
        <v>634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33" t="s">
        <v>640</v>
      </c>
      <c r="N88" s="134">
        <f>SUM(P77:P86)</f>
        <v>1.2061850428571428</v>
      </c>
      <c r="O88" s="135" t="str">
        <f>$E$47</f>
        <v>t N2O</v>
      </c>
    </row>
    <row r="89" spans="4:16" ht="20.100000000000001" customHeight="1" x14ac:dyDescent="0.25"/>
    <row r="90" spans="4:16" ht="20.100000000000001" customHeight="1" x14ac:dyDescent="0.25">
      <c r="M90" s="130" t="str" cm="1">
        <f t="array" ref="M90:N91">Common_Equations.Common_ConvertN2OToCO2e_Arguments()</f>
        <v>EN2O</v>
      </c>
      <c r="N90" s="136" t="str">
        <v>Nitrous oxide emissions (t N2O)</v>
      </c>
      <c r="O90" s="137"/>
      <c r="P90" s="25">
        <f>VEERG_5_1_1_1__1_InorganicFertiliserApplicationN2OEmissions_Result_Method2</f>
        <v>1.2061850428571428</v>
      </c>
    </row>
    <row r="91" spans="4:16" ht="20.100000000000001" customHeight="1" x14ac:dyDescent="0.25">
      <c r="M91" s="130" t="str">
        <v>GWPN2O</v>
      </c>
      <c r="N91" s="136" t="str">
        <v>Global warming potential for nitrous oxide (t CO2-e / t N2O)</v>
      </c>
      <c r="O91" s="137"/>
      <c r="P91" s="25">
        <f>Common_InputFunctions.Utility_LookupValueInTableNumber("N2O",Table_GWPData[Gas],Table_GWPData[CO2-e factor])</f>
        <v>265</v>
      </c>
    </row>
    <row r="92" spans="4:16" ht="20.100000000000001" customHeight="1" x14ac:dyDescent="0.25"/>
    <row r="93" spans="4:16" ht="20.100000000000001" customHeight="1" x14ac:dyDescent="0.25">
      <c r="M93" s="100" t="s">
        <v>407</v>
      </c>
      <c r="N93" s="100" cm="1">
        <f t="array" ref="N93">Common_Equations.Common_ConvertN2OToCO2e(P90,P91)</f>
        <v>319.63903635714286</v>
      </c>
      <c r="O93" s="138"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8424F743-D8B7-4A67-8C1C-8D6CD53F82FF}"/>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AA0A6-A5C5-4CC8-9B38-CFF2F9E6A78C}">
  <dimension ref="A1:U165"/>
  <sheetViews>
    <sheetView showGridLines="0" topLeftCell="A51"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641</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6" t="s">
        <v>257</v>
      </c>
      <c r="E7" s="116"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Fertiliser_Equations_InorganicCO2.VEERG_5_1_1_3__2_MassOfUreaInInorganicFertiliser_Variable()</f>
        <v>MU_jf</v>
      </c>
    </row>
    <row r="11" spans="1:21" ht="20.100000000000001" customHeight="1" x14ac:dyDescent="0.25">
      <c r="A11" s="5" t="str">
        <f>HYPERLINK("#'Input - Dairy'!A1", "Dairy")</f>
        <v>Dairy</v>
      </c>
      <c r="D11" s="88" t="s">
        <v>127</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4">_xlfn.CHOOSECOLS(Fertiliser_Equations_InorganicCO2.VEERG_5_1_1_3__2_MassOfUreaInInorganicFertiliser_Arguments(), 1, 2)</f>
        <v>TM_jf</v>
      </c>
      <c r="E13" s="136" t="str">
        <v>total mass of inorganic fertiliser type f applied to production system j</v>
      </c>
      <c r="F13" s="141"/>
      <c r="G13" s="130" t="str" cm="1">
        <f t="array" ref="G13:H14">_xlfn.CHOOSECOLS(Fertiliser_Equations_InorganicCO2.VEERG_5_1_1_3__2_MassOfUreaInInorganicFertiliser_Arguments(), 3, 4)</f>
        <v>kg</v>
      </c>
      <c r="H13" s="119" t="str">
        <v>Input</v>
      </c>
      <c r="I13" s="125"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0" t="str">
        <v>FU_f</v>
      </c>
      <c r="E14" s="136" t="str">
        <v>fraction of urea in fertiliser type f</v>
      </c>
      <c r="F14" s="141"/>
      <c r="G14" s="130" t="str">
        <v>kg urea/kg</v>
      </c>
      <c r="H14" s="126" t="str">
        <v>Lookup</v>
      </c>
      <c r="I14" s="125"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642</v>
      </c>
    </row>
    <row r="17" spans="1:7" ht="20.100000000000001" customHeight="1" x14ac:dyDescent="0.25">
      <c r="A17" s="5" t="str">
        <f>HYPERLINK("#'Input - Fertiliser'!A1", "Fertiliser")</f>
        <v>Fertiliser</v>
      </c>
      <c r="D17" s="121" t="s">
        <v>643</v>
      </c>
    </row>
    <row r="18" spans="1:7" ht="20.100000000000001" customHeight="1" x14ac:dyDescent="0.25">
      <c r="A18" s="5" t="str">
        <f>HYPERLINK("#'Input - Fuel'!A1", "Fuel")</f>
        <v>Fuel</v>
      </c>
      <c r="D18" s="122" t="s">
        <v>614</v>
      </c>
      <c r="E18" s="96" t="s">
        <v>615</v>
      </c>
      <c r="F18" s="122" t="s">
        <v>644</v>
      </c>
      <c r="G18" s="122" t="s">
        <v>645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17"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00"/>
      <c r="D40" s="100"/>
      <c r="E40" s="100"/>
      <c r="F40" s="100"/>
      <c r="G40" s="100"/>
      <c r="H40" s="100"/>
      <c r="I40" s="100"/>
      <c r="J40" s="100"/>
      <c r="K40" s="100"/>
      <c r="L40" s="100"/>
    </row>
    <row r="41" spans="1:12" ht="20.100000000000001" customHeight="1" x14ac:dyDescent="0.25">
      <c r="A41" s="5" t="str">
        <f>HYPERLINK("#'4.3.1.3-4 Direct N20'!A1", "4.3.1.3-4 Direct N20")</f>
        <v>4.3.1.3-4 Direct N20</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HYPERLINK("#'4.3.1.5 Atmos deposition'!A1", "4.3.1.5 Atmos deposition")</f>
        <v>4.3.1.5 Atmos deposition</v>
      </c>
      <c r="D42" s="27" t="str" cm="1">
        <f t="array" ref="D42">Fertiliser_Equations_InorganicCO2.VEERG_5_1_1_3__1_InorganicFertiliserApplicationCO2Emissions_Source()</f>
        <v>VEERG 2026: 5.1.1.3,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Fertiliser_Equations_InorganicCO2.VEERG_5_1_1_3__1_InorganicFertiliserApplicationCO2Emissions_Variable()</f>
        <v>E_CO2</v>
      </c>
    </row>
    <row r="47" spans="1:12" ht="20.100000000000001" customHeight="1" x14ac:dyDescent="0.25">
      <c r="A47" s="5" t="str">
        <f>HYPERLINK("#'4.3.1.12-13 Soil leach runoff'!A1", "4.3.1.12-13 Soil leach runoff")</f>
        <v>4.3.1.12-13 Soil leach runoff</v>
      </c>
      <c r="D47" s="88" t="s">
        <v>127</v>
      </c>
      <c r="E47" s="15" t="str" cm="1">
        <f t="array" ref="E47">Fertiliser_Equations_InorganicCO2.VEERG_5_1_1_3__1_InorganicFertiliserApplicationCO2Emissions_Unit()</f>
        <v>t CO2</v>
      </c>
    </row>
    <row r="48" spans="1:12" ht="20.100000000000001" customHeight="1" x14ac:dyDescent="0.25">
      <c r="A48" s="5" t="str">
        <f>HYPERLINK("#'3.3.1.1-2 Enteric Methane'!A1", "3.3.1.1-2 Enteric Methane")</f>
        <v>3.3.1.1-2 Enteric Methane</v>
      </c>
    </row>
    <row r="49" spans="1:9" ht="20.100000000000001" customHeight="1" x14ac:dyDescent="0.25">
      <c r="A49" s="5" t="str">
        <f>HYPERLINK("#'10.1.1-2 Solid waste treatment'!A1", "10.1.1-2 Solid waste treatment")</f>
        <v>10.1.1-2 Solid waste treatment</v>
      </c>
      <c r="D49" s="130" t="str" cm="1">
        <f t="array" ref="D49:E53">_xlfn.CHOOSECOLS(Fertiliser_Equations_InorganicCO2.VEERG_5_1_1_3__1_InorganicFertiliserApplicationCO2Emissions_Arguments(), 1, 2)</f>
        <v>MU_jf</v>
      </c>
      <c r="E49" s="136" t="str">
        <v>mass of urea of inorganic fertiliser type f applied to production system j</v>
      </c>
      <c r="F49" s="141"/>
      <c r="G49" s="130" t="str" cm="1">
        <f t="array" ref="G49:H53">_xlfn.CHOOSECOLS(Fertiliser_Equations_InorganicCO2.VEERG_5_1_1_3__1_InorganicFertiliserApplicationCO2Emissions_Arguments(), 3,4)</f>
        <v>kg urea</v>
      </c>
      <c r="H49" s="126" t="str">
        <v>Calculated</v>
      </c>
      <c r="I49" s="125" t="str" cm="1">
        <f t="array" aca="1" ref="I49" ca="1">HYPERLINK(Common_InputFunctions.Utility_SourceHyperlink($D$16), $D$16)</f>
        <v>Table_MU_j_f</v>
      </c>
    </row>
    <row r="50" spans="1:9" ht="20.100000000000001" customHeight="1" x14ac:dyDescent="0.25">
      <c r="D50" s="130" t="str">
        <v>EF_ureaCO2</v>
      </c>
      <c r="E50" s="136" t="str">
        <v>emission factor for carbon emissions from urea-based fertilisers</v>
      </c>
      <c r="F50" s="141"/>
      <c r="G50" s="130" t="str">
        <v>kg C/kg urea</v>
      </c>
      <c r="H50" s="126" t="str">
        <v>Constant</v>
      </c>
      <c r="I50" s="130">
        <f>Fertiliser_EFUreaCO2_Data</f>
        <v>0.2</v>
      </c>
    </row>
    <row r="51" spans="1:9" ht="20.100000000000001" customHeight="1" x14ac:dyDescent="0.25">
      <c r="D51" s="130" t="str">
        <v>C_CO2</v>
      </c>
      <c r="E51" s="136" t="str">
        <v>factor to convert elemental mass of carbon to molecular mass of carbon dioxide</v>
      </c>
      <c r="F51" s="141"/>
      <c r="G51" s="130" t="str">
        <v/>
      </c>
      <c r="H51" s="126" t="str">
        <v>Constant</v>
      </c>
      <c r="I51" s="130">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30" t="str">
        <v>j</v>
      </c>
      <c r="E52" s="136" t="str">
        <v>Production system</v>
      </c>
      <c r="F52" s="141"/>
      <c r="G52" s="130" t="str">
        <v/>
      </c>
      <c r="H52" s="119" t="str">
        <v>Input</v>
      </c>
      <c r="I52" s="130" t="str">
        <f>X_Cell_Fertiliser_ProductionSystem</f>
        <v>Pasture</v>
      </c>
    </row>
    <row r="53" spans="1:9" ht="20.100000000000001" customHeight="1" x14ac:dyDescent="0.25">
      <c r="A53" s="5" t="str">
        <f>HYPERLINK("#'Constants - Dairy'!A1", "Constants - Dairy")</f>
        <v>Constants - Dairy</v>
      </c>
      <c r="D53" s="130" t="str">
        <v>f</v>
      </c>
      <c r="E53" s="136" t="str">
        <v>Inorganic fertiliser type</v>
      </c>
      <c r="F53" s="141"/>
      <c r="G53" s="130" t="str">
        <v/>
      </c>
      <c r="H53" s="126" t="str">
        <v>Lookup</v>
      </c>
      <c r="I53" s="125"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20" t="s">
        <v>646</v>
      </c>
    </row>
    <row r="56" spans="1:9" ht="20.100000000000001" customHeight="1" x14ac:dyDescent="0.25">
      <c r="A56" s="5" t="str">
        <f>HYPERLINK("#'Constants - Electricity'!A1", "Constants - Electricity")</f>
        <v>Constants - Electricity</v>
      </c>
      <c r="D56" s="121" t="s">
        <v>647</v>
      </c>
    </row>
    <row r="57" spans="1:9" ht="20.100000000000001" customHeight="1" x14ac:dyDescent="0.25">
      <c r="A57" s="5" t="str">
        <f>HYPERLINK("#'Constants - Fertiliser'!A1", "Constants - Fertiliser")</f>
        <v>Constants - Fertiliser</v>
      </c>
      <c r="D57" s="122" t="s">
        <v>614</v>
      </c>
      <c r="E57" s="122" t="s">
        <v>637</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33" t="s">
        <v>648</v>
      </c>
      <c r="E78" s="134">
        <f>SUM(E58:E76)</f>
        <v>73.333333333333329</v>
      </c>
      <c r="F78" s="13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5144D-8804-4CBA-A79A-2ACCA6F75D1E}">
  <dimension ref="A1:U165"/>
  <sheetViews>
    <sheetView showGridLines="0" topLeftCell="A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649</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6" t="s">
        <v>257</v>
      </c>
      <c r="E7" s="116"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8" t="s">
        <v>127</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5">_xlfn.CHOOSECOLS(Fertiliser_Equations_OrganicN2O.VEERG_5_2_1_1__2_MassOfNitrogenInOrganicFertiliser_Arguments(), 1, 2)</f>
        <v>M_organicjf</v>
      </c>
      <c r="E13" s="136" t="str">
        <v>mass of organic fertiliser type f applied to production system j</v>
      </c>
      <c r="F13" s="141"/>
      <c r="G13" s="118" t="str" cm="1">
        <f t="array" ref="G13:H15">_xlfn.CHOOSECOLS(Fertiliser_Equations_OrganicN2O.VEERG_5_2_1_1__2_MassOfNitrogenInOrganicFertiliser_Arguments(), 3,4)</f>
        <v>kg</v>
      </c>
      <c r="H13" s="119" t="str">
        <v>Input</v>
      </c>
      <c r="I13" s="125"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0" t="str">
        <v>FN_organicf</v>
      </c>
      <c r="E14" s="136" t="str">
        <v>nitrogen fraction of organic fertiliser type f</v>
      </c>
      <c r="F14" s="141"/>
      <c r="G14" s="118" t="str">
        <v>kg N/kg</v>
      </c>
      <c r="H14" s="119" t="str">
        <v>Input</v>
      </c>
      <c r="I14" s="125" t="str" cm="1">
        <f t="array" aca="1" ref="I14" ca="1">HYPERLINK(Common_InputFunctions.Utility_SourceHyperlink($D$17), $D$17)</f>
        <v>Table_MNSoil_j_f</v>
      </c>
    </row>
    <row r="15" spans="1:21" ht="20.100000000000001" customHeight="1" x14ac:dyDescent="0.25">
      <c r="A15" s="5" t="str">
        <f>HYPERLINK("#'Input - Pasture'!A1", "Pasture")</f>
        <v>Pasture</v>
      </c>
      <c r="D15" s="130" t="str">
        <v>f</v>
      </c>
      <c r="E15" s="136" t="str">
        <v>Organic fertiliser type</v>
      </c>
      <c r="F15" s="141"/>
      <c r="G15" s="118" t="str">
        <v/>
      </c>
      <c r="H15" s="119" t="str">
        <v>Input</v>
      </c>
      <c r="I15" s="125"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0" t="s">
        <v>650</v>
      </c>
    </row>
    <row r="18" spans="1:10" ht="20.100000000000001" customHeight="1" x14ac:dyDescent="0.25">
      <c r="A18" s="5" t="str">
        <f>HYPERLINK("#'Input - Fuel'!A1", "Fuel")</f>
        <v>Fuel</v>
      </c>
      <c r="D18" s="121" t="s">
        <v>651</v>
      </c>
    </row>
    <row r="19" spans="1:10" ht="20.100000000000001" customHeight="1" x14ac:dyDescent="0.25">
      <c r="A19" s="5" t="str">
        <f>HYPERLINK("#'Input - Electricity'!A1", "Electricity")</f>
        <v>Electricity</v>
      </c>
      <c r="D19" s="96" t="s">
        <v>652</v>
      </c>
      <c r="E19" s="96" t="s">
        <v>653</v>
      </c>
      <c r="F19" s="96" t="s">
        <v>553</v>
      </c>
      <c r="G19" s="186" t="s">
        <v>654</v>
      </c>
      <c r="H19" s="186" t="s">
        <v>655</v>
      </c>
      <c r="I19" s="186" t="s">
        <v>656</v>
      </c>
    </row>
    <row r="20" spans="1:10" ht="20.100000000000001" customHeight="1" x14ac:dyDescent="0.25">
      <c r="A20" s="5" t="str">
        <f>HYPERLINK("#'Input - Farm Inputs'!A1", "Farm Inputs")</f>
        <v>Farm Inputs</v>
      </c>
      <c r="D20" s="25" t="str" cm="1">
        <f t="array" ref="D20:D22">Table_Input_OrganicFertiliser[Organic fertiliser type (select)]</f>
        <v>Manure - Other</v>
      </c>
      <c r="E20" s="187" cm="1">
        <f t="array" ref="E20:E22">Table_Input_OrganicFertiliser[Amount applied (kg/hectare)]</f>
        <v>10</v>
      </c>
      <c r="F20" s="187" cm="1">
        <f t="array" ref="F20:F22">Table_Input_OrganicFertiliser[Application area (ha)]</f>
        <v>1000</v>
      </c>
      <c r="G20" s="25" cm="1">
        <f t="array" ref="G20:G22">Table_Input_OrganicFertiliser[Amount applied (kg/hectare)]*Table_Input_OrganicFertiliser[Application area (ha)]</f>
        <v>10000</v>
      </c>
      <c r="H20" s="18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17"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89"/>
      <c r="E31" s="189"/>
      <c r="F31" s="189"/>
      <c r="G31" s="189"/>
      <c r="H31" s="189"/>
      <c r="I31" s="189"/>
      <c r="J31" s="189"/>
    </row>
    <row r="32" spans="1:10" ht="20.100000000000001" customHeight="1" x14ac:dyDescent="0.25">
      <c r="A32" s="5" t="str">
        <f>HYPERLINK("#'5.5.1.1-2 Leaching and runoff'!A1", "5.5.1.1-2 Leaching &amp; runoff")</f>
        <v>5.5.1.1-2 Leaching &amp; runoff</v>
      </c>
      <c r="D32" s="140" t="s">
        <v>657</v>
      </c>
      <c r="E32" s="140">
        <f>SUM(I20:I30)</f>
        <v>7100</v>
      </c>
      <c r="F32" s="190" t="str">
        <f>$E$11</f>
        <v>kg N</v>
      </c>
      <c r="G32" s="189"/>
      <c r="H32" s="189"/>
      <c r="I32" s="189"/>
      <c r="J32" s="189"/>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1"/>
      <c r="D35" s="191"/>
      <c r="E35" s="191"/>
      <c r="F35" s="191"/>
      <c r="G35" s="191"/>
      <c r="H35" s="191"/>
      <c r="I35" s="191"/>
      <c r="J35" s="191"/>
      <c r="K35" s="191"/>
      <c r="L35" s="191"/>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16" t="s">
        <v>257</v>
      </c>
      <c r="E38" s="116"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row>
    <row r="41" spans="1:12" ht="20.100000000000001" customHeight="1" x14ac:dyDescent="0.25">
      <c r="A41" s="5" t="str">
        <f>HYPERLINK("#'4.3.1.3-4 Direct N20'!A1", "4.3.1.3-4 Direct N20")</f>
        <v>4.3.1.3-4 Direct N20</v>
      </c>
      <c r="D41" s="88" t="s">
        <v>258</v>
      </c>
      <c r="E41" s="1" t="str" cm="1">
        <f t="array" ref="E41">Fertiliser_Equations_OrganicN2O.VEERG_5_2_1_1__1_OrganicFertiliserApplicationN2OEmissions_Variable()</f>
        <v>E_N2O</v>
      </c>
    </row>
    <row r="42" spans="1:12" ht="20.100000000000001" customHeight="1" x14ac:dyDescent="0.25">
      <c r="A42" s="5" t="str">
        <f>HYPERLINK("#'4.3.1.5 Atmos deposition'!A1", "4.3.1.5 Atmos deposition")</f>
        <v>4.3.1.5 Atmos deposition</v>
      </c>
      <c r="D42" s="88" t="s">
        <v>127</v>
      </c>
      <c r="E42" s="15" t="str" cm="1">
        <f t="array" ref="E42">Fertiliser_Equations_OrganicN2O.VEERG_5_2_1_1__1_OrganicFertiliserApplicationN2OEmissions_Unit()</f>
        <v>t N2O</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c r="D44" s="118" t="str" cm="1">
        <f t="array" ref="D44:E48">_xlfn.CHOOSECOLS(Fertiliser_Equations_OrganicN2O.VEERG_5_2_1_1__1_OrganicFertiliserApplicationN2OEmissions_Arguments(), 1, 2)</f>
        <v>MNSoil_jf</v>
      </c>
      <c r="E44" s="123" t="str">
        <v>mass of nitrogen in organic fertiliser type f applied to production system j</v>
      </c>
      <c r="F44" s="131"/>
      <c r="G44" s="131"/>
      <c r="H44" s="124"/>
      <c r="I44" s="118" t="str" cm="1">
        <f t="array" ref="I44:J48">_xlfn.CHOOSECOLS(Fertiliser_Equations_OrganicN2O.VEERG_5_2_1_1__1_OrganicFertiliserApplicationN2OEmissions_Arguments(), 3,4)</f>
        <v>kg N</v>
      </c>
      <c r="J44" s="126" t="str">
        <v>Calculated from 5.2.1.1 (2)</v>
      </c>
      <c r="K44" s="118">
        <f>$E$32</f>
        <v>7100</v>
      </c>
    </row>
    <row r="45" spans="1:12" ht="20.100000000000001" customHeight="1" x14ac:dyDescent="0.25">
      <c r="A45" s="5" t="str">
        <f>HYPERLINK("#'4.3.1.9 Soil direct N2O'!A1", "4.3.1.9 Soil direct N2O")</f>
        <v>4.3.1.9 Soil direct N2O</v>
      </c>
      <c r="D45" s="118" t="str">
        <v>EF_N2Oi</v>
      </c>
      <c r="E45" s="123" t="str">
        <v>emission factor for direct nitrous oxide emissions from organic fertiliser applied to soils and aquatic systems in climate zone i</v>
      </c>
      <c r="F45" s="131"/>
      <c r="G45" s="131"/>
      <c r="H45" s="124"/>
      <c r="I45" s="118" t="str">
        <v>kg N2O-N/kg N</v>
      </c>
      <c r="J45" s="126" t="str">
        <v>Lookup</v>
      </c>
      <c r="K45" s="118">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HYPERLINK("#'4.3.1.10-11 Soil Atmos Dep'!A1", "4.3.1.10-11 Soil Atmos Dep")</f>
        <v>4.3.1.10-11 Soil Atmos Dep</v>
      </c>
      <c r="D46" s="118" t="str">
        <v>C_N2O</v>
      </c>
      <c r="E46" s="123" t="str">
        <v>factor to convert elemental mass of nitrous oxide to molecular mass</v>
      </c>
      <c r="F46" s="131"/>
      <c r="G46" s="131"/>
      <c r="H46" s="124"/>
      <c r="I46" s="118" t="str">
        <v/>
      </c>
      <c r="J46" s="126" t="str">
        <v>Constant</v>
      </c>
      <c r="K46" s="130">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HYPERLINK("#'4.3.1.12-13 Soil leach runoff'!A1", "4.3.1.12-13 Soil leach runoff")</f>
        <v>4.3.1.12-13 Soil leach runoff</v>
      </c>
      <c r="D47" s="118" t="str">
        <v>j</v>
      </c>
      <c r="E47" s="123" t="str">
        <v>Production system</v>
      </c>
      <c r="F47" s="131"/>
      <c r="G47" s="131"/>
      <c r="H47" s="124"/>
      <c r="I47" s="118" t="str">
        <v/>
      </c>
      <c r="J47" s="119" t="str">
        <v>Input</v>
      </c>
      <c r="K47" s="118" t="str">
        <f>X_Cell_Fertiliser_ProductionSystem</f>
        <v>Pasture</v>
      </c>
    </row>
    <row r="48" spans="1:12" ht="20.100000000000001" customHeight="1" x14ac:dyDescent="0.25">
      <c r="A48" s="5" t="str">
        <f>HYPERLINK("#'3.3.1.1-2 Enteric Methane'!A1", "3.3.1.1-2 Enteric Methane")</f>
        <v>3.3.1.1-2 Enteric Methane</v>
      </c>
      <c r="D48" s="118" t="str">
        <v>i</v>
      </c>
      <c r="E48" s="123" t="str">
        <v>Wet or dry climate zone</v>
      </c>
      <c r="F48" s="131"/>
      <c r="G48" s="131"/>
      <c r="H48" s="124"/>
      <c r="I48" s="118" t="str">
        <v/>
      </c>
      <c r="J48" s="119" t="str">
        <v>Input</v>
      </c>
      <c r="K48" s="118"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33" t="s">
        <v>640</v>
      </c>
      <c r="E50" s="134" cm="1">
        <f t="array" ref="E50">Fertiliser_Equations_OrganicN2O.VEERG_5_2_1_1__1_OrganicFertiliserApplicationN2OEmissions(K44,K45,K46)</f>
        <v>5.5785714285714286E-2</v>
      </c>
      <c r="F50" s="135" t="str">
        <f>$E$42</f>
        <v>t N2O</v>
      </c>
    </row>
    <row r="51" spans="1:7" ht="20.100000000000001" customHeight="1" x14ac:dyDescent="0.25"/>
    <row r="52" spans="1:7" ht="20.100000000000001" customHeight="1" x14ac:dyDescent="0.25">
      <c r="A52" s="99" t="s">
        <v>1</v>
      </c>
      <c r="D52" s="130" t="str" cm="1">
        <f t="array" ref="D52:E53">Common_Equations.Common_ConvertN2OToCO2e_Arguments()</f>
        <v>EN2O</v>
      </c>
      <c r="E52" s="136" t="str">
        <v>Nitrous oxide emissions (t N2O)</v>
      </c>
      <c r="F52" s="137"/>
      <c r="G52" s="25">
        <f>VEERG_5_2_1_1__2_MassOfNitrogenInOrganicFertiliser_Result_Method1</f>
        <v>5.5785714285714286E-2</v>
      </c>
    </row>
    <row r="53" spans="1:7" ht="20.100000000000001" customHeight="1" x14ac:dyDescent="0.25">
      <c r="A53" s="5" t="str">
        <f>HYPERLINK("#'Constants - Dairy'!A1", "Constants - Dairy")</f>
        <v>Constants - Dairy</v>
      </c>
      <c r="D53" s="130" t="str">
        <v>GWPN2O</v>
      </c>
      <c r="E53" s="136" t="str">
        <v>Global warming potential for nitrous oxide (t CO2-e / t N2O)</v>
      </c>
      <c r="F53" s="137"/>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407</v>
      </c>
      <c r="E55" s="100" cm="1">
        <f t="array" ref="E55">Common_Equations.Common_ConvertN2OToCO2e(G52,G53)</f>
        <v>14.783214285714285</v>
      </c>
      <c r="F55" s="138"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42849-5459-4FA2-8C86-446067BF8F6E}">
  <dimension ref="A1:U165"/>
  <sheetViews>
    <sheetView showGridLines="0" topLeftCell="A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658</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6" t="s">
        <v>257</v>
      </c>
      <c r="E7" s="116"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Fertiliser_Equations_Lime.VEERG_5_3_1_1__1_LimeApplicationCO2Emissions_Variable()</f>
        <v>E_lime</v>
      </c>
    </row>
    <row r="11" spans="1:21" ht="20.100000000000001" customHeight="1" x14ac:dyDescent="0.25">
      <c r="A11" s="5" t="str">
        <f>HYPERLINK("#'Input - Dairy'!A1", "Dairy")</f>
        <v>Dairy</v>
      </c>
      <c r="D11" s="88" t="s">
        <v>127</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20">_xlfn.CHOOSECOLS(Fertiliser_Equations_Lime.VEERG_5_3_1_1__1_LimeApplicationCO2Emissions_Arguments(), 1, 2)</f>
        <v>M_lime</v>
      </c>
      <c r="E13" s="123" t="str">
        <v>total mass of lime applied to production system</v>
      </c>
      <c r="F13" s="124"/>
      <c r="G13" s="118" t="str" cm="1">
        <f t="array" ref="G13:H20">_xlfn.CHOOSECOLS(Fertiliser_Equations_Lime.VEERG_5_3_1_1__1_LimeApplicationCO2Emissions_Arguments(), 3,4)</f>
        <v>kg</v>
      </c>
      <c r="H13" s="119" t="str">
        <v>Input</v>
      </c>
      <c r="I13" s="125"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18" t="str">
        <v>FracLime</v>
      </c>
      <c r="E14" s="123" t="str">
        <v>fraction of lime as limestone (CaCO3)</v>
      </c>
      <c r="F14" s="124"/>
      <c r="G14" s="118" t="str">
        <v>fraction</v>
      </c>
      <c r="H14" s="119" t="str">
        <v>Input</v>
      </c>
      <c r="I14" s="125" t="str" cm="1">
        <f t="array" aca="1" ref="I14" ca="1">HYPERLINK(Common_InputFunctions.Utility_SourceHyperlink($D$22), $D$22)</f>
        <v>Table_E_lime</v>
      </c>
    </row>
    <row r="15" spans="1:21" ht="20.100000000000001" customHeight="1" x14ac:dyDescent="0.25">
      <c r="A15" s="5" t="str">
        <f>HYPERLINK("#'Input - Pasture'!A1", "Pasture")</f>
        <v>Pasture</v>
      </c>
      <c r="D15" s="118" t="str">
        <v>P_lime</v>
      </c>
      <c r="E15" s="123" t="str">
        <v>fractional purity of limestone</v>
      </c>
      <c r="F15" s="124"/>
      <c r="G15" s="118" t="str">
        <v>fraction</v>
      </c>
      <c r="H15" s="126" t="str">
        <v>Constant</v>
      </c>
      <c r="I15" s="118">
        <f>'Constants - Fertiliser'!$E$66</f>
        <v>0.9</v>
      </c>
    </row>
    <row r="16" spans="1:21" ht="20.100000000000001" customHeight="1" x14ac:dyDescent="0.25">
      <c r="A16" s="5" t="str">
        <f>HYPERLINK("#'Input - Fert Prod System'!A1", "Fert Prod System")</f>
        <v>Fert Prod System</v>
      </c>
      <c r="D16" s="118" t="str">
        <v>EF_lime</v>
      </c>
      <c r="E16" s="123" t="str">
        <v>emission factor for limestone fraction of lime</v>
      </c>
      <c r="F16" s="124"/>
      <c r="G16" s="118" t="str">
        <v>kg C/kg</v>
      </c>
      <c r="H16" s="126" t="str">
        <v>Constant</v>
      </c>
      <c r="I16" s="118">
        <f>'Constants - Fertiliser'!$F$66</f>
        <v>0.12</v>
      </c>
    </row>
    <row r="17" spans="1:9" ht="20.100000000000001" customHeight="1" x14ac:dyDescent="0.25">
      <c r="A17" s="5" t="str">
        <f>HYPERLINK("#'Input - Fertiliser'!A1", "Fertiliser")</f>
        <v>Fertiliser</v>
      </c>
      <c r="D17" s="118" t="str">
        <v>FracDol</v>
      </c>
      <c r="E17" s="123" t="str">
        <v>fraction of lime as dolomite</v>
      </c>
      <c r="F17" s="124"/>
      <c r="G17" s="118" t="str">
        <v>fraction</v>
      </c>
      <c r="H17" s="119" t="str">
        <v>Input</v>
      </c>
      <c r="I17" s="125" t="str" cm="1">
        <f t="array" aca="1" ref="I17" ca="1">HYPERLINK(Common_InputFunctions.Utility_SourceHyperlink($D$22), $D$22)</f>
        <v>Table_E_lime</v>
      </c>
    </row>
    <row r="18" spans="1:9" ht="20.100000000000001" customHeight="1" x14ac:dyDescent="0.25">
      <c r="A18" s="5" t="str">
        <f>HYPERLINK("#'Input - Fuel'!A1", "Fuel")</f>
        <v>Fuel</v>
      </c>
      <c r="D18" s="118" t="str">
        <v>P_dol</v>
      </c>
      <c r="E18" s="123" t="str">
        <v>fractional purity of dolomite</v>
      </c>
      <c r="F18" s="124"/>
      <c r="G18" s="118" t="str">
        <v>fraction</v>
      </c>
      <c r="H18" s="126" t="str">
        <v>Constant</v>
      </c>
      <c r="I18" s="118">
        <f>'Constants - Fertiliser'!$E$67</f>
        <v>0.95</v>
      </c>
    </row>
    <row r="19" spans="1:9" ht="20.100000000000001" customHeight="1" x14ac:dyDescent="0.25">
      <c r="A19" s="5" t="str">
        <f>HYPERLINK("#'Input - Electricity'!A1", "Electricity")</f>
        <v>Electricity</v>
      </c>
      <c r="D19" s="118" t="str">
        <v>EF_dol</v>
      </c>
      <c r="E19" s="123" t="str">
        <v>emission factor for dolomite fraction of lime</v>
      </c>
      <c r="F19" s="124"/>
      <c r="G19" s="118" t="str">
        <v>kg C/kg</v>
      </c>
      <c r="H19" s="126" t="str">
        <v>Constant</v>
      </c>
      <c r="I19" s="118">
        <f>'Constants - Fertiliser'!$F$67</f>
        <v>0.13</v>
      </c>
    </row>
    <row r="20" spans="1:9" ht="20.100000000000001" customHeight="1" x14ac:dyDescent="0.25">
      <c r="A20" s="5" t="str">
        <f>HYPERLINK("#'Input - Farm Inputs'!A1", "Farm Inputs")</f>
        <v>Farm Inputs</v>
      </c>
      <c r="D20" s="118" t="str">
        <v>C_CO2</v>
      </c>
      <c r="E20" s="123" t="str">
        <v>factor to convert elemental mass of carbon dioxide to molecular mass</v>
      </c>
      <c r="F20" s="124"/>
      <c r="G20" s="118" t="str">
        <v/>
      </c>
      <c r="H20" s="126" t="str">
        <v>Constant</v>
      </c>
      <c r="I20" s="130">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20" t="s">
        <v>659</v>
      </c>
    </row>
    <row r="23" spans="1:9" ht="20.100000000000001" customHeight="1" x14ac:dyDescent="0.25">
      <c r="A23" s="5" t="str">
        <f>HYPERLINK("#'Input - Solid waste'!A1", "Solid waste")</f>
        <v>Solid waste</v>
      </c>
      <c r="D23" s="121" t="s">
        <v>660</v>
      </c>
    </row>
    <row r="24" spans="1:9" ht="20.100000000000001" customHeight="1" x14ac:dyDescent="0.25">
      <c r="D24" s="96" t="s">
        <v>661</v>
      </c>
      <c r="E24" s="96" t="s">
        <v>662</v>
      </c>
      <c r="F24" s="96" t="s">
        <v>663</v>
      </c>
      <c r="G24" s="96" t="s">
        <v>664</v>
      </c>
      <c r="H24" s="122" t="s">
        <v>665</v>
      </c>
    </row>
    <row r="25" spans="1:9" ht="20.100000000000001" customHeight="1" x14ac:dyDescent="0.25">
      <c r="D25" s="25" t="str" cm="1">
        <f t="array" ref="D25:D27">Table_Input_Lime[Product]</f>
        <v>Lime product 1</v>
      </c>
      <c r="E25" s="132" cm="1">
        <f t="array" ref="E25:E27">Table_Input_Lime[Total amount applied (t)]*10^3</f>
        <v>1000000</v>
      </c>
      <c r="F25" s="192" cm="1">
        <f t="array" ref="F25:F27">Table_Input_Lime[Percent Lime CaCO3]</f>
        <v>0.8</v>
      </c>
      <c r="G25" s="192"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17" t="str">
        <f>HYPERLINK("#'5.3.1.1-2 Lime CO2'!A1", "5.3.1.1-2 Lime CO2")</f>
        <v>5.3.1.1-2 Lime CO2</v>
      </c>
    </row>
    <row r="31" spans="1:9" ht="20.100000000000001" customHeight="1" x14ac:dyDescent="0.25">
      <c r="A31" s="5" t="str">
        <f>HYPERLINK("#'5.4.1.1-4 Atmos deposition'!A1", "5.4.1.1-4 Atmos. deposition")</f>
        <v>5.4.1.1-4 Atmos. deposition</v>
      </c>
      <c r="D31" s="133" t="s">
        <v>666</v>
      </c>
      <c r="E31" s="134">
        <f>SUM(H25:H29)</f>
        <v>758.08333333333326</v>
      </c>
      <c r="F31" s="193" t="s">
        <v>140</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1FBC-F747-420C-8039-3E2B98DD473D}">
  <dimension ref="A1:U165"/>
  <sheetViews>
    <sheetView showGridLines="0" topLeftCell="A10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667</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6" t="s">
        <v>257</v>
      </c>
      <c r="E7" s="116"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8" t="s">
        <v>127</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_xlfn.CHOOSECOLS(Fertiliser_Equations_AtmosphericDeposition.VEERG_5_4_1_1__2_MassOfNitrogenVolatilisedFromInorganicFertiliser_Arguments(), 1, 2)</f>
        <v>MN_jf</v>
      </c>
      <c r="E13" s="123" t="str">
        <v>mass of nitrogen in inorganic fertiliser applied</v>
      </c>
      <c r="F13" s="124"/>
      <c r="G13" s="118" t="str" cm="1">
        <f t="array" ref="G13:H14">_xlfn.CHOOSECOLS(Fertiliser_Equations_AtmosphericDeposition.VEERG_5_4_1_1__2_MassOfNitrogenVolatilisedFromInorganicFertiliser_Arguments(), 3,4)</f>
        <v>kg N</v>
      </c>
      <c r="H13" s="126" t="str">
        <v>Calculated from 5.1.1.1 (2)</v>
      </c>
      <c r="I13" s="125"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18" t="str">
        <v>FracGASF_f</v>
      </c>
      <c r="E14" s="123" t="str">
        <v>fraction of inorganic fertiliser that volatilises</v>
      </c>
      <c r="F14" s="124"/>
      <c r="G14" s="118" t="str">
        <v>(kg NH3-N + NOx-N)/kg N</v>
      </c>
      <c r="H14" s="126" t="str">
        <v>Constant</v>
      </c>
      <c r="I14" s="125"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668</v>
      </c>
    </row>
    <row r="17" spans="1:8" ht="20.100000000000001" customHeight="1" x14ac:dyDescent="0.25">
      <c r="A17" s="5" t="str">
        <f>HYPERLINK("#'Input - Fertiliser'!A1", "Fertiliser")</f>
        <v>Fertiliser</v>
      </c>
      <c r="D17" s="121" t="s">
        <v>669</v>
      </c>
    </row>
    <row r="18" spans="1:8" ht="20.100000000000001" customHeight="1" x14ac:dyDescent="0.25">
      <c r="A18" s="5" t="str">
        <f>HYPERLINK("#'Input - Fuel'!A1", "Fuel")</f>
        <v>Fuel</v>
      </c>
      <c r="D18" s="122" t="s">
        <v>670</v>
      </c>
      <c r="E18" s="122" t="s">
        <v>671</v>
      </c>
      <c r="F18" s="122" t="s">
        <v>672</v>
      </c>
      <c r="G18" s="194" t="s">
        <v>673</v>
      </c>
      <c r="H18" s="194" t="s">
        <v>674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17"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91"/>
      <c r="D40" s="191"/>
      <c r="E40" s="191"/>
      <c r="F40" s="191"/>
      <c r="G40" s="191"/>
      <c r="H40" s="191"/>
      <c r="I40" s="191"/>
      <c r="J40" s="191"/>
      <c r="K40" s="191"/>
      <c r="L40" s="191"/>
    </row>
    <row r="41" spans="1:12" ht="20.100000000000001" customHeight="1" x14ac:dyDescent="0.25">
      <c r="A41" s="5" t="str">
        <f>HYPERLINK("#'4.3.1.3-4 Direct N20'!A1", "4.3.1.3-4 Direct N20")</f>
        <v>4.3.1.3-4 Direct N20</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HYPERLINK("#'4.3.1.5 Atmos deposition'!A1", "4.3.1.5 Atmos deposition")</f>
        <v>4.3.1.5 Atmos deposition</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HYPERLINK("#'4.3.1.12-13 Soil leach runoff'!A1", "4.3.1.12-13 Soil leach runoff")</f>
        <v>4.3.1.12-13 Soil leach runoff</v>
      </c>
      <c r="D47" s="88" t="s">
        <v>127</v>
      </c>
      <c r="E47" s="15" t="str" cm="1">
        <f t="array" ref="E47">Fertiliser_Equations_AtmosphericDeposition.VEERG_5_4_1_1__1_InorganicFertiliserAtmosphericDepositionN2OEmissions_Unit()</f>
        <v>t N2O</v>
      </c>
    </row>
    <row r="48" spans="1:12" ht="20.100000000000001" customHeight="1" x14ac:dyDescent="0.25">
      <c r="A48" s="5" t="str">
        <f>HYPERLINK("#'3.3.1.1-2 Enteric Methane'!A1", "3.3.1.1-2 Enteric Methane")</f>
        <v>3.3.1.1-2 Enteric Methane</v>
      </c>
    </row>
    <row r="49" spans="1:10" ht="20.100000000000001" customHeight="1" x14ac:dyDescent="0.25">
      <c r="A49" s="5" t="str">
        <f>HYPERLINK("#'10.1.1-2 Solid waste treatment'!A1", "10.1.1-2 Solid waste treatment")</f>
        <v>10.1.1-2 Solid waste treatment</v>
      </c>
      <c r="D49" s="118" t="str" cm="1">
        <f t="array" ref="D49:E54">_xlfn.CHOOSECOLS(Fertiliser_Equations_AtmosphericDeposition.VEERG_5_4_1_1__1_InorganicFertiliserAtmosphericDepositionN2OEmissions_Arguments(), 1, 2)</f>
        <v>M_volinorganicjf</v>
      </c>
      <c r="E49" s="123" t="str">
        <v>mass of nitrogen volatilised from inorganic fertiliser applied to production system</v>
      </c>
      <c r="F49" s="131"/>
      <c r="G49" s="124"/>
      <c r="H49" s="118" t="str" cm="1">
        <f t="array" ref="H49:I54">_xlfn.CHOOSECOLS(Fertiliser_Equations_AtmosphericDeposition.VEERG_5_4_1_1__1_InorganicFertiliserAtmosphericDepositionN2OEmissions_Arguments(), 3,4)</f>
        <v>kg N</v>
      </c>
      <c r="I49" s="126" t="str">
        <v>Calculated from 5.4.1.1 (2)</v>
      </c>
      <c r="J49" s="125" t="str" cm="1">
        <f t="array" aca="1" ref="J49" ca="1">HYPERLINK(Common_InputFunctions.Utility_SourceHyperlink($D$16),$D$16)</f>
        <v>Table_M_vol_inorganic_j_f</v>
      </c>
    </row>
    <row r="50" spans="1:10" ht="20.100000000000001" customHeight="1" x14ac:dyDescent="0.25">
      <c r="D50" s="118" t="str">
        <v>EF_N2Oj</v>
      </c>
      <c r="E50" s="123" t="str">
        <v>emission factor for atmospheric deposition</v>
      </c>
      <c r="F50" s="131"/>
      <c r="G50" s="124"/>
      <c r="H50" s="118" t="str">
        <v>kg N2O-N/kg N</v>
      </c>
      <c r="I50" s="126" t="str">
        <v>Constant</v>
      </c>
      <c r="J50" s="118">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18" t="str">
        <v>C_N2O</v>
      </c>
      <c r="E51" s="123" t="str">
        <v>factor to convert elemental mass of nitrous oxide to molecular mass</v>
      </c>
      <c r="F51" s="131"/>
      <c r="G51" s="124"/>
      <c r="H51" s="118" t="str">
        <v/>
      </c>
      <c r="I51" s="126" t="str">
        <v>Constant</v>
      </c>
      <c r="J51" s="130">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18" t="str">
        <v>j</v>
      </c>
      <c r="E52" s="123" t="str">
        <v>Production system</v>
      </c>
      <c r="F52" s="131"/>
      <c r="G52" s="124"/>
      <c r="H52" s="118" t="str">
        <v/>
      </c>
      <c r="I52" s="119" t="str">
        <v>Input</v>
      </c>
      <c r="J52" s="118" t="str">
        <f>X_Cell_Fertiliser_ProductionSystem</f>
        <v>Pasture</v>
      </c>
    </row>
    <row r="53" spans="1:10" ht="20.100000000000001" customHeight="1" x14ac:dyDescent="0.25">
      <c r="A53" s="5" t="str">
        <f>HYPERLINK("#'Constants - Dairy'!A1", "Constants - Dairy")</f>
        <v>Constants - Dairy</v>
      </c>
      <c r="D53" s="118" t="str">
        <v>ir</v>
      </c>
      <c r="E53" s="123" t="str">
        <v>irrigation method</v>
      </c>
      <c r="F53" s="131"/>
      <c r="G53" s="124"/>
      <c r="H53" s="118" t="str">
        <v/>
      </c>
      <c r="I53" s="119" t="str">
        <v>Input</v>
      </c>
      <c r="J53" s="118" t="str">
        <f>X_Cell_Fertiliser_IrrigationMethod</f>
        <v>Surface irrigation</v>
      </c>
    </row>
    <row r="54" spans="1:10" ht="20.100000000000001" customHeight="1" x14ac:dyDescent="0.25">
      <c r="A54" s="5" t="str">
        <f>HYPERLINK("#'Constants - Ag Residue'!A1", "Constants - Ag residue")</f>
        <v>Constants - Ag residue</v>
      </c>
      <c r="D54" s="118" t="str">
        <v>r</v>
      </c>
      <c r="E54" s="123" t="str">
        <v>rainfall region</v>
      </c>
      <c r="F54" s="131"/>
      <c r="G54" s="124"/>
      <c r="H54" s="118" t="str">
        <v/>
      </c>
      <c r="I54" s="119" t="str">
        <v>Input</v>
      </c>
      <c r="J54" s="118"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20" t="s">
        <v>675</v>
      </c>
    </row>
    <row r="57" spans="1:10" ht="20.100000000000001" customHeight="1" x14ac:dyDescent="0.25">
      <c r="A57" s="5" t="str">
        <f>HYPERLINK("#'Constants - Fertiliser'!A1", "Constants - Fertiliser")</f>
        <v>Constants - Fertiliser</v>
      </c>
      <c r="D57" s="121" t="s">
        <v>676</v>
      </c>
    </row>
    <row r="58" spans="1:10" ht="20.100000000000001" customHeight="1" x14ac:dyDescent="0.25">
      <c r="A58" s="5" t="str">
        <f>HYPERLINK("#'Constants - Fuel'!A1", "Constants - Fuel")</f>
        <v>Constants - Fuel</v>
      </c>
      <c r="D58" s="122" t="s">
        <v>670</v>
      </c>
      <c r="E58" s="194" t="s">
        <v>674</v>
      </c>
      <c r="F58" s="194" t="s">
        <v>677</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33" t="s">
        <v>678</v>
      </c>
      <c r="E79" s="134">
        <f>SUM(F59:F77)</f>
        <v>0.11844528142857143</v>
      </c>
      <c r="F79" s="135" t="str">
        <f>$E$47</f>
        <v>t N2O</v>
      </c>
    </row>
    <row r="80" spans="4:6" ht="20.100000000000001" customHeight="1" x14ac:dyDescent="0.25"/>
    <row r="81" spans="3:12" ht="20.100000000000001" customHeight="1" x14ac:dyDescent="0.25">
      <c r="D81" s="130" t="str" cm="1">
        <f t="array" ref="D81:E82">Common_Equations.Common_ConvertN2OToCO2e_Arguments()</f>
        <v>EN2O</v>
      </c>
      <c r="E81" s="136" t="str">
        <v>Nitrous oxide emissions (t N2O)</v>
      </c>
      <c r="F81" s="137"/>
      <c r="G81" s="25">
        <f>VEERG_5_4_1_1__1_InorganicFertiliserAtmosphericDepositionN2OEmissions_Result_Method1</f>
        <v>0.11844528142857143</v>
      </c>
    </row>
    <row r="82" spans="3:12" ht="20.100000000000001" customHeight="1" x14ac:dyDescent="0.25">
      <c r="D82" s="130" t="str">
        <v>GWPN2O</v>
      </c>
      <c r="E82" s="136" t="str">
        <v>Global warming potential for nitrous oxide (t CO2-e / t N2O)</v>
      </c>
      <c r="F82" s="137"/>
      <c r="G82" s="25">
        <f>Common_InputFunctions.Utility_LookupValueInTableNumber("N2O",Table_GWPData[Gas],Table_GWPData[CO2-e factor])</f>
        <v>265</v>
      </c>
    </row>
    <row r="83" spans="3:12" ht="20.100000000000001" customHeight="1" x14ac:dyDescent="0.25"/>
    <row r="84" spans="3:12" ht="20.100000000000001" customHeight="1" x14ac:dyDescent="0.25">
      <c r="D84" s="100" t="s">
        <v>407</v>
      </c>
      <c r="E84" s="100" cm="1">
        <f t="array" ref="E84">Common_Equations.Common_ConvertN2OToCO2e(G81,G82)</f>
        <v>31.387999578571428</v>
      </c>
      <c r="F84" s="13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1"/>
      <c r="D87" s="191"/>
      <c r="E87" s="191"/>
      <c r="F87" s="191"/>
      <c r="G87" s="191"/>
      <c r="H87" s="191"/>
      <c r="I87" s="191"/>
      <c r="J87" s="191"/>
      <c r="K87" s="191"/>
      <c r="L87" s="19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6" t="s">
        <v>257</v>
      </c>
      <c r="E90" s="116"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258</v>
      </c>
      <c r="E93" s="1" t="str" cm="1">
        <f t="array" ref="E93">Fertiliser_Equations_AtmosphericDeposition.VEERG_5_4_1_3__2_MassOfNitrogenVolatilisedFromOrganicFertiliser_Variable()</f>
        <v>M_volorganicjf</v>
      </c>
    </row>
    <row r="94" spans="3:12" ht="20.100000000000001" customHeight="1" x14ac:dyDescent="0.25">
      <c r="D94" s="88" t="s">
        <v>127</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18" t="str" cm="1">
        <f t="array" ref="D96:E97">_xlfn.CHOOSECOLS(Fertiliser_Equations_AtmosphericDeposition.VEERG_5_4_1_3__2_MassOfNitrogenVolatilisedFromOrganicFertiliser_Arguments(), 1, 2)</f>
        <v>MNSoil_jf</v>
      </c>
      <c r="E96" s="118" t="str">
        <v>mass of nitrogen in organic fertiliser type f applied to production system j</v>
      </c>
      <c r="F96" s="118"/>
      <c r="G96" s="118" t="str" cm="1">
        <f t="array" ref="G96:H97">_xlfn.CHOOSECOLS(Fertiliser_Equations_AtmosphericDeposition.VEERG_5_4_1_3__2_MassOfNitrogenVolatilisedFromOrganicFertiliser_Arguments(), 3,4)</f>
        <v>kg N</v>
      </c>
      <c r="H96" s="126" t="str">
        <v>Calculated from 5.2.1.1 (2)</v>
      </c>
      <c r="I96" s="125" t="str" cm="1">
        <f t="array" aca="1" ref="I96" ca="1">HYPERLINK(Common_InputFunctions.Utility_SourceHyperlink($D$99), $D$99)</f>
        <v>Table_M_vol_organic_j_f</v>
      </c>
    </row>
    <row r="97" spans="4:9" ht="20.100000000000001" customHeight="1" x14ac:dyDescent="0.25">
      <c r="D97" s="118" t="str">
        <v>FracGASM_soil</v>
      </c>
      <c r="E97" s="118" t="str">
        <v>fraction of organic fertiliser N that volatilises</v>
      </c>
      <c r="F97" s="118"/>
      <c r="G97" s="118" t="str">
        <v>(kg NH3-N + NOx-N)/kg N</v>
      </c>
      <c r="H97" s="126" t="str">
        <v>Constant</v>
      </c>
      <c r="I97" s="118">
        <f>Fertiliser_FracGASMSoil_Data</f>
        <v>0.21</v>
      </c>
    </row>
    <row r="98" spans="4:9" ht="20.100000000000001" customHeight="1" x14ac:dyDescent="0.25"/>
    <row r="99" spans="4:9" ht="20.100000000000001" customHeight="1" x14ac:dyDescent="0.25">
      <c r="D99" s="120" t="s">
        <v>679</v>
      </c>
    </row>
    <row r="100" spans="4:9" ht="20.100000000000001" customHeight="1" x14ac:dyDescent="0.25">
      <c r="D100" s="121" t="s">
        <v>680</v>
      </c>
    </row>
    <row r="101" spans="4:9" ht="20.100000000000001" customHeight="1" x14ac:dyDescent="0.25">
      <c r="D101" s="96" t="s">
        <v>652</v>
      </c>
      <c r="E101" s="186" t="s">
        <v>656</v>
      </c>
      <c r="F101" s="186" t="s">
        <v>681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1"/>
      <c r="D115" s="191"/>
      <c r="E115" s="191"/>
      <c r="F115" s="191"/>
      <c r="G115" s="191"/>
      <c r="H115" s="191"/>
      <c r="I115" s="191"/>
      <c r="J115" s="191"/>
      <c r="K115" s="191"/>
      <c r="L115" s="19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6" t="s">
        <v>257</v>
      </c>
      <c r="E118" s="116"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258</v>
      </c>
      <c r="E121" s="1" t="str" cm="1">
        <f t="array" ref="E121">Fertiliser_Equations_AtmosphericDeposition.VEERG_5_4_1_3__1_OrganicFertiliserAtmosphericDepositionN2OEmissions_Variable()</f>
        <v>E_adorganic</v>
      </c>
    </row>
    <row r="122" spans="3:12" ht="20.100000000000001" customHeight="1" x14ac:dyDescent="0.25">
      <c r="D122" s="88" t="s">
        <v>127</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18" t="str" cm="1">
        <f t="array" ref="D124:E129">_xlfn.CHOOSECOLS(Fertiliser_Equations_AtmosphericDeposition.VEERG_5_4_1_3__1_OrganicFertiliserAtmosphericDepositionN2OEmissions_Arguments(), 1, 2)</f>
        <v>M_volorganicjf</v>
      </c>
      <c r="E124" s="123" t="str">
        <v>mass of nitrogen volatilised from organic fertiliser applied to production system</v>
      </c>
      <c r="F124" s="124"/>
      <c r="G124" s="118" t="str" cm="1">
        <f t="array" ref="G124:H129">_xlfn.CHOOSECOLS(Fertiliser_Equations_AtmosphericDeposition.VEERG_5_4_1_3__1_OrganicFertiliserAtmosphericDepositionN2OEmissions_Arguments(), 3,4)</f>
        <v>kg N</v>
      </c>
      <c r="H124" s="126" t="str">
        <v>Calculated from 5.4.1.3 (2)</v>
      </c>
      <c r="I124" s="125" t="str" cm="1">
        <f t="array" aca="1" ref="I124" ca="1">HYPERLINK(Common_InputFunctions.Utility_SourceHyperlink($D$99), $D$99)</f>
        <v>Table_M_vol_organic_j_f</v>
      </c>
    </row>
    <row r="125" spans="3:12" ht="20.100000000000001" customHeight="1" x14ac:dyDescent="0.25">
      <c r="D125" s="118" t="str">
        <v>EF_N2Oj</v>
      </c>
      <c r="E125" s="123" t="str">
        <v>emission factor for atmospheric deposition in production system j</v>
      </c>
      <c r="F125" s="124"/>
      <c r="G125" s="118" t="str">
        <v>kg N2O-N/kg N</v>
      </c>
      <c r="H125" s="126" t="str">
        <v>Constant</v>
      </c>
      <c r="I125" s="118">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18" t="str">
        <v>C_N2O</v>
      </c>
      <c r="E126" s="123" t="str">
        <v>factor to convert elemental mass of nitrous oxide to molecular mass</v>
      </c>
      <c r="F126" s="124"/>
      <c r="G126" s="118" t="str">
        <v/>
      </c>
      <c r="H126" s="126" t="str">
        <v>Constant</v>
      </c>
      <c r="I126" s="130">
        <f>Common_InputFunctions.Utility_LookupValueInTableNumber("N2O",Table_GasToMolecularConversionFactor[Gas],Table_GasToMolecularConversionFactor[Conversion factor combined])</f>
        <v>1.5714285714285714</v>
      </c>
    </row>
    <row r="127" spans="3:12" ht="20.100000000000001" customHeight="1" x14ac:dyDescent="0.25">
      <c r="D127" s="118" t="str">
        <v>j</v>
      </c>
      <c r="E127" s="123" t="str">
        <v>Production system</v>
      </c>
      <c r="F127" s="124"/>
      <c r="G127" s="118" t="str">
        <v/>
      </c>
      <c r="H127" s="119" t="str">
        <v>Input</v>
      </c>
      <c r="I127" s="118" t="str">
        <f>X_Cell_Fertiliser_ProductionSystem</f>
        <v>Pasture</v>
      </c>
    </row>
    <row r="128" spans="3:12" ht="20.100000000000001" customHeight="1" x14ac:dyDescent="0.25">
      <c r="D128" s="118" t="str">
        <v>ir</v>
      </c>
      <c r="E128" s="123" t="str">
        <v>irrigation method</v>
      </c>
      <c r="F128" s="124"/>
      <c r="G128" s="118" t="str">
        <v/>
      </c>
      <c r="H128" s="119" t="str">
        <v>Input</v>
      </c>
      <c r="I128" s="118" t="str">
        <f>X_Cell_Fertiliser_IrrigationMethod</f>
        <v>Surface irrigation</v>
      </c>
    </row>
    <row r="129" spans="4:9" ht="20.100000000000001" customHeight="1" x14ac:dyDescent="0.25">
      <c r="D129" s="118" t="str">
        <v>r</v>
      </c>
      <c r="E129" s="123" t="str">
        <v>rainfall region</v>
      </c>
      <c r="F129" s="124"/>
      <c r="G129" s="118" t="str">
        <v/>
      </c>
      <c r="H129" s="119" t="str">
        <v>Input</v>
      </c>
      <c r="I129" s="118" t="str">
        <f>X_Cell_Site_RainfallZone</f>
        <v>High rainfall</v>
      </c>
    </row>
    <row r="130" spans="4:9" ht="20.100000000000001" customHeight="1" x14ac:dyDescent="0.25"/>
    <row r="131" spans="4:9" ht="20.100000000000001" customHeight="1" x14ac:dyDescent="0.25">
      <c r="D131" s="120" t="s">
        <v>682</v>
      </c>
    </row>
    <row r="132" spans="4:9" ht="20.100000000000001" customHeight="1" x14ac:dyDescent="0.25">
      <c r="D132" s="121" t="s">
        <v>683</v>
      </c>
    </row>
    <row r="133" spans="4:9" ht="20.100000000000001" customHeight="1" x14ac:dyDescent="0.25">
      <c r="D133" s="96" t="s">
        <v>652</v>
      </c>
      <c r="E133" s="186" t="s">
        <v>681</v>
      </c>
      <c r="F133" s="186" t="s">
        <v>684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3" t="s">
        <v>685</v>
      </c>
      <c r="E146" s="134">
        <f>SUM(F134:F144)</f>
        <v>1.38237E-2</v>
      </c>
      <c r="F146" s="135" t="str">
        <f>$E$122</f>
        <v>t N2O</v>
      </c>
    </row>
    <row r="147" spans="4:7" ht="20.100000000000001" customHeight="1" x14ac:dyDescent="0.25"/>
    <row r="148" spans="4:7" ht="20.100000000000001" customHeight="1" x14ac:dyDescent="0.25">
      <c r="D148" s="130" t="str" cm="1">
        <f t="array" ref="D148:E149">Common_Equations.Common_ConvertN2OToCO2e_Arguments()</f>
        <v>EN2O</v>
      </c>
      <c r="E148" s="136" t="str">
        <v>Nitrous oxide emissions (t N2O)</v>
      </c>
      <c r="F148" s="137"/>
      <c r="G148" s="25">
        <f>VEERG_5_4_1_3__1_OrganicFertiliserAtmosphericDepositionN2OEmissions_Result_Method1</f>
        <v>1.38237E-2</v>
      </c>
    </row>
    <row r="149" spans="4:7" ht="20.100000000000001" customHeight="1" x14ac:dyDescent="0.25">
      <c r="D149" s="130" t="str">
        <v>GWPN2O</v>
      </c>
      <c r="E149" s="136" t="str">
        <v>Global warming potential for nitrous oxide (t CO2-e / t N2O)</v>
      </c>
      <c r="F149" s="137"/>
      <c r="G149" s="25">
        <f>Common_InputFunctions.Utility_LookupValueInTableNumber("N2O",Table_GWPData[Gas],Table_GWPData[CO2-e factor])</f>
        <v>265</v>
      </c>
    </row>
    <row r="150" spans="4:7" ht="20.100000000000001" customHeight="1" x14ac:dyDescent="0.25"/>
    <row r="151" spans="4:7" ht="20.100000000000001" customHeight="1" x14ac:dyDescent="0.25">
      <c r="D151" s="100" t="s">
        <v>407</v>
      </c>
      <c r="E151" s="100" cm="1">
        <f t="array" ref="E151">Common_Equations.Common_ConvertN2OToCO2e(G148,G149)</f>
        <v>3.6632804999999999</v>
      </c>
      <c r="F151" s="13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C4251-9BF2-4944-94F0-CB1249A2005F}">
  <dimension ref="A1:T165"/>
  <sheetViews>
    <sheetView showGridLines="0" topLeftCell="A7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686</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6" t="s">
        <v>257</v>
      </c>
      <c r="E7" s="116"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258</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8" t="s">
        <v>127</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18" t="str" cm="1">
        <f t="array" ref="D13:E18">_xlfn.CHOOSECOLS(Fertiliser_Equations_LeachingAndRunoff.VEERG_5_5_1_1__2_MassOfNitrogenLeachedFromInorganicFertiliser_Arguments(), 1, 2)</f>
        <v>MN_jf</v>
      </c>
      <c r="E13" s="123" t="str">
        <v>mass of nitrogen in inorganic fertiliser</v>
      </c>
      <c r="F13" s="124"/>
      <c r="G13" s="118" t="str" cm="1">
        <f t="array" ref="G13:H18">_xlfn.CHOOSECOLS(Fertiliser_Equations_LeachingAndRunoff.VEERG_5_5_1_1__2_MassOfNitrogenLeachedFromInorganicFertiliser_Arguments(), 3,4)</f>
        <v>kg N</v>
      </c>
      <c r="H13" s="126" t="str">
        <v>Calculated from 5.1.1.1 (2)</v>
      </c>
      <c r="I13" s="125"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18" t="str">
        <v>FracWETj</v>
      </c>
      <c r="E14" s="123" t="str">
        <v>fraction of N available for leaching and runoff</v>
      </c>
      <c r="F14" s="124"/>
      <c r="G14" s="118" t="str">
        <v>fraction</v>
      </c>
      <c r="H14" s="126" t="str">
        <v>Constant</v>
      </c>
      <c r="I14" s="118">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18" t="str">
        <v>FracLEACH</v>
      </c>
      <c r="E15" s="123" t="str">
        <v>fraction of N that is lost through leaching and runoff</v>
      </c>
      <c r="F15" s="124"/>
      <c r="G15" s="118" t="str">
        <v>fraction</v>
      </c>
      <c r="H15" s="126" t="str">
        <v>Constant</v>
      </c>
      <c r="I15" s="118">
        <f>Fertiliser_FracLEACH_Data</f>
        <v>0.24</v>
      </c>
    </row>
    <row r="16" spans="1:20"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9" ht="20.100000000000001" customHeight="1" x14ac:dyDescent="0.25">
      <c r="A17" s="5" t="str">
        <f>HYPERLINK("#'Input - Fertiliser'!A1", "Fertiliser")</f>
        <v>Fertiliser</v>
      </c>
      <c r="D17" s="118" t="str">
        <v>j</v>
      </c>
      <c r="E17" s="123" t="str">
        <v>production system</v>
      </c>
      <c r="F17" s="124"/>
      <c r="G17" s="118" t="str">
        <v/>
      </c>
      <c r="H17" s="119" t="str">
        <v>Input</v>
      </c>
      <c r="I17" s="118" t="str">
        <f>X_Cell_Fertiliser_ProductionSystem</f>
        <v>Pasture</v>
      </c>
    </row>
    <row r="18" spans="1:9" ht="20.100000000000001" customHeight="1" x14ac:dyDescent="0.25">
      <c r="A18" s="5" t="str">
        <f>HYPERLINK("#'Input - Fuel'!A1", "Fuel")</f>
        <v>Fuel</v>
      </c>
      <c r="D18" s="118" t="str">
        <v>ir</v>
      </c>
      <c r="E18" s="123" t="str">
        <v>irrigation method</v>
      </c>
      <c r="F18" s="124"/>
      <c r="G18" s="118" t="str">
        <v/>
      </c>
      <c r="H18" s="119" t="str">
        <v>Input</v>
      </c>
      <c r="I18" s="118"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20" t="s">
        <v>687</v>
      </c>
    </row>
    <row r="21" spans="1:9" ht="20.100000000000001" customHeight="1" x14ac:dyDescent="0.25">
      <c r="A21" s="5" t="str">
        <f>HYPERLINK("#'Input - Freight'!A1", "Freight")</f>
        <v>Freight</v>
      </c>
      <c r="D21" s="121" t="s">
        <v>688</v>
      </c>
    </row>
    <row r="22" spans="1:9" ht="20.100000000000001" customHeight="1" x14ac:dyDescent="0.25">
      <c r="A22" s="5" t="str">
        <f>HYPERLINK("#'Input - Manure sent off-site'!A1", "Manure sent off-site")</f>
        <v>Manure sent off-site</v>
      </c>
      <c r="D22" s="122" t="s">
        <v>614</v>
      </c>
      <c r="E22" s="122" t="s">
        <v>671</v>
      </c>
      <c r="F22" s="122" t="s">
        <v>689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17"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HYPERLINK("#'4.3.1.1-2 Methane'!A1", "4.3.1.1-2 Methane")</f>
        <v>4.3.1.1-2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HYPERLINK("#'4.3.1.3-4 Direct N20'!A1", "4.3.1.3-4 Direct N20")</f>
        <v>4.3.1.3-4 Direct N20</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c r="D43" s="140" t="s">
        <v>690</v>
      </c>
      <c r="E43" s="100">
        <f>SUM(F23:F41)</f>
        <v>31223.279999999999</v>
      </c>
      <c r="F43" s="138" t="str">
        <f>$E$11</f>
        <v>kg N</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c r="C45" s="195"/>
      <c r="D45" s="195"/>
      <c r="E45" s="195"/>
      <c r="F45" s="195"/>
      <c r="G45" s="195"/>
      <c r="H45" s="195"/>
      <c r="I45" s="195"/>
      <c r="J45" s="195"/>
      <c r="K45" s="195"/>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HYPERLINK("#'3.3.1.1-2 Enteric Methane'!A1", "3.3.1.1-2 Enteric Methane")</f>
        <v>3.3.1.1-2 Enteric Methane</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16" t="s">
        <v>257</v>
      </c>
      <c r="E49" s="116"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8" t="s">
        <v>258</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8" t="s">
        <v>127</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18" t="str" cm="1">
        <f t="array" ref="D55:E60">_xlfn.CHOOSECOLS(Fertiliser_Equations_LeachingAndRunoff.VEERG_5_5_1_1__3_MassOfNitrogenLeachedFromOrganicFertiliser_Arguments(), 1, 2)</f>
        <v>MNSoil_jf</v>
      </c>
      <c r="E55" s="123" t="str">
        <v>mass of nitrogen in organic fertiliser</v>
      </c>
      <c r="F55" s="124"/>
      <c r="G55" s="118" t="str" cm="1">
        <f t="array" ref="G55:H60">_xlfn.CHOOSECOLS(Fertiliser_Equations_LeachingAndRunoff.VEERG_5_5_1_1__3_MassOfNitrogenLeachedFromOrganicFertiliser_Arguments(), 3,4)</f>
        <v>kg N</v>
      </c>
      <c r="H55" s="126" t="str">
        <v>Calculated from 5.2.1.1 (2)</v>
      </c>
      <c r="I55" s="125"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18" t="str">
        <v>FracWETj</v>
      </c>
      <c r="E56" s="123" t="str">
        <v>fraction of N available for leaching and runoff</v>
      </c>
      <c r="F56" s="124"/>
      <c r="G56" s="118" t="str">
        <v>fraction</v>
      </c>
      <c r="H56" s="126" t="str">
        <v>Constant</v>
      </c>
      <c r="I56" s="118">
        <f>Common_InputFunctions.CommonCropping_GetFracWET(I58,I60,#REF!,#REF!,Table_SourceData_FracWETIrrigation[Irrigation type i],Table_SourceData_FracWETIrrigation[FracWET])</f>
        <v>1</v>
      </c>
    </row>
    <row r="57" spans="1:9" ht="20.100000000000001" customHeight="1" x14ac:dyDescent="0.25">
      <c r="A57" s="5" t="str">
        <f>HYPERLINK("#'Constants - Fertiliser'!A1", "Constants - Fertiliser")</f>
        <v>Constants - Fertiliser</v>
      </c>
      <c r="D57" s="118" t="str">
        <v>FracLEACH</v>
      </c>
      <c r="E57" s="123" t="str">
        <v>fraction of N that is lost through leaching and runoff</v>
      </c>
      <c r="F57" s="124"/>
      <c r="G57" s="118" t="str">
        <v>fraction</v>
      </c>
      <c r="H57" s="126" t="str">
        <v>Constant</v>
      </c>
      <c r="I57" s="118">
        <f>Fertiliser_FracLEACH_Data</f>
        <v>0.24</v>
      </c>
    </row>
    <row r="58" spans="1:9" ht="20.100000000000001" customHeight="1" x14ac:dyDescent="0.25">
      <c r="A58" s="5" t="str">
        <f>HYPERLINK("#'Constants - Fuel'!A1", "Constants - Fuel")</f>
        <v>Constants - Fuel</v>
      </c>
      <c r="D58" s="118" t="str">
        <v>z</v>
      </c>
      <c r="E58" s="123" t="str">
        <v>location in leaching zone</v>
      </c>
      <c r="F58" s="124"/>
      <c r="G58" s="118" t="str">
        <v/>
      </c>
      <c r="H58" s="119" t="str">
        <v>Input</v>
      </c>
      <c r="I58" s="118" t="str">
        <f>X_Cell_Site_LeachingZone</f>
        <v>NO - Not in leaching zone</v>
      </c>
    </row>
    <row r="59" spans="1:9" ht="20.100000000000001" customHeight="1" x14ac:dyDescent="0.25">
      <c r="A59" s="5" t="str">
        <f>HYPERLINK("#'Constants - Scope 3'!A1", "Constants - Scope 3")</f>
        <v>Constants - Scope 3</v>
      </c>
      <c r="D59" s="118" t="str">
        <v>j</v>
      </c>
      <c r="E59" s="123" t="str">
        <v>production system</v>
      </c>
      <c r="F59" s="124"/>
      <c r="G59" s="118" t="str">
        <v/>
      </c>
      <c r="H59" s="119" t="str">
        <v>Input</v>
      </c>
      <c r="I59" s="118" t="str">
        <f>X_Cell_Fertiliser_ProductionSystem</f>
        <v>Pasture</v>
      </c>
    </row>
    <row r="60" spans="1:9" ht="20.100000000000001" customHeight="1" x14ac:dyDescent="0.25">
      <c r="A60" s="5" t="str">
        <f>HYPERLINK("#'Constants - Common'!A1", "Constants - Common")</f>
        <v>Constants - Common</v>
      </c>
      <c r="D60" s="118" t="str">
        <v>ir</v>
      </c>
      <c r="E60" s="123" t="str">
        <v>irrigation method</v>
      </c>
      <c r="F60" s="124"/>
      <c r="G60" s="118" t="str">
        <v/>
      </c>
      <c r="H60" s="119" t="str">
        <v>Input</v>
      </c>
      <c r="I60" s="118"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20" t="s">
        <v>691</v>
      </c>
    </row>
    <row r="63" spans="1:9" ht="20.100000000000001" customHeight="1" x14ac:dyDescent="0.25">
      <c r="D63" s="121" t="s">
        <v>692</v>
      </c>
    </row>
    <row r="64" spans="1:9" ht="20.100000000000001" customHeight="1" x14ac:dyDescent="0.25">
      <c r="D64" s="96" t="s">
        <v>652</v>
      </c>
      <c r="E64" s="196" t="s">
        <v>656</v>
      </c>
      <c r="F64" s="122" t="s">
        <v>693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0" t="s">
        <v>694</v>
      </c>
      <c r="E77" s="100">
        <f>SUM(F65:F75)</f>
        <v>1704</v>
      </c>
      <c r="F77" s="138" t="str">
        <f>$E$53</f>
        <v>kg N</v>
      </c>
    </row>
    <row r="78" spans="3:11" ht="20.100000000000001" customHeight="1" x14ac:dyDescent="0.25"/>
    <row r="79" spans="3:11" ht="20.100000000000001" customHeight="1" x14ac:dyDescent="0.25">
      <c r="C79" s="195"/>
      <c r="D79" s="195"/>
      <c r="E79" s="195"/>
      <c r="F79" s="195"/>
      <c r="G79" s="195"/>
      <c r="H79" s="195"/>
      <c r="I79" s="195"/>
      <c r="J79" s="195"/>
      <c r="K79" s="19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6" t="s">
        <v>257</v>
      </c>
      <c r="E83" s="116"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258</v>
      </c>
      <c r="E86" s="1" t="str" cm="1">
        <f t="array" ref="E86">Fertiliser_Equations_LeachingAndRunoff.VEERG_5_5_1_1__1_FertiliserLeachingAndRunoffN2OEmissions_Variable()</f>
        <v>E_fertleach</v>
      </c>
    </row>
    <row r="87" spans="4:10" ht="20.100000000000001" customHeight="1" x14ac:dyDescent="0.25">
      <c r="D87" s="88" t="s">
        <v>127</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18" t="str" cm="1">
        <f t="array" ref="D89:E92">_xlfn.CHOOSECOLS(Fertiliser_Equations_LeachingAndRunoff.VEERG_5_5_1_1__1_FertiliserLeachingAndRunoffN2OEmissions_Arguments(), 1, 2)</f>
        <v>M_leachinorganicj</v>
      </c>
      <c r="E89" s="123" t="str">
        <v>mass of nitrogen lost through leaching and runoff from inorganic fertiliser application in production system j</v>
      </c>
      <c r="F89" s="131"/>
      <c r="G89" s="124"/>
      <c r="H89" s="118" t="str" cm="1">
        <f t="array" ref="H89:I92">_xlfn.CHOOSECOLS(Fertiliser_Equations_LeachingAndRunoff.VEERG_5_5_1_1__1_FertiliserLeachingAndRunoffN2OEmissions_Arguments(), 3,4)</f>
        <v>kg N</v>
      </c>
      <c r="I89" s="126" t="str">
        <v>Calculated from 5.5.1.1 (2)</v>
      </c>
      <c r="J89" s="118">
        <f>$E$43</f>
        <v>31223.279999999999</v>
      </c>
    </row>
    <row r="90" spans="4:10" ht="20.100000000000001" customHeight="1" x14ac:dyDescent="0.25">
      <c r="D90" s="118" t="str">
        <v>M_leachorganicj</v>
      </c>
      <c r="E90" s="123" t="str">
        <v>mass of nitrogen lost through leaching and runoff from organic fertiliser application</v>
      </c>
      <c r="F90" s="131"/>
      <c r="G90" s="124"/>
      <c r="H90" s="118" t="str">
        <v>kg N</v>
      </c>
      <c r="I90" s="126" t="str">
        <v>Calculated from 5.5.1.1 (3)</v>
      </c>
      <c r="J90" s="118">
        <f>$E$77</f>
        <v>1704</v>
      </c>
    </row>
    <row r="91" spans="4:10" ht="20.100000000000001" customHeight="1" x14ac:dyDescent="0.25">
      <c r="D91" s="118" t="str">
        <v>EF_leach</v>
      </c>
      <c r="E91" s="123" t="str">
        <v>emission factor for nitrogen leaching and runoff</v>
      </c>
      <c r="F91" s="131"/>
      <c r="G91" s="124"/>
      <c r="H91" s="118" t="str">
        <v>kg N2O-N/kg N</v>
      </c>
      <c r="I91" s="126" t="str">
        <v>Constant</v>
      </c>
      <c r="J91" s="118">
        <f>Fertiliser_EFLeach_Data</f>
        <v>1.0999999999999999E-2</v>
      </c>
    </row>
    <row r="92" spans="4:10" ht="20.100000000000001" customHeight="1" x14ac:dyDescent="0.25">
      <c r="D92" s="118" t="str">
        <v>C_N2O</v>
      </c>
      <c r="E92" s="123" t="str">
        <v>factor to convert elemental mass of nitrous oxide to molecular mass</v>
      </c>
      <c r="F92" s="131"/>
      <c r="G92" s="124"/>
      <c r="H92" s="118" t="str">
        <v/>
      </c>
      <c r="I92" s="126" t="str">
        <v>Constant</v>
      </c>
      <c r="J92" s="130">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3" t="s">
        <v>695</v>
      </c>
      <c r="E94" s="134" cm="1">
        <f t="array" ref="E94">Fertiliser_Equations_LeachingAndRunoff.VEERG_5_5_1_1__1_FertiliserLeachingAndRunoffN2OEmissions(J89,J90,J91,J92)</f>
        <v>0.56917155428571431</v>
      </c>
      <c r="F94" s="135" t="str">
        <f>$E$87</f>
        <v>t N2O</v>
      </c>
    </row>
    <row r="95" spans="4:10" ht="20.100000000000001" customHeight="1" x14ac:dyDescent="0.25"/>
    <row r="96" spans="4:10" ht="20.100000000000001" customHeight="1" x14ac:dyDescent="0.25">
      <c r="D96" s="130" t="str" cm="1">
        <f t="array" ref="D96:E97">Common_Equations.Common_ConvertN2OToCO2e_Arguments()</f>
        <v>EN2O</v>
      </c>
      <c r="E96" s="136" t="str">
        <v>Nitrous oxide emissions (t N2O)</v>
      </c>
      <c r="F96" s="137"/>
      <c r="G96" s="25">
        <f>VEERG_5_5_1_1__1_FertiliserLeachingAndRunoffN2OEmissions_result_Method1</f>
        <v>0.56917155428571431</v>
      </c>
    </row>
    <row r="97" spans="4:7" ht="20.100000000000001" customHeight="1" x14ac:dyDescent="0.25">
      <c r="D97" s="130" t="str">
        <v>GWPN2O</v>
      </c>
      <c r="E97" s="136" t="str">
        <v>Global warming potential for nitrous oxide (t CO2-e / t N2O)</v>
      </c>
      <c r="F97" s="137"/>
      <c r="G97" s="25">
        <f>Common_InputFunctions.Utility_LookupValueInTableNumber("N2O",Table_GWPData[Gas],Table_GWPData[CO2-e factor])</f>
        <v>265</v>
      </c>
    </row>
    <row r="98" spans="4:7" ht="20.100000000000001" customHeight="1" x14ac:dyDescent="0.25"/>
    <row r="99" spans="4:7" ht="20.100000000000001" customHeight="1" x14ac:dyDescent="0.25">
      <c r="D99" s="100" t="s">
        <v>407</v>
      </c>
      <c r="E99" s="100" cm="1">
        <f t="array" ref="E99">Common_Equations.Common_ConvertN2OToCO2e(G96,G97)</f>
        <v>150.8304618857143</v>
      </c>
      <c r="F99" s="13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E0CD7-7A64-4C63-9EED-5FE51A5B3969}">
  <dimension ref="A1:U165"/>
  <sheetViews>
    <sheetView showGridLines="0" topLeftCell="A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956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6" t="s">
        <v>257</v>
      </c>
      <c r="E7" s="116"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258</v>
      </c>
      <c r="E10" s="1" t="str" cm="1">
        <f t="array" ref="E10">AgResidue_Equations_PastureResidue.VEERG_6_2_1_1__2__MassOfNitrogenInPastureResidues_Variable()</f>
        <v>Mp</v>
      </c>
    </row>
    <row r="11" spans="1:21" ht="20.100000000000001" customHeight="1" x14ac:dyDescent="0.25">
      <c r="A11" s="5" t="str">
        <f>HYPERLINK("#'Input - Dairy'!A1", "Dairy")</f>
        <v>Dairy</v>
      </c>
      <c r="D11" s="35" t="s">
        <v>127</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9">_xlfn.CHOOSECOLS(AgResidue_Equations_PastureResidue.VEERG_6_2_1_1__2__MassOfNitrogenInPastureResidues_Arguments(), 1, 2)</f>
        <v>A_p</v>
      </c>
      <c r="E13" s="123" t="str">
        <v>area of pasture renewed or removed</v>
      </c>
      <c r="F13" s="131"/>
      <c r="G13" s="124"/>
      <c r="H13" s="118" t="str" cm="1">
        <f t="array" ref="H13:I19">_xlfn.CHOOSECOLS(AgResidue_Equations_PastureResidue.VEERG_6_2_1_1__2__MassOfNitrogenInPastureResidues_Arguments(), 3,4)</f>
        <v>ha</v>
      </c>
      <c r="I13" s="119" t="str">
        <v>Input</v>
      </c>
      <c r="J13" s="118">
        <f>X_Cell_Pasture_AreaRemovedOrRenewed</f>
        <v>500</v>
      </c>
      <c r="N13" s="118" t="str" cm="1">
        <f t="array" ref="N13:O19">_xlfn.CHOOSECOLS(AgResidue_Equations_PastureResidue.VEERG_6_2_1_1__2__MassOfNitrogenInPastureResidues_Arguments_Method2(), 1, 2)</f>
        <v>A_p</v>
      </c>
      <c r="O13" s="123" t="str">
        <v>area of pasture renewed or removed</v>
      </c>
      <c r="P13" s="131"/>
      <c r="Q13" s="124"/>
      <c r="R13" s="118" t="str" cm="1">
        <f t="array" ref="R13:S19">_xlfn.CHOOSECOLS(AgResidue_Equations_PastureResidue.VEERG_6_2_1_1__2__MassOfNitrogenInPastureResidues_Arguments_Method2(), 3,4)</f>
        <v>ha</v>
      </c>
      <c r="S13" s="119" t="str">
        <v>Input</v>
      </c>
      <c r="T13" s="118"/>
    </row>
    <row r="14" spans="1:21" ht="20.100000000000001" customHeight="1" x14ac:dyDescent="0.25">
      <c r="A14" s="5" t="str">
        <f>HYPERLINK("#'Input - Dairy cattle purchases'!A1", "Dairy cattle purchases")</f>
        <v>Dairy cattle purchases</v>
      </c>
      <c r="D14" s="118" t="str">
        <v>Y_p</v>
      </c>
      <c r="E14" s="123" t="str">
        <v>average yield of pasture crop</v>
      </c>
      <c r="F14" s="131"/>
      <c r="G14" s="124"/>
      <c r="H14" s="118" t="str">
        <v>t DM/ha</v>
      </c>
      <c r="I14" s="126" t="str">
        <v>Constant</v>
      </c>
      <c r="J14" s="118" cm="1">
        <f t="array" ref="J14">Common_InputFunctions.Utility_LookupValueInTableNumber($J$19,Table_SourceData_PastureAttributes[Pasture type],Table_SourceData_PastureAttributes[Average Yield (t DM ha) Yp])</f>
        <v>8.34</v>
      </c>
      <c r="N14" s="118" t="str">
        <v>Y_p</v>
      </c>
      <c r="O14" s="123" t="str">
        <v>average yield of pasture crop</v>
      </c>
      <c r="P14" s="131"/>
      <c r="Q14" s="124"/>
      <c r="R14" s="118" t="str">
        <v>t DM/ha</v>
      </c>
      <c r="S14" s="119" t="str">
        <v>Input</v>
      </c>
      <c r="T14" s="118">
        <f>X_Cell_Pasture_YieldPerHectare</f>
        <v>8.34</v>
      </c>
    </row>
    <row r="15" spans="1:21" ht="20.100000000000001" customHeight="1" x14ac:dyDescent="0.25">
      <c r="A15" s="5" t="str">
        <f>HYPERLINK("#'Input - Pasture'!A1", "Pasture")</f>
        <v>Pasture</v>
      </c>
      <c r="D15" s="118" t="str">
        <v>NC_AGp</v>
      </c>
      <c r="E15" s="123" t="str">
        <v>N content of above-ground pasture residue</v>
      </c>
      <c r="F15" s="131"/>
      <c r="G15" s="124"/>
      <c r="H15" s="118" t="str">
        <v>kg N/kg DM</v>
      </c>
      <c r="I15" s="126" t="str">
        <v>Constant</v>
      </c>
      <c r="J15" s="118" cm="1">
        <f t="array" ref="J15">Common_InputFunctions.Utility_LookupValueInTableNumber($J$19,Table_SourceData_PastureAttributes[Pasture type],Table_SourceData_PastureAttributes[N content Above-ground NCAGp])</f>
        <v>2.5000000000000001E-2</v>
      </c>
      <c r="N15" s="118" t="str">
        <v>NC_AGp</v>
      </c>
      <c r="O15" s="123" t="str">
        <v>N content of above-ground pasture residue</v>
      </c>
      <c r="P15" s="131"/>
      <c r="Q15" s="124"/>
      <c r="R15" s="118" t="str">
        <v>kg N/kg DM</v>
      </c>
      <c r="S15" s="126" t="str">
        <v>Constant</v>
      </c>
      <c r="T15" s="118"/>
    </row>
    <row r="16" spans="1:21" ht="20.100000000000001" customHeight="1" x14ac:dyDescent="0.25">
      <c r="A16" s="5" t="str">
        <f>HYPERLINK("#'Input - Fert Prod System'!A1", "Fert Prod System")</f>
        <v>Fert Prod System</v>
      </c>
      <c r="D16" s="118" t="str">
        <v>R_BGp</v>
      </c>
      <c r="E16" s="123" t="str">
        <v>below-ground residue to above-ground residue ratio for pasture crop</v>
      </c>
      <c r="F16" s="131"/>
      <c r="G16" s="124"/>
      <c r="H16" s="118" t="str">
        <v/>
      </c>
      <c r="I16" s="126" t="str">
        <v>Constant</v>
      </c>
      <c r="J16" s="118" cm="1">
        <f t="array" ref="J16">Common_InputFunctions.Utility_LookupValueInTableNumber($J$19,Table_SourceData_PastureAttributes[Pasture type],Table_SourceData_PastureAttributes[Below-ground: above-ground residue ratio RBGp])</f>
        <v>0.8</v>
      </c>
      <c r="N16" s="118" t="str">
        <v>R_BGp</v>
      </c>
      <c r="O16" s="123" t="str">
        <v>below-ground residue to above-ground residue ratio for pasture crop</v>
      </c>
      <c r="P16" s="131"/>
      <c r="Q16" s="124"/>
      <c r="R16" s="118" t="str">
        <v/>
      </c>
      <c r="S16" s="126" t="str">
        <v>Constant</v>
      </c>
      <c r="T16" s="118"/>
    </row>
    <row r="17" spans="1:21" ht="20.100000000000001" customHeight="1" x14ac:dyDescent="0.25">
      <c r="A17" s="5" t="str">
        <f>HYPERLINK("#'Input - Fertiliser'!A1", "Fertiliser")</f>
        <v>Fertiliser</v>
      </c>
      <c r="D17" s="118" t="str">
        <v>NC_BGp</v>
      </c>
      <c r="E17" s="123" t="str">
        <v>N content of below-ground pasture crop residue</v>
      </c>
      <c r="F17" s="131"/>
      <c r="G17" s="124"/>
      <c r="H17" s="118" t="str">
        <v>kg N/kg DM</v>
      </c>
      <c r="I17" s="126" t="str">
        <v>Constant</v>
      </c>
      <c r="J17" s="118" cm="1">
        <f t="array" ref="J17">Common_InputFunctions.Utility_LookupValueInTableNumber($J$19,Table_SourceData_PastureAttributes[Pasture type],Table_SourceData_PastureAttributes[N content Below-ground NCBGp])</f>
        <v>1.6E-2</v>
      </c>
      <c r="N17" s="118" t="str">
        <v>NC_BGp</v>
      </c>
      <c r="O17" s="123" t="str">
        <v>N content of below-ground pasture crop residue</v>
      </c>
      <c r="P17" s="131"/>
      <c r="Q17" s="124"/>
      <c r="R17" s="118" t="str">
        <v>kg N/kg DM</v>
      </c>
      <c r="S17" s="126" t="str">
        <v>Constant</v>
      </c>
      <c r="T17" s="118"/>
    </row>
    <row r="18" spans="1:21" ht="20.100000000000001" customHeight="1" x14ac:dyDescent="0.25">
      <c r="A18" s="5" t="str">
        <f>HYPERLINK("#'Input - Fuel'!A1", "Fuel")</f>
        <v>Fuel</v>
      </c>
      <c r="D18" s="118" t="str">
        <v>FFOD_p</v>
      </c>
      <c r="E18" s="123" t="str">
        <v>fraction of pasture yield that is removed</v>
      </c>
      <c r="F18" s="131"/>
      <c r="G18" s="124"/>
      <c r="H18" s="118" t="str">
        <v>fraction</v>
      </c>
      <c r="I18" s="126" t="str">
        <v>Constant</v>
      </c>
      <c r="J18" s="118" cm="1">
        <f t="array" ref="J18">Common_InputFunctions.Utility_LookupValueInTableNumber($J$19,Table_SourceData_PastureAttributes[Pasture type],Table_SourceData_PastureAttributes[Fraction of pasture yield that is removed FFODp])</f>
        <v>0.8</v>
      </c>
      <c r="N18" s="118" t="str">
        <v>FFOD_p</v>
      </c>
      <c r="O18" s="123" t="str">
        <v>fraction of pasture yield that is removed</v>
      </c>
      <c r="P18" s="131"/>
      <c r="Q18" s="124"/>
      <c r="R18" s="118" t="str">
        <v>fraction</v>
      </c>
      <c r="S18" s="126" t="str">
        <v>Constant</v>
      </c>
      <c r="T18" s="118"/>
    </row>
    <row r="19" spans="1:21" ht="20.100000000000001" customHeight="1" x14ac:dyDescent="0.25">
      <c r="A19" s="5" t="str">
        <f>HYPERLINK("#'Input - Electricity'!A1", "Electricity")</f>
        <v>Electricity</v>
      </c>
      <c r="D19" s="118" t="str">
        <v>p</v>
      </c>
      <c r="E19" s="123" t="str">
        <v>Pasture type</v>
      </c>
      <c r="F19" s="131"/>
      <c r="G19" s="124"/>
      <c r="H19" s="118" t="str">
        <v/>
      </c>
      <c r="I19" s="119" t="str">
        <v>Input</v>
      </c>
      <c r="J19" s="118" t="str">
        <f>X_Cell_Pasture_PastureType</f>
        <v>Grass clover mixture</v>
      </c>
      <c r="N19" s="118" t="str">
        <v>p</v>
      </c>
      <c r="O19" s="123" t="str">
        <v>Pasture type</v>
      </c>
      <c r="P19" s="131"/>
      <c r="Q19" s="124"/>
      <c r="R19" s="118" t="str">
        <v/>
      </c>
      <c r="S19" s="119" t="str">
        <v>Input</v>
      </c>
      <c r="T19" s="118"/>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0" t="s">
        <v>957</v>
      </c>
      <c r="E21" s="100" cm="1">
        <f t="array" ref="E21">AgResidue_Equations_PastureResidue.VEERG_6_2_1_1__2__MassOfNitrogenInPastureResidues(J13,J14,J18,J15,J16,J17)</f>
        <v>7.4226E-2</v>
      </c>
      <c r="F21" s="138" t="str" cm="1">
        <f t="array" ref="F21">AgResidue_Equations_PastureResidue.VEERG_6_2_1_1__2__MassOfNitrogenInPastureResidues_Unit()</f>
        <v>kg N</v>
      </c>
      <c r="N21" s="140" t="s">
        <v>957</v>
      </c>
      <c r="O21" s="100" cm="1">
        <f t="array" ref="O21">AgResidue_Equations_PastureResidue.VEERG_6_2_1_1__2__MassOfNitrogenInPastureResidues(J13,T14,J18,J15,J16,J17)</f>
        <v>7.4226E-2</v>
      </c>
      <c r="P21" s="138"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16" t="s">
        <v>257</v>
      </c>
      <c r="E27" s="116" t="str">
        <f ca="1">Common_InputFunctions.Utility_DisplayFunctionName(VEERG_6_2_1_1__1__NitrousOxideEmissionsFromPastureResidues_Result_Method1)</f>
        <v>=AgResidue_Equations_PastureResidue.VEERG_6_2_1_1__1__NitrousOxideEmissionsFromPastureResidues</v>
      </c>
      <c r="N27" s="116" t="s">
        <v>257</v>
      </c>
      <c r="O27" s="116"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5" t="s">
        <v>258</v>
      </c>
      <c r="E30" s="1" t="str" cm="1">
        <f t="array" ref="E30">AgResidue_Equations_PastureResidue.VEERG_6_2_1_1__1__NitrousOxideEmissionsFromPastureResidues_Variable()</f>
        <v>EN2O</v>
      </c>
      <c r="N30" s="35" t="s">
        <v>258</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5" t="s">
        <v>127</v>
      </c>
      <c r="E31" s="15" t="str" cm="1">
        <f t="array" ref="E31">AgResidue_Equations_PastureResidue.VEERG_6_2_1_1__1__NitrousOxideEmissionsFromPastureResidues_Unit()</f>
        <v>t N2O</v>
      </c>
      <c r="N31" s="35" t="s">
        <v>127</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17" t="str">
        <f>HYPERLINK("#'6.2.1.1-2 Pasture residue N2O'!A1", "6.2.1.1-2 Pasture residue N2O")</f>
        <v>6.2.1.1-2 Pasture residue N2O</v>
      </c>
      <c r="D33" s="118" t="str" cm="1">
        <f t="array" ref="D33:E37">_xlfn.CHOOSECOLS(AgResidue_Equations_PastureResidue.VEERG_6_2_1_1__1__NitrousOxideEmissionsFromPastureResidues_Arguments(), 1, 2)</f>
        <v>M_p</v>
      </c>
      <c r="E33" s="123" t="str">
        <v>mass of nitrogen in pasture p residues returned to the soil</v>
      </c>
      <c r="F33" s="131"/>
      <c r="G33" s="124"/>
      <c r="H33" s="118" t="str" cm="1">
        <f t="array" ref="H33:I37">_xlfn.CHOOSECOLS(AgResidue_Equations_PastureResidue.VEERG_6_2_1_1__1__NitrousOxideEmissionsFromPastureResidues_Arguments(), 3,4)</f>
        <v>kg N</v>
      </c>
      <c r="I33" s="126" t="str">
        <v>Calculated from 6.2.1.1 (2)</v>
      </c>
      <c r="J33" s="118">
        <f>$E$21</f>
        <v>7.4226E-2</v>
      </c>
      <c r="N33" s="118" t="str" cm="1">
        <f t="array" ref="N33:O37">_xlfn.CHOOSECOLS(AgResidue_Equations_PastureResidue.VEERG_6_2_1_1__1__NitrousOxideEmissionsFromPastureResidues_Arguments(), 1, 2)</f>
        <v>M_p</v>
      </c>
      <c r="O33" s="123" t="str">
        <v>mass of nitrogen in pasture p residues returned to the soil</v>
      </c>
      <c r="P33" s="131"/>
      <c r="Q33" s="124"/>
      <c r="R33" s="118" t="str" cm="1">
        <f t="array" ref="R33:S37">_xlfn.CHOOSECOLS(AgResidue_Equations_PastureResidue.VEERG_6_2_1_1__1__NitrousOxideEmissionsFromPastureResidues_Arguments(), 3,4)</f>
        <v>kg N</v>
      </c>
      <c r="S33" s="126" t="str">
        <v>Calculated from 6.2.1.1 (2)</v>
      </c>
      <c r="T33" s="118">
        <f>$O$21</f>
        <v>7.4226E-2</v>
      </c>
    </row>
    <row r="34" spans="1:20" ht="20.100000000000001" customHeight="1" x14ac:dyDescent="0.25">
      <c r="A34" s="5" t="str">
        <f>HYPERLINK("#'6.3.1.1-2 Leach runoff pasture'!A1", "6.3.1.1-2 Leach &amp; runoff (pasture)")</f>
        <v>6.3.1.1-2 Leach &amp; runoff (pasture)</v>
      </c>
      <c r="D34" s="118" t="str">
        <v>EF_Ni</v>
      </c>
      <c r="E34" s="123" t="str">
        <v>emission factor for crop residues returned to the soil in climate zone i</v>
      </c>
      <c r="F34" s="131"/>
      <c r="G34" s="124"/>
      <c r="H34" s="118" t="str">
        <v>kg N2O-N/kg N</v>
      </c>
      <c r="I34" s="126" t="str">
        <v>Constant</v>
      </c>
      <c r="J34" s="118" cm="1">
        <f t="array" ref="J34">Common_InputFunctions.Utility_LookupValueInTableNumber(J37,Table_SourceData_N2OEFOrganicFert[Climate zone type i],Table_SourceData_N2OEFOrganicFert[EF i N2O])</f>
        <v>5.0000000000000001E-3</v>
      </c>
      <c r="N34" s="118" t="str">
        <v>EF_Ni</v>
      </c>
      <c r="O34" s="123" t="str">
        <v>emission factor for crop residues returned to the soil in climate zone i</v>
      </c>
      <c r="P34" s="131"/>
      <c r="Q34" s="124"/>
      <c r="R34" s="118" t="str">
        <v>kg N2O-N/kg N</v>
      </c>
      <c r="S34" s="126" t="str">
        <v>Constant</v>
      </c>
      <c r="T34" s="118"/>
    </row>
    <row r="35" spans="1:20" ht="20.100000000000001" customHeight="1" x14ac:dyDescent="0.25">
      <c r="A35" s="5" t="str">
        <f>HYPERLINK("#'8.1.1.1-2 Transport fuel'!A1", "8.1.1.1-2 Transport fuel")</f>
        <v>8.1.1.1-2 Transport fuel</v>
      </c>
      <c r="D35" s="118" t="str">
        <v>C_N2O</v>
      </c>
      <c r="E35" s="123" t="str">
        <v>factor to convert elemental mass of nitrous oxide to molecular mass</v>
      </c>
      <c r="F35" s="131"/>
      <c r="G35" s="124"/>
      <c r="H35" s="118" t="str">
        <v>dimensionless</v>
      </c>
      <c r="I35" s="126" t="str">
        <v>Constant</v>
      </c>
      <c r="J35" s="118">
        <f>Common_InputFunctions.Utility_LookupValueInTableNumber("N2O",Table_GasToMolecularConversionFactor[Gas],Table_GasToMolecularConversionFactor[Conversion factor combined])</f>
        <v>1.5714285714285714</v>
      </c>
      <c r="N35" s="118" t="str">
        <v>C_N2O</v>
      </c>
      <c r="O35" s="123" t="str">
        <v>factor to convert elemental mass of nitrous oxide to molecular mass</v>
      </c>
      <c r="P35" s="131"/>
      <c r="Q35" s="124"/>
      <c r="R35" s="118" t="str">
        <v>dimensionless</v>
      </c>
      <c r="S35" s="126" t="str">
        <v>Constant</v>
      </c>
      <c r="T35" s="118"/>
    </row>
    <row r="36" spans="1:20" ht="20.100000000000001" customHeight="1" x14ac:dyDescent="0.25">
      <c r="A36" s="5" t="str">
        <f>HYPERLINK("#'8.2.1.1-2 Stationary fuel'!A1", "8.2.1.1-2 Stationary fuel")</f>
        <v>8.2.1.1-2 Stationary fuel</v>
      </c>
      <c r="D36" s="118" t="str">
        <v>p</v>
      </c>
      <c r="E36" s="123" t="str">
        <v>Pasture type</v>
      </c>
      <c r="F36" s="131"/>
      <c r="G36" s="124"/>
      <c r="H36" s="118" t="str">
        <v/>
      </c>
      <c r="I36" s="119" t="str">
        <v>Input</v>
      </c>
      <c r="J36" s="118" t="str">
        <f>X_Cell_Pasture_PastureType</f>
        <v>Grass clover mixture</v>
      </c>
      <c r="N36" s="118" t="str">
        <v>p</v>
      </c>
      <c r="O36" s="123" t="str">
        <v>Pasture type</v>
      </c>
      <c r="P36" s="131"/>
      <c r="Q36" s="124"/>
      <c r="R36" s="118" t="str">
        <v/>
      </c>
      <c r="S36" s="119" t="str">
        <v>Input</v>
      </c>
      <c r="T36" s="118"/>
    </row>
    <row r="37" spans="1:20" ht="20.100000000000001" customHeight="1" x14ac:dyDescent="0.25">
      <c r="A37" s="5" t="str">
        <f>HYPERLINK("#'14.1.1-2 Purchased electricity'!A1", "14.1.1-2 Purchased electricity")</f>
        <v>14.1.1-2 Purchased electricity</v>
      </c>
      <c r="D37" s="118" t="str">
        <v>i</v>
      </c>
      <c r="E37" s="123" t="str">
        <v>Wet or dry climate zone</v>
      </c>
      <c r="F37" s="131"/>
      <c r="G37" s="124"/>
      <c r="H37" s="118" t="str">
        <v/>
      </c>
      <c r="I37" s="119" t="str">
        <v>Input</v>
      </c>
      <c r="J37" s="118" t="str">
        <f>X_Cell_Site_WetOrDryClimateZone</f>
        <v>Dry climate zone</v>
      </c>
      <c r="N37" s="118" t="str">
        <v>i</v>
      </c>
      <c r="O37" s="123" t="str">
        <v>Wet or dry climate zone</v>
      </c>
      <c r="P37" s="131"/>
      <c r="Q37" s="124"/>
      <c r="R37" s="118" t="str">
        <v/>
      </c>
      <c r="S37" s="119" t="str">
        <v>Input</v>
      </c>
      <c r="T37" s="118"/>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HYPERLINK("#'4.3.1.1-2 Methane'!A1", "4.3.1.1-2 Methane")</f>
        <v>4.3.1.1-2 Methane</v>
      </c>
      <c r="D40" s="133" t="s">
        <v>640</v>
      </c>
      <c r="E40" s="134" cm="1">
        <f t="array" ref="E40">AgResidue_Equations_PastureResidue.VEERG_6_2_1_1__1__NitrousOxideEmissionsFromPastureResidues(J33,J34,J35)</f>
        <v>5.8320428571428569E-7</v>
      </c>
      <c r="F40" s="135" t="str" cm="1">
        <f t="array" ref="F40">AgResidue_Equations_PastureResidue.VEERG_6_2_1_1__1__NitrousOxideEmissionsFromPastureResidues_Unit()</f>
        <v>t N2O</v>
      </c>
      <c r="N40" s="133" t="s">
        <v>640</v>
      </c>
      <c r="O40" s="134" cm="1">
        <f t="array" ref="O40">AgResidue_Equations_PastureResidue.VEERG_6_2_1_1__1__NitrousOxideEmissionsFromPastureResidues(T33,J34,J35)</f>
        <v>5.8320428571428569E-7</v>
      </c>
      <c r="P40" s="135" t="str" cm="1">
        <f t="array" ref="P40">AgResidue_Equations_PastureResidue.VEERG_6_2_1_1__1__NitrousOxideEmissionsFromPastureResidues_Unit()</f>
        <v>t N2O</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30" t="str" cm="1">
        <f t="array" ref="D42:E43">Common_Equations.Common_ConvertN2OToCO2e_Arguments()</f>
        <v>EN2O</v>
      </c>
      <c r="E42" s="136" t="str">
        <v>Nitrous oxide emissions (t N2O)</v>
      </c>
      <c r="F42" s="141"/>
      <c r="G42" s="130">
        <f>VEERG_6_2_1_1__1__NitrousOxideEmissionsFromPastureResidues_Result_Method1</f>
        <v>5.8320428571428569E-7</v>
      </c>
      <c r="N42" s="130" t="str" cm="1">
        <f t="array" ref="N42:O43">Common_Equations.Common_ConvertN2OToCO2e_Arguments()</f>
        <v>EN2O</v>
      </c>
      <c r="O42" s="136" t="str">
        <v>Nitrous oxide emissions (t N2O)</v>
      </c>
      <c r="P42" s="141"/>
      <c r="Q42" s="130">
        <f>VEERG_6_2_1_1__1__NitrousOxideEmissionsFromPastureResidues_Result_Method2</f>
        <v>5.8320428571428569E-7</v>
      </c>
    </row>
    <row r="43" spans="1:20" ht="20.100000000000001" customHeight="1" x14ac:dyDescent="0.25">
      <c r="A43" s="5" t="str">
        <f>HYPERLINK("#'4.3.1.6-7 Leaching and runoff'!A1", "4.3.1.6-7 Leaching and runoff")</f>
        <v>4.3.1.6-7 Leaching and runoff</v>
      </c>
      <c r="D43" s="130" t="str">
        <v>GWPN2O</v>
      </c>
      <c r="E43" s="136" t="str">
        <v>Global warming potential for nitrous oxide (t CO2-e / t N2O)</v>
      </c>
      <c r="F43" s="141"/>
      <c r="G43" s="25">
        <f>Common_InputFunctions.Utility_LookupValueInTableNumber("N2O",Table_GWPData[Gas],Table_GWPData[CO2-e factor])</f>
        <v>265</v>
      </c>
      <c r="N43" s="130" t="str">
        <v>GWPN2O</v>
      </c>
      <c r="O43" s="136" t="str">
        <v>Global warming potential for nitrous oxide (t CO2-e / t N2O)</v>
      </c>
      <c r="P43" s="141"/>
      <c r="Q43" s="25">
        <f>Common_InputFunctions.Utility_LookupValueInTableNumber("N2O",Table_GWPData[Gas],Table_GWPData[CO2-e factor])</f>
        <v>265</v>
      </c>
    </row>
    <row r="44" spans="1:20" ht="20.100000000000001" customHeight="1" x14ac:dyDescent="0.25">
      <c r="A44" s="5" t="str">
        <f>HYPERLINK("#'4.3.1.8 Manure applied to soils'!A1", "4.3.1.8 Manure applied to soils")</f>
        <v>4.3.1.8 Manure applied to soils</v>
      </c>
    </row>
    <row r="45" spans="1:20" ht="20.100000000000001" customHeight="1" x14ac:dyDescent="0.25">
      <c r="A45" s="5" t="str">
        <f>HYPERLINK("#'4.3.1.9 Soil direct N2O'!A1", "4.3.1.9 Soil direct N2O")</f>
        <v>4.3.1.9 Soil direct N2O</v>
      </c>
      <c r="D45" s="1" t="s">
        <v>958</v>
      </c>
      <c r="E45" s="1" cm="1">
        <f t="array" ref="E45">Common_Equations.Common_ConvertN2OToCO2e(G42,G43)</f>
        <v>1.545491357142857E-4</v>
      </c>
      <c r="F45" s="15" t="str" cm="1">
        <f t="array" ref="F45">Common_Equations.Common_ConvertN2OToCO2e_Unit()</f>
        <v>t CO2e</v>
      </c>
      <c r="N45" s="1" t="s">
        <v>958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row>
    <row r="48" spans="1:2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282A2-4D19-46E9-AFF7-582582CE93B0}">
  <dimension ref="A1:T165"/>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959</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6" t="s">
        <v>257</v>
      </c>
      <c r="E7" s="116" t="str" cm="1">
        <f t="array" aca="1" ref="E7" ca="1">Common_InputFunctions.Utility_DisplayFunctionName(I25)</f>
        <v>=AgResidue_Equations_Leaching.VEERG_6_3_1_1__2__MassOfNitrogenLostThroughLeachingAndRunoff</v>
      </c>
      <c r="F7" s="116"/>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258</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127</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18" t="str" cm="1">
        <f t="array" ref="D13:E19">_xlfn.CHOOSECOLS(AgResidue_Equations_Leaching.VEERG_6_3_1_1__2__MassOfNitrogenLostThroughLeachingAndRunoff_Arguments(), 1,2)</f>
        <v>M_cp</v>
      </c>
      <c r="E13" s="123" t="str">
        <v>mass of nitrogen in crop residues c or pasture residues p applied to soils</v>
      </c>
      <c r="F13" s="131"/>
      <c r="G13" s="124"/>
      <c r="H13" s="118" t="str" cm="1">
        <f t="array" ref="H13:I19">_xlfn.CHOOSECOLS(AgResidue_Equations_Leaching.VEERG_6_3_1_1__2__MassOfNitrogenLostThroughLeachingAndRunoff_Arguments(), 3,4)</f>
        <v>kg N</v>
      </c>
      <c r="I13" s="126" t="str">
        <v>Calc from 6.1.1.1 (2) and 6.2.1.1 (2)</v>
      </c>
      <c r="J13" s="125"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18" t="str">
        <v>FracWET_j</v>
      </c>
      <c r="E14" s="123" t="str">
        <v>fraction of N that is available for leaching and runoff from the leaching zone z and irrigation type ir</v>
      </c>
      <c r="F14" s="131"/>
      <c r="G14" s="124"/>
      <c r="H14" s="118" t="str">
        <v>fraction</v>
      </c>
      <c r="I14" s="126" t="str">
        <v>Constant</v>
      </c>
      <c r="J14" s="125"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18" t="str">
        <v>FracLEACH</v>
      </c>
      <c r="E15" s="123" t="str">
        <v>fraction of N that is lost through leaching and runoff</v>
      </c>
      <c r="F15" s="131"/>
      <c r="G15" s="124"/>
      <c r="H15" s="118" t="str">
        <v>fraction</v>
      </c>
      <c r="I15" s="126" t="str">
        <v>Constant</v>
      </c>
      <c r="J15" s="118">
        <f>'Constants - Common'!$E$164</f>
        <v>0.24</v>
      </c>
      <c r="K15" s="8"/>
    </row>
    <row r="16" spans="1:20" ht="20.100000000000001" customHeight="1" x14ac:dyDescent="0.25">
      <c r="A16" s="5" t="str">
        <f>HYPERLINK("#'Input - Fert Prod System'!A1", "Fert Prod System")</f>
        <v>Fert Prod System</v>
      </c>
      <c r="C16" s="8"/>
      <c r="D16" s="118" t="str">
        <v>z</v>
      </c>
      <c r="E16" s="123" t="str">
        <v>Location in leaching zone</v>
      </c>
      <c r="F16" s="131"/>
      <c r="G16" s="124"/>
      <c r="H16" s="118" t="str">
        <v/>
      </c>
      <c r="I16" s="119" t="str">
        <v>Input</v>
      </c>
      <c r="J16" s="125"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18" t="str">
        <v>c</v>
      </c>
      <c r="E17" s="123" t="str">
        <v>Crop residue type</v>
      </c>
      <c r="F17" s="131"/>
      <c r="G17" s="124"/>
      <c r="H17" s="118" t="str">
        <v/>
      </c>
      <c r="I17" s="119" t="str">
        <v>Input</v>
      </c>
      <c r="J17" s="118" t="s">
        <v>136</v>
      </c>
      <c r="K17" s="8"/>
    </row>
    <row r="18" spans="1:20" ht="20.100000000000001" customHeight="1" x14ac:dyDescent="0.25">
      <c r="A18" s="5" t="str">
        <f>HYPERLINK("#'Input - Fuel'!A1", "Fuel")</f>
        <v>Fuel</v>
      </c>
      <c r="C18" s="8"/>
      <c r="D18" s="118" t="str">
        <v>p</v>
      </c>
      <c r="E18" s="123" t="str">
        <v>Pasture residue type</v>
      </c>
      <c r="F18" s="131"/>
      <c r="G18" s="124"/>
      <c r="H18" s="118" t="str">
        <v/>
      </c>
      <c r="I18" s="119" t="str">
        <v>Input</v>
      </c>
      <c r="J18" s="118" t="str">
        <f>X_Cell_Pasture_PastureType</f>
        <v>Grass clover mixture</v>
      </c>
      <c r="K18" s="8"/>
    </row>
    <row r="19" spans="1:20" ht="20.100000000000001" customHeight="1" x14ac:dyDescent="0.25">
      <c r="A19" s="5" t="str">
        <f>HYPERLINK("#'Input - Electricity'!A1", "Electricity")</f>
        <v>Electricity</v>
      </c>
      <c r="C19" s="8"/>
      <c r="D19" s="118" t="str">
        <v>ir</v>
      </c>
      <c r="E19" s="123" t="str">
        <v>Irrigation type</v>
      </c>
      <c r="F19" s="131"/>
      <c r="G19" s="124"/>
      <c r="H19" s="118" t="str">
        <v/>
      </c>
      <c r="I19" s="119" t="str">
        <v>Input</v>
      </c>
      <c r="J19" s="125"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20" t="s">
        <v>960</v>
      </c>
      <c r="E21" s="8"/>
      <c r="F21" s="8"/>
      <c r="G21" s="8"/>
      <c r="H21" s="8"/>
      <c r="I21" s="8"/>
      <c r="J21" s="8"/>
      <c r="K21" s="8"/>
      <c r="N21" s="120" t="s">
        <v>961</v>
      </c>
      <c r="O21" s="8"/>
      <c r="P21" s="8"/>
      <c r="Q21" s="8"/>
      <c r="R21" s="8"/>
      <c r="S21" s="8"/>
    </row>
    <row r="22" spans="1:20" ht="20.100000000000001" customHeight="1" x14ac:dyDescent="0.25">
      <c r="A22" s="5" t="str">
        <f>HYPERLINK("#'Input - Manure sent off-site'!A1", "Manure sent off-site")</f>
        <v>Manure sent off-site</v>
      </c>
      <c r="C22" s="8"/>
      <c r="D22" s="121" t="s">
        <v>962</v>
      </c>
      <c r="E22" s="8"/>
      <c r="F22" s="8"/>
      <c r="G22" s="8"/>
      <c r="H22" s="8"/>
      <c r="I22" s="8"/>
      <c r="J22" s="8"/>
      <c r="K22" s="8"/>
      <c r="N22" s="121" t="s">
        <v>963</v>
      </c>
      <c r="O22" s="8"/>
      <c r="P22" s="8"/>
      <c r="Q22" s="8"/>
      <c r="R22" s="8"/>
      <c r="S22" s="8"/>
    </row>
    <row r="23" spans="1:20" ht="20.100000000000001" customHeight="1" x14ac:dyDescent="0.25">
      <c r="A23" s="5" t="str">
        <f>HYPERLINK("#'Input - Solid waste'!A1", "Solid waste")</f>
        <v>Solid waste</v>
      </c>
      <c r="C23" s="8"/>
      <c r="D23" s="96" t="s">
        <v>964</v>
      </c>
      <c r="E23" s="122" t="s">
        <v>965</v>
      </c>
      <c r="F23" s="96" t="s">
        <v>966</v>
      </c>
      <c r="G23" s="96" t="s">
        <v>109</v>
      </c>
      <c r="H23" s="122" t="s">
        <v>967</v>
      </c>
      <c r="I23" s="122" t="s">
        <v>968</v>
      </c>
      <c r="J23" s="8"/>
      <c r="K23" s="8"/>
      <c r="N23" s="96" t="s">
        <v>964</v>
      </c>
      <c r="O23" s="122" t="s">
        <v>965</v>
      </c>
      <c r="P23" s="96" t="s">
        <v>966</v>
      </c>
      <c r="Q23" s="96" t="s">
        <v>109</v>
      </c>
      <c r="R23" s="122" t="s">
        <v>967</v>
      </c>
      <c r="S23" s="122" t="s">
        <v>968</v>
      </c>
    </row>
    <row r="24" spans="1:20" ht="20.100000000000001" customHeight="1" x14ac:dyDescent="0.25">
      <c r="D24" s="25" t="s">
        <v>705</v>
      </c>
      <c r="E24" s="25" t="s">
        <v>136</v>
      </c>
      <c r="F24" s="25" t="s">
        <v>136</v>
      </c>
      <c r="G24" s="25" t="s">
        <v>136</v>
      </c>
      <c r="H24" s="25" t="s">
        <v>136</v>
      </c>
      <c r="I24" s="25" t="s">
        <v>136</v>
      </c>
      <c r="N24" s="25"/>
      <c r="O24" s="25" t="s">
        <v>136</v>
      </c>
      <c r="P24" s="25"/>
      <c r="Q24" s="25"/>
      <c r="R24" s="25"/>
      <c r="S24" s="25" t="s">
        <v>136</v>
      </c>
    </row>
    <row r="25" spans="1:20" ht="20.100000000000001" customHeight="1" x14ac:dyDescent="0.25">
      <c r="D25" s="25" t="s">
        <v>185</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3"/>
      <c r="D27" s="253"/>
      <c r="E27" s="253"/>
      <c r="F27" s="253"/>
      <c r="G27" s="253"/>
      <c r="H27" s="253"/>
      <c r="I27" s="253"/>
      <c r="J27" s="253"/>
      <c r="K27" s="253"/>
      <c r="M27" s="253"/>
      <c r="N27" s="253"/>
      <c r="O27" s="253"/>
      <c r="P27" s="253"/>
      <c r="Q27" s="253"/>
      <c r="R27" s="253"/>
      <c r="S27" s="253"/>
      <c r="T27" s="253"/>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4"/>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16" t="s">
        <v>257</v>
      </c>
      <c r="E30" s="116"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258</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17" t="str">
        <f>HYPERLINK("#'6.3.1.1-2 Leach runoff pasture'!A1", "6.3.1.1-2 Leach &amp; runoff (pasture)")</f>
        <v>6.3.1.1-2 Leach &amp; runoff (pasture)</v>
      </c>
      <c r="C34" s="8"/>
      <c r="D34" s="12" t="s">
        <v>127</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18" t="str" cm="1">
        <f t="array" ref="D36:E40">_xlfn.CHOOSECOLS(AgResidue_Equations_Leaching.VEERG_6_3_1_1__1__LeachingAndRunoffEmissionsCropAndPastureResidue_Arguments(),1,2)</f>
        <v>M_leachcp</v>
      </c>
      <c r="E36" s="123" t="str">
        <v>mass of nitrogen lost through leaching and runoff from the crop residue c or pasture residue p</v>
      </c>
      <c r="F36" s="131"/>
      <c r="G36" s="124"/>
      <c r="H36" s="118" t="str" cm="1">
        <f t="array" ref="H36:I40">_xlfn.CHOOSECOLS(AgResidue_Equations_Leaching.VEERG_6_3_1_1__1__LeachingAndRunoffEmissionsCropAndPastureResidue_Arguments(),3,4)</f>
        <v>kg N</v>
      </c>
      <c r="I36" s="126" t="str">
        <v>Calculated from 6.3.1.1 (2)</v>
      </c>
      <c r="J36" s="118"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18" t="str">
        <v>EF_leach</v>
      </c>
      <c r="E37" s="123" t="str">
        <v>emission factor for leaching and runoff</v>
      </c>
      <c r="F37" s="131"/>
      <c r="G37" s="124"/>
      <c r="H37" s="118" t="str">
        <v>kg N2O-N/kg N</v>
      </c>
      <c r="I37" s="126" t="str">
        <v>Constant</v>
      </c>
      <c r="J37" s="118">
        <f>'Constants - Common'!$E$170</f>
        <v>1.0999999999999999E-2</v>
      </c>
      <c r="K37" s="8"/>
    </row>
    <row r="38" spans="1:17" ht="20.100000000000001" customHeight="1" x14ac:dyDescent="0.25">
      <c r="A38" s="5" t="str">
        <f>HYPERLINK("#'15 Scope 3'!A1", "15 Scope 3")</f>
        <v>15 Scope 3</v>
      </c>
      <c r="C38" s="8"/>
      <c r="D38" s="118" t="str">
        <v>C_N2O</v>
      </c>
      <c r="E38" s="123" t="str">
        <v>factor to convert elemental mass of nitrous oxide to molecular mass</v>
      </c>
      <c r="F38" s="131"/>
      <c r="G38" s="124"/>
      <c r="H38" s="118" t="str">
        <v>dimensionless</v>
      </c>
      <c r="I38" s="126" t="str">
        <v>Constant</v>
      </c>
      <c r="J38" s="118">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18" t="str">
        <v>c</v>
      </c>
      <c r="E39" s="123" t="str">
        <v>Crop residue type</v>
      </c>
      <c r="F39" s="131"/>
      <c r="G39" s="124"/>
      <c r="H39" s="118" t="str">
        <v/>
      </c>
      <c r="I39" s="119" t="str">
        <v>Input</v>
      </c>
      <c r="J39" s="118" t="s">
        <v>136</v>
      </c>
      <c r="K39" s="8"/>
    </row>
    <row r="40" spans="1:17" ht="20.100000000000001" customHeight="1" x14ac:dyDescent="0.25">
      <c r="A40" s="5" t="str">
        <f>HYPERLINK("#'4.3.1.1-2 Methane'!A1", "4.3.1.1-2 Methane")</f>
        <v>4.3.1.1-2 Methane</v>
      </c>
      <c r="C40" s="8"/>
      <c r="D40" s="118" t="str">
        <v>p</v>
      </c>
      <c r="E40" s="123" t="str">
        <v>Pasture residue type</v>
      </c>
      <c r="F40" s="131"/>
      <c r="G40" s="124"/>
      <c r="H40" s="118" t="str">
        <v/>
      </c>
      <c r="I40" s="119" t="str">
        <v>Input</v>
      </c>
      <c r="J40" s="118" t="str">
        <f>X_Cell_Pasture_PastureType</f>
        <v>Grass clover mixture</v>
      </c>
      <c r="K40" s="8"/>
    </row>
    <row r="41" spans="1:17" ht="20.100000000000001" customHeight="1" x14ac:dyDescent="0.25">
      <c r="A41" s="5" t="str">
        <f>HYPERLINK("#'4.3.1.3-4 Direct N20'!A1", "4.3.1.3-4 Direct N20")</f>
        <v>4.3.1.3-4 Direct N20</v>
      </c>
      <c r="C41" s="8"/>
      <c r="D41" s="8"/>
      <c r="E41" s="8"/>
      <c r="F41" s="8"/>
      <c r="G41" s="8"/>
      <c r="H41" s="8"/>
      <c r="I41" s="8"/>
      <c r="J41" s="8"/>
      <c r="K41" s="8"/>
    </row>
    <row r="42" spans="1:17" ht="20.100000000000001" customHeight="1" x14ac:dyDescent="0.25">
      <c r="A42" s="5" t="str">
        <f>HYPERLINK("#'4.3.1.5 Atmos deposition'!A1", "4.3.1.5 Atmos deposition")</f>
        <v>4.3.1.5 Atmos deposition</v>
      </c>
      <c r="C42" s="8"/>
      <c r="D42" s="120" t="s">
        <v>635</v>
      </c>
      <c r="E42" s="8"/>
      <c r="F42" s="8"/>
      <c r="G42" s="8"/>
      <c r="H42" s="8"/>
      <c r="I42" s="8"/>
      <c r="J42" s="8"/>
      <c r="K42" s="8"/>
      <c r="N42" s="120" t="s">
        <v>635</v>
      </c>
      <c r="O42" s="8"/>
      <c r="P42" s="8"/>
      <c r="Q42" s="8"/>
    </row>
    <row r="43" spans="1:17" ht="20.100000000000001" customHeight="1" x14ac:dyDescent="0.25">
      <c r="A43" s="5" t="str">
        <f>HYPERLINK("#'4.3.1.6-7 Leaching and runoff'!A1", "4.3.1.6-7 Leaching and runoff")</f>
        <v>4.3.1.6-7 Leaching and runoff</v>
      </c>
      <c r="C43" s="8"/>
      <c r="D43" s="121" t="s">
        <v>969</v>
      </c>
      <c r="E43" s="8"/>
      <c r="F43" s="8"/>
      <c r="G43" s="8"/>
      <c r="H43" s="8"/>
      <c r="I43" s="8"/>
      <c r="J43" s="8"/>
      <c r="K43" s="8"/>
      <c r="N43" s="121" t="s">
        <v>969</v>
      </c>
      <c r="O43" s="8"/>
      <c r="P43" s="8"/>
      <c r="Q43" s="8"/>
    </row>
    <row r="44" spans="1:17" ht="20.100000000000001" customHeight="1" x14ac:dyDescent="0.25">
      <c r="A44" s="5" t="str">
        <f>HYPERLINK("#'4.3.1.8 Manure applied to soils'!A1", "4.3.1.8 Manure applied to soils")</f>
        <v>4.3.1.8 Manure applied to soils</v>
      </c>
      <c r="C44" s="8"/>
      <c r="D44" s="122" t="s">
        <v>968</v>
      </c>
      <c r="E44" s="122" t="s">
        <v>970</v>
      </c>
      <c r="F44" s="8"/>
      <c r="G44" s="8"/>
      <c r="H44" s="8"/>
      <c r="I44" s="8"/>
      <c r="J44" s="8"/>
      <c r="K44" s="8"/>
      <c r="N44" s="122" t="s">
        <v>968</v>
      </c>
      <c r="O44" s="122" t="s">
        <v>970</v>
      </c>
      <c r="P44" s="8"/>
      <c r="Q44" s="8"/>
    </row>
    <row r="45" spans="1:17" ht="20.100000000000001" customHeight="1" x14ac:dyDescent="0.25">
      <c r="A45" s="5" t="str">
        <f>HYPERLINK("#'4.3.1.9 Soil direct N2O'!A1", "4.3.1.9 Soil direct N2O")</f>
        <v>4.3.1.9 Soil direct N2O</v>
      </c>
      <c r="C45" s="8"/>
      <c r="D45" s="25" t="str">
        <f>I24</f>
        <v>N/A</v>
      </c>
      <c r="E45" s="25" t="s">
        <v>136</v>
      </c>
      <c r="F45" s="8"/>
      <c r="G45" s="8"/>
      <c r="H45" s="8"/>
      <c r="I45" s="8"/>
      <c r="J45" s="8"/>
      <c r="K45" s="8"/>
      <c r="N45" s="25" t="str">
        <f>S24</f>
        <v>N/A</v>
      </c>
      <c r="O45" s="25" t="s">
        <v>136</v>
      </c>
      <c r="P45" s="8"/>
      <c r="Q45" s="8"/>
    </row>
    <row r="46" spans="1:17" ht="20.100000000000001" customHeight="1" x14ac:dyDescent="0.25">
      <c r="A46" s="5" t="str">
        <f>HYPERLINK("#'4.3.1.10-11 Soil Atmos Dep'!A1", "4.3.1.10-11 Soil Atmos Dep")</f>
        <v>4.3.1.10-11 Soil Atmos Dep</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HYPERLINK("#'4.3.1.12-13 Soil leach runoff'!A1", "4.3.1.12-13 Soil leach runoff")</f>
        <v>4.3.1.12-13 Soil leach runoff</v>
      </c>
      <c r="C47" s="8"/>
      <c r="F47" s="8"/>
      <c r="G47" s="8"/>
      <c r="H47" s="8"/>
      <c r="I47" s="8"/>
      <c r="J47" s="8"/>
      <c r="K47" s="8"/>
      <c r="P47" s="8"/>
      <c r="Q47" s="8"/>
    </row>
    <row r="48" spans="1:17" ht="20.100000000000001" customHeight="1" x14ac:dyDescent="0.4">
      <c r="A48" s="5" t="str">
        <f>HYPERLINK("#'3.3.1.1-2 Enteric Methane'!A1", "3.3.1.1-2 Enteric Methane")</f>
        <v>3.3.1.1-2 Enteric Methane</v>
      </c>
      <c r="C48" s="8"/>
      <c r="D48" s="255" t="s">
        <v>971</v>
      </c>
      <c r="E48" s="256">
        <f>SUM(E45:E46)</f>
        <v>3.0793186285714277E-7</v>
      </c>
      <c r="F48" s="135" t="str">
        <f>$E$34</f>
        <v>t N2O</v>
      </c>
      <c r="G48" s="8"/>
      <c r="H48" s="8"/>
      <c r="I48" s="8"/>
      <c r="J48" s="8"/>
      <c r="K48" s="8"/>
      <c r="N48" s="255" t="s">
        <v>971</v>
      </c>
      <c r="O48" s="256">
        <f>SUM(O45:O46)</f>
        <v>3.0793186285714277E-7</v>
      </c>
      <c r="P48" s="135"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30" t="str" cm="1">
        <f t="array" ref="D50:E51">Common_Equations.Common_ConvertN2OToCO2e_Arguments()</f>
        <v>EN2O</v>
      </c>
      <c r="E50" s="136" t="str">
        <v>Nitrous oxide emissions (t N2O)</v>
      </c>
      <c r="F50" s="137"/>
      <c r="G50" s="25">
        <f>VEERG_6_3_1_1__1__LeachingAndRunoffEmissionsCropAndPastureResidue_PastureOnly_Result_Method1</f>
        <v>3.0793186285714277E-7</v>
      </c>
      <c r="N50" s="130" t="str" cm="1">
        <f t="array" ref="N50:O51">Common_Equations.Common_ConvertN2OToCO2e_Arguments()</f>
        <v>EN2O</v>
      </c>
      <c r="O50" s="136" t="str">
        <v>Nitrous oxide emissions (t N2O)</v>
      </c>
      <c r="P50" s="137"/>
      <c r="Q50" s="25">
        <f>VEERG_6_3_1_1__1__LeachingAndRunoffEmissionsCropAndPastureResidue_PastureOnly_Result_Method2</f>
        <v>3.0793186285714277E-7</v>
      </c>
    </row>
    <row r="51" spans="1:17" ht="20.100000000000001" customHeight="1" x14ac:dyDescent="0.25">
      <c r="D51" s="130" t="str">
        <v>GWPN2O</v>
      </c>
      <c r="E51" s="136" t="str">
        <v>Global warming potential for nitrous oxide (t CO2-e / t N2O)</v>
      </c>
      <c r="F51" s="137"/>
      <c r="G51" s="25">
        <f>Common_InputFunctions.Utility_LookupValueInTableNumber("N2O",Table_GWPData[Gas],Table_GWPData[CO2-e factor])</f>
        <v>265</v>
      </c>
      <c r="H51" s="8"/>
      <c r="I51" s="8"/>
      <c r="N51" s="130" t="str">
        <v>GWPN2O</v>
      </c>
      <c r="O51" s="136" t="str">
        <v>Global warming potential for nitrous oxide (t CO2-e / t N2O)</v>
      </c>
      <c r="P51" s="137"/>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407</v>
      </c>
      <c r="E53" s="100" cm="1">
        <f t="array" ref="E53">Common_Equations.Common_ConvertN2OToCO2e(G50,G51)</f>
        <v>8.1601943657142831E-5</v>
      </c>
      <c r="F53" s="138" t="str" cm="1">
        <f t="array" ref="F53">Common_Equations.Common_ConvertN2OToCO2e_Unit()</f>
        <v>t CO2e</v>
      </c>
      <c r="I53" s="8"/>
      <c r="N53" s="100" t="s">
        <v>407</v>
      </c>
      <c r="O53" s="100" cm="1">
        <f t="array" ref="O53">Common_Equations.Common_ConvertN2OToCO2e(Q50,Q51)</f>
        <v>8.1601943657142831E-5</v>
      </c>
      <c r="P53" s="138"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21C2-94F6-4F9C-90BA-B4FB143B9905}">
  <dimension ref="A1:R342"/>
  <sheetViews>
    <sheetView showGridLines="0" topLeftCell="A4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797</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9"/>
      <c r="P5" s="189"/>
      <c r="Q5" s="18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89"/>
      <c r="P6" s="189"/>
      <c r="Q6" s="189"/>
    </row>
    <row r="7" spans="1:18" ht="20.100000000000001" customHeight="1" x14ac:dyDescent="0.25">
      <c r="D7" s="116" t="s">
        <v>257</v>
      </c>
      <c r="E7" s="116" t="str" cm="1">
        <f t="array" aca="1" ref="E7" ca="1">Common_InputFunctions.Utility_DisplayFunctionName(N25)</f>
        <v>=Fuel_Equations.VEERG_8_1_1_1__1_FuelCombustionTransport</v>
      </c>
      <c r="K7" s="116" t="s">
        <v>257</v>
      </c>
      <c r="L7" s="116" t="str" cm="1">
        <f t="array" aca="1" ref="L7" ca="1">Common_InputFunctions.Utility_DisplayFunctionName(Q25)</f>
        <v>=Scope3_Equations.VEERG_15_11_1_1__2_UpstreamTransportFuelEmissions</v>
      </c>
      <c r="O7" s="189"/>
      <c r="P7" s="189"/>
      <c r="Q7" s="189"/>
    </row>
    <row r="8" spans="1:18" ht="20.100000000000001" customHeight="1" x14ac:dyDescent="0.25">
      <c r="A8" s="7" t="s">
        <v>0</v>
      </c>
      <c r="E8" s="116"/>
      <c r="L8" s="116"/>
      <c r="O8" s="189"/>
      <c r="P8" s="189"/>
      <c r="Q8" s="189"/>
    </row>
    <row r="9" spans="1:18" ht="20.100000000000001" customHeight="1" x14ac:dyDescent="0.25">
      <c r="A9" s="5" t="str">
        <f>HYPERLINK("#'Input - Enterprise'!A1", "Enterprise")</f>
        <v>Enterprise</v>
      </c>
      <c r="G9" s="27"/>
      <c r="O9" s="189"/>
      <c r="P9" s="189"/>
      <c r="Q9" s="189"/>
    </row>
    <row r="10" spans="1:18" ht="20.100000000000001" customHeight="1" x14ac:dyDescent="0.25">
      <c r="A10" s="5" t="str">
        <f>HYPERLINK("#'Input - Site'!A1", "Site")</f>
        <v>Site</v>
      </c>
      <c r="O10" s="189"/>
      <c r="P10" s="189"/>
      <c r="Q10" s="189"/>
    </row>
    <row r="11" spans="1:18" ht="20.100000000000001" customHeight="1" x14ac:dyDescent="0.25">
      <c r="A11" s="5" t="str">
        <f>HYPERLINK("#'Input - Dairy'!A1", "Dairy")</f>
        <v>Dairy</v>
      </c>
      <c r="D11" s="88" t="s">
        <v>258</v>
      </c>
      <c r="E11" s="1" t="str" cm="1">
        <f t="array" ref="E11">Fuel_Equations.VEERG_8_1_1_1__1_FuelCombustionTransport_Variable()</f>
        <v>E_g</v>
      </c>
      <c r="K11" s="88" t="s">
        <v>258</v>
      </c>
      <c r="L11" s="1" t="str" cm="1">
        <f t="array" ref="L11">Scope3_Equations.VEERG_15_11_1_1__2_UpstreamTransportFuelEmissions_Variable()</f>
        <v>E_WTTtransq</v>
      </c>
      <c r="O11" s="189"/>
      <c r="P11" s="189"/>
      <c r="Q11" s="189"/>
    </row>
    <row r="12" spans="1:18" ht="20.100000000000001" customHeight="1" x14ac:dyDescent="0.25">
      <c r="A12" s="5" t="str">
        <f>HYPERLINK("#'Input - Dairy (Enteric)'!A1", "Dairy (Enteric)")</f>
        <v>Dairy (Enteric)</v>
      </c>
      <c r="D12" s="88" t="s">
        <v>127</v>
      </c>
      <c r="E12" s="15" t="str" cm="1">
        <f t="array" ref="E12">Fuel_Equations.VEERG_8_1_1_1__1_FuelCombustionTransport_Unit()</f>
        <v>t CO2-e</v>
      </c>
      <c r="K12" s="88" t="s">
        <v>127</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_xlfn.CHOOSECOLS(Fuel_Equations.VEERG_8_1_1_1__1_FuelCombustionTransport_Arguments(), 1,2)</f>
        <v>Q_Transtq</v>
      </c>
      <c r="E14" s="123" t="str">
        <v>Amount of fuel type q combusted for transport energy purposes</v>
      </c>
      <c r="F14" s="124"/>
      <c r="G14" s="118" t="str" cm="1">
        <f t="array" ref="G14:H20">_xlfn.CHOOSECOLS(Fuel_Equations.VEERG_8_1_1_1__1_FuelCombustionTransport_Arguments(), 3,4)</f>
        <v>Varies based on fuel type: kL, m3, GJ</v>
      </c>
      <c r="H14" s="119" t="str">
        <v>Input</v>
      </c>
      <c r="I14" s="125" t="str" cm="1">
        <f t="array" aca="1" ref="I14" ca="1">HYPERLINK(Common_InputFunctions.Utility_SourceHyperlink($D$22), $D$22)</f>
        <v>Table_E_g</v>
      </c>
      <c r="K14" s="118" t="str" cm="1">
        <f t="array" ref="K14:L16">_xlfn.CHOOSECOLS(Scope3_Equations.VEERG_15_11_1_1__2_UpstreamTransportFuelEmissions_Arguments(),1,2)</f>
        <v>Q_Transq</v>
      </c>
      <c r="L14" s="118" t="str">
        <v>amount of fuel q combusted for transport energy purposes</v>
      </c>
      <c r="M14" s="118"/>
      <c r="N14" s="118" t="str" cm="1">
        <f t="array" ref="N14:O16">_xlfn.CHOOSECOLS(Scope3_Equations.VEERG_15_11_1_1__2_UpstreamTransportFuelEmissions_Arguments(),3,4)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EC_Transq</v>
      </c>
      <c r="E15" s="123" t="str">
        <v>Energy content factor for transport energy purposes</v>
      </c>
      <c r="F15" s="124"/>
      <c r="G15" s="118" t="str">
        <v>GJ / unit of fuel</v>
      </c>
      <c r="H15" s="126" t="str">
        <v>Constant</v>
      </c>
      <c r="I15" s="125" t="str" cm="1">
        <f t="array" aca="1" ref="I15" ca="1">HYPERLINK(Common_InputFunctions.Utility_SourceHyperlink($D$22), $D$22)</f>
        <v>Table_E_g</v>
      </c>
      <c r="K15" s="118" t="str">
        <v>EC_Transq</v>
      </c>
      <c r="L15" s="118" t="str">
        <v>energy content factor for transport energy purposes</v>
      </c>
      <c r="M15" s="118"/>
      <c r="N15" s="118" t="str">
        <v>GJ/kL or GJ/m3</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EF_Trans1tqg</v>
      </c>
      <c r="E16" s="123" t="str">
        <v>Scope 1 emission factor for transport energy purposes for each greenhouse gas</v>
      </c>
      <c r="F16" s="124"/>
      <c r="G16" s="118" t="str">
        <v>kg CO2e / GJ</v>
      </c>
      <c r="H16" s="126" t="str">
        <v>Constant</v>
      </c>
      <c r="I16" s="125" t="str" cm="1">
        <f t="array" aca="1" ref="I16" ca="1">HYPERLINK(Common_InputFunctions.Utility_SourceHyperlink($D$22), $D$22)</f>
        <v>Table_E_g</v>
      </c>
      <c r="K16" s="118" t="str">
        <v>EF_Trans3q</v>
      </c>
      <c r="L16" s="118" t="str">
        <v>scope 3 emission factor for transport energy purposes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P17" s="189"/>
      <c r="Q17" s="189"/>
    </row>
    <row r="18" spans="1:17" ht="20.100000000000001" customHeight="1" x14ac:dyDescent="0.25">
      <c r="A18" s="5" t="str">
        <f>HYPERLINK("#'Input - Fuel'!A1", "Fuel")</f>
        <v>Fuel</v>
      </c>
      <c r="D18" s="118" t="str">
        <v>Trans</v>
      </c>
      <c r="E18" s="123" t="str">
        <v>Transport combustion</v>
      </c>
      <c r="F18" s="124"/>
      <c r="G18" s="118" t="str">
        <v/>
      </c>
      <c r="H18" s="126" t="str">
        <v>Constant</v>
      </c>
      <c r="I18" s="125"/>
      <c r="J18" s="189"/>
      <c r="L18" s="189"/>
      <c r="M18" s="189"/>
      <c r="N18" s="189"/>
      <c r="O18" s="189"/>
      <c r="P18" s="189"/>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M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M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799</v>
      </c>
    </row>
    <row r="24" spans="1:17" ht="20.100000000000001" customHeight="1" x14ac:dyDescent="0.25">
      <c r="D24" s="122" t="s">
        <v>800</v>
      </c>
      <c r="E24" s="122" t="s">
        <v>801</v>
      </c>
      <c r="F24" s="122" t="s">
        <v>802</v>
      </c>
      <c r="G24" s="122" t="s">
        <v>803</v>
      </c>
      <c r="H24" s="122" t="s">
        <v>804</v>
      </c>
      <c r="I24" s="122" t="s">
        <v>805</v>
      </c>
      <c r="J24" s="122" t="s">
        <v>806</v>
      </c>
      <c r="K24" s="122" t="s">
        <v>807</v>
      </c>
      <c r="L24" s="96" t="s">
        <v>808</v>
      </c>
      <c r="M24" s="122" t="s">
        <v>809</v>
      </c>
      <c r="N24" s="122" t="s">
        <v>810</v>
      </c>
      <c r="O24" s="122" t="s">
        <v>811</v>
      </c>
      <c r="P24" s="122" t="s">
        <v>812</v>
      </c>
      <c r="Q24" s="122" t="s">
        <v>813</v>
      </c>
    </row>
    <row r="25" spans="1:17" ht="20.100000000000001" customHeight="1" x14ac:dyDescent="0.25">
      <c r="D25" s="35" t="str">
        <f>Table_FuelTypesPerUse[[#Headers],[Cars and light commercial vehicles]]</f>
        <v>Cars and light commercial vehicles</v>
      </c>
      <c r="E25" s="213" t="str">
        <f>'Constants - Fuel'!$E$10</f>
        <v>Gasoline</v>
      </c>
      <c r="F25" s="21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14" cm="1">
        <f t="array" ref="N25">Fuel_Equations.VEERG_8_1_1_1__1_FuelCombustionTransport($L25,$G25,$H25)</f>
        <v>0</v>
      </c>
      <c r="O25" s="214" cm="1">
        <f t="array" ref="O25">Fuel_Equations.VEERG_8_1_1_1__1_FuelCombustionTransport($L25,$G25,$I25)</f>
        <v>0</v>
      </c>
      <c r="P25" s="214" cm="1">
        <f t="array" ref="P25">Fuel_Equations.VEERG_8_1_1_1__1_FuelCombustionTransport($L25,$G25,$J25)</f>
        <v>0</v>
      </c>
      <c r="Q25" s="214" cm="1">
        <f t="array" ref="Q25">Scope3_Equations.VEERG_15_11_1_1__2_UpstreamTransportFuelEmissions(L25,G25,K25)</f>
        <v>0</v>
      </c>
    </row>
    <row r="26" spans="1:17" ht="20.100000000000001" customHeight="1" x14ac:dyDescent="0.25">
      <c r="A26" s="6" t="s">
        <v>2</v>
      </c>
      <c r="D26" s="215" t="str">
        <f t="shared" ref="D26:D32" si="0">$D$25</f>
        <v>Cars and light commercial vehicles</v>
      </c>
      <c r="E26" s="213" t="str">
        <f>'Constants - Fuel'!$E$11</f>
        <v>Diesel oil</v>
      </c>
      <c r="F26" s="21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2" cm="1">
        <f t="array" ref="L26">Fuel_InputFunctions.Fuel_TotalConsumption(Table_Input_Fuel[Amount consumed], Table_Input_Fuel[Fuel use (select)], D26, Table_Input_Fuel[Fuel type (select)],F26)</f>
        <v>10</v>
      </c>
      <c r="M26" s="192" t="str" cm="1">
        <f t="array" ref="M26">Common_InputFunctions.Utility_LookupValueInTable(F26,Table_FuelTypes_Units[Fuel type],Table_FuelTypes_Units[Unit])</f>
        <v>kL</v>
      </c>
      <c r="N26" s="214" cm="1">
        <f t="array" ref="N26">Fuel_Equations.VEERG_8_1_1_1__1_FuelCombustionTransport($L26,$G26,$H26)</f>
        <v>26.981400000000001</v>
      </c>
      <c r="O26" s="214" cm="1">
        <f t="array" ref="O26">Fuel_Equations.VEERG_8_1_1_1__1_FuelCombustionTransport($L26,$G26,$I26)</f>
        <v>3.8600000000000001E-3</v>
      </c>
      <c r="P26" s="214" cm="1">
        <f t="array" ref="P26">Fuel_Equations.VEERG_8_1_1_1__1_FuelCombustionTransport($L26,$G26,$J26)</f>
        <v>0.193</v>
      </c>
      <c r="Q26" s="214"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5" t="str">
        <f t="shared" si="0"/>
        <v>Cars and light commercial vehicles</v>
      </c>
      <c r="E27" s="213" t="str">
        <f>'Constants - Fuel'!$E$12</f>
        <v>Liquefied petroleum gas (LPG)</v>
      </c>
      <c r="F27" s="21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14" cm="1">
        <f t="array" ref="N27">Fuel_Equations.VEERG_8_1_1_1__1_FuelCombustionTransport($L27,$G27,$H27)</f>
        <v>0</v>
      </c>
      <c r="O27" s="214" cm="1">
        <f t="array" ref="O27">Fuel_Equations.VEERG_8_1_1_1__1_FuelCombustionTransport($L27,$G27,$I27)</f>
        <v>0</v>
      </c>
      <c r="P27" s="214" cm="1">
        <f t="array" ref="P27">Fuel_Equations.VEERG_8_1_1_1__1_FuelCombustionTransport($L27,$G27,$J27)</f>
        <v>0</v>
      </c>
      <c r="Q27" s="214"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5" t="str">
        <f t="shared" si="0"/>
        <v>Cars and light commercial vehicles</v>
      </c>
      <c r="E28" s="213" t="str">
        <f>'Constants - Fuel'!$E$13</f>
        <v>Fuel oil</v>
      </c>
      <c r="F28" s="21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14" cm="1">
        <f t="array" ref="N28">Fuel_Equations.VEERG_8_1_1_1__1_FuelCombustionTransport($L28,$G28,$H28)</f>
        <v>0</v>
      </c>
      <c r="O28" s="214" cm="1">
        <f t="array" ref="O28">Fuel_Equations.VEERG_8_1_1_1__1_FuelCombustionTransport($L28,$G28,$I28)</f>
        <v>0</v>
      </c>
      <c r="P28" s="214" cm="1">
        <f t="array" ref="P28">Fuel_Equations.VEERG_8_1_1_1__1_FuelCombustionTransport($L28,$G28,$J28)</f>
        <v>0</v>
      </c>
      <c r="Q28" s="214"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5" t="str">
        <f t="shared" si="0"/>
        <v>Cars and light commercial vehicles</v>
      </c>
      <c r="E29" s="213" t="str">
        <f>'Constants - Fuel'!$E$14</f>
        <v>Ethanol</v>
      </c>
      <c r="F29" s="21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14" cm="1">
        <f t="array" ref="N29">Fuel_Equations.VEERG_8_1_1_1__1_FuelCombustionTransport($L29,$G29,$H29)</f>
        <v>0</v>
      </c>
      <c r="O29" s="214" cm="1">
        <f t="array" ref="O29">Fuel_Equations.VEERG_8_1_1_1__1_FuelCombustionTransport($L29,$G29,$I29)</f>
        <v>0</v>
      </c>
      <c r="P29" s="214" cm="1">
        <f t="array" ref="P29">Fuel_Equations.VEERG_8_1_1_1__1_FuelCombustionTransport($L29,$G29,$J29)</f>
        <v>0</v>
      </c>
      <c r="Q29" s="214" cm="1">
        <f t="array" ref="Q29">Scope3_Equations.VEERG_15_11_1_1__2_UpstreamTransportFuelEmissions(L29,G29,IF(ISNUMBER(K29),K29,0))</f>
        <v>0</v>
      </c>
    </row>
    <row r="30" spans="1:17" ht="20.100000000000001" customHeight="1" x14ac:dyDescent="0.25">
      <c r="A30" s="5" t="str">
        <f>HYPERLINK("#'5.3.1.1-2 Lime CO2'!A1", "5.3.1.1-2 Lime CO2")</f>
        <v>5.3.1.1-2 Lime CO2</v>
      </c>
      <c r="D30" s="215" t="str">
        <f t="shared" si="0"/>
        <v>Cars and light commercial vehicles</v>
      </c>
      <c r="E30" s="213" t="str">
        <f>'Constants - Fuel'!$E$15</f>
        <v>Biodiesel</v>
      </c>
      <c r="F30" s="21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14" cm="1">
        <f t="array" ref="N30">Fuel_Equations.VEERG_8_1_1_1__1_FuelCombustionTransport($L30,$G30,$H30)</f>
        <v>0</v>
      </c>
      <c r="O30" s="214" cm="1">
        <f t="array" ref="O30">Fuel_Equations.VEERG_8_1_1_1__1_FuelCombustionTransport($L30,$G30,$I30)</f>
        <v>0</v>
      </c>
      <c r="P30" s="214" cm="1">
        <f t="array" ref="P30">Fuel_Equations.VEERG_8_1_1_1__1_FuelCombustionTransport($L30,$G30,$J30)</f>
        <v>0</v>
      </c>
      <c r="Q30" s="214"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5" t="str">
        <f t="shared" si="0"/>
        <v>Cars and light commercial vehicles</v>
      </c>
      <c r="E31" s="213" t="str">
        <f>'Constants - Fuel'!$E$16</f>
        <v>Renewable diesel</v>
      </c>
      <c r="F31" s="21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4" cm="1">
        <f t="array" ref="N31">Fuel_Equations.VEERG_8_1_1_1__1_FuelCombustionTransport($L31,$G31,$H31)</f>
        <v>0</v>
      </c>
      <c r="O31" s="214" cm="1">
        <f t="array" ref="O31">Fuel_Equations.VEERG_8_1_1_1__1_FuelCombustionTransport($L31,$G31,$I31)</f>
        <v>0</v>
      </c>
      <c r="P31" s="214" cm="1">
        <f t="array" ref="P31">Fuel_Equations.VEERG_8_1_1_1__1_FuelCombustionTransport($L31,$G31,$J31)</f>
        <v>0</v>
      </c>
      <c r="Q31" s="214"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5" t="str">
        <f t="shared" si="0"/>
        <v>Cars and light commercial vehicles</v>
      </c>
      <c r="E32" s="213" t="str">
        <f>'Constants - Fuel'!$E$17</f>
        <v>Other biofuels</v>
      </c>
      <c r="F32" s="21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1" t="str" cm="1">
        <f t="array" ref="K32">IFERROR(_xlfn.XLOOKUP(1, (Table_Fuel_EFs_Transport[Fuel combusted]=$E32)*(Table_Fuel_EFs_Transport[Transport type]=$D$25), Table_Fuel_EFs_Transport[Scope 3 Emission Factor (kg CO2 - e / GJ)]), 0)</f>
        <v>NE</v>
      </c>
      <c r="L32" s="216"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17" cm="1">
        <f t="array" ref="N32">Fuel_Equations.VEERG_8_1_1_1__1_FuelCombustionTransport($L32,$G32,$H32)</f>
        <v>0</v>
      </c>
      <c r="O32" s="217" cm="1">
        <f t="array" ref="O32">Fuel_Equations.VEERG_8_1_1_1__1_FuelCombustionTransport($L32,$G32,$I32)</f>
        <v>0</v>
      </c>
      <c r="P32" s="217" cm="1">
        <f t="array" ref="P32">Fuel_Equations.VEERG_8_1_1_1__1_FuelCombustionTransport($L32,$G32,$J32)</f>
        <v>0</v>
      </c>
      <c r="Q32" s="214"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8" t="str">
        <f>Table_FuelTypesPerUse[[#Headers],[Off-road Agriculture and forestry equipment]]</f>
        <v>Off-road Agriculture and forestry equipment</v>
      </c>
      <c r="E33" s="219" t="str">
        <f>'Constants - Fuel'!$E$11</f>
        <v>Diesel oil</v>
      </c>
      <c r="F33" s="219" t="str">
        <f>'Constants - Fuel'!H131</f>
        <v>Diesel</v>
      </c>
      <c r="G33" s="220" cm="1">
        <f t="array" ref="G33">IFERROR(_xlfn.XLOOKUP(1, (Table_Fuel_EFs_Transport[Fuel combusted]=$E33)*(Table_Fuel_EFs_Transport[Transport type]=$D$33), Table_Fuel_EFs_Transport[Energy Content Factor (GJ per unit of fuel)]), 0)</f>
        <v>38.6</v>
      </c>
      <c r="H33" s="220" cm="1">
        <f t="array" ref="H33">IFERROR(_xlfn.XLOOKUP(1, (Table_Fuel_EFs_Transport[Fuel combusted]=$E33)*(Table_Fuel_EFs_Transport[Transport type]=$D$33), Table_Fuel_EFs_Transport[Scope 1 Emission Factor (kg CO2 - e / GJ) CO2]), 0)</f>
        <v>69.900000000000006</v>
      </c>
      <c r="I33" s="220" cm="1">
        <f t="array" ref="I33">IFERROR(_xlfn.XLOOKUP(1, (Table_Fuel_EFs_Transport[Fuel combusted]=$E33)*(Table_Fuel_EFs_Transport[Transport type]=$D$33), Table_Fuel_EFs_Transport[Scope 1 Emission Factor (kg CO2 - e / GJ) CH4]), 0)</f>
        <v>0.3</v>
      </c>
      <c r="J33" s="220" cm="1">
        <f t="array" ref="J33">IFERROR(_xlfn.XLOOKUP(1, (Table_Fuel_EFs_Transport[Fuel combusted]=$E33)*(Table_Fuel_EFs_Transport[Transport type]=$D$33), Table_Fuel_EFs_Transport[Scope 1 Emission Factor (kg CO2 - e / GJ) N2O]), 0)</f>
        <v>0.5</v>
      </c>
      <c r="K33" s="221" cm="1">
        <f t="array" ref="K33">IFERROR(_xlfn.XLOOKUP(1, (Table_Fuel_EFs_Transport[Fuel combusted]=$E33)*(Table_Fuel_EFs_Transport[Transport type]=$D$25), Table_Fuel_EFs_Transport[Scope 3 Emission Factor (kg CO2 - e / GJ)]), 0)</f>
        <v>17.3</v>
      </c>
      <c r="L33" s="222" cm="1">
        <f t="array" ref="L33">Fuel_InputFunctions.Fuel_TotalConsumption(Table_Input_Fuel[Amount consumed], Table_Input_Fuel[Fuel use (select)], D33, Table_Input_Fuel[Fuel type (select)],F33)</f>
        <v>10</v>
      </c>
      <c r="M33" s="223" t="str" cm="1">
        <f t="array" ref="M33">Common_InputFunctions.Utility_LookupValueInTable(F33,Table_FuelTypes_Units[Fuel type],Table_FuelTypes_Units[Unit])</f>
        <v>kL</v>
      </c>
      <c r="N33" s="224" cm="1">
        <f t="array" ref="N33">Fuel_Equations.VEERG_8_1_1_1__1_FuelCombustionTransport($L33,$G33,$H33)</f>
        <v>26.981400000000001</v>
      </c>
      <c r="O33" s="224" cm="1">
        <f t="array" ref="O33">Fuel_Equations.VEERG_8_1_1_1__1_FuelCombustionTransport($L33,$G33,$I33)</f>
        <v>0.1158</v>
      </c>
      <c r="P33" s="224" cm="1">
        <f t="array" ref="P33">Fuel_Equations.VEERG_8_1_1_1__1_FuelCombustionTransport($L33,$G33,$J33)</f>
        <v>0.193</v>
      </c>
      <c r="Q33" s="225"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8" t="str">
        <f>Table_FuelTypesPerUse[[#Headers],[Aviation]]</f>
        <v>Aviation</v>
      </c>
      <c r="E34" s="219" t="str">
        <f>'Constants - Fuel'!$E$28</f>
        <v>Gasoline for use as fuel in an aircraft</v>
      </c>
      <c r="F34" s="219" t="str">
        <f>'Constants - Fuel'!$F$131</f>
        <v>Avgas</v>
      </c>
      <c r="G34" s="226" cm="1">
        <f t="array" ref="G34">IFERROR(_xlfn.XLOOKUP(1, (Table_Fuel_EFs_Transport[Fuel combusted]=$E34)*(Table_Fuel_EFs_Transport[Transport type]=$D$34), Table_Fuel_EFs_Transport[Energy Content Factor (GJ per unit of fuel)]), 0)</f>
        <v>33.1</v>
      </c>
      <c r="H34" s="226" cm="1">
        <f t="array" ref="H34">IFERROR(_xlfn.XLOOKUP(1, (Table_Fuel_EFs_Transport[Fuel combusted]=$E34)*(Table_Fuel_EFs_Transport[Transport type]=$D$34), Table_Fuel_EFs_Transport[Scope 1 Emission Factor (kg CO2 - e / GJ) CO2]), 0)</f>
        <v>67</v>
      </c>
      <c r="I34" s="226" cm="1">
        <f t="array" ref="I34">IFERROR(_xlfn.XLOOKUP(1, (Table_Fuel_EFs_Transport[Fuel combusted]=$E34)*(Table_Fuel_EFs_Transport[Transport type]=$D$34), Table_Fuel_EFs_Transport[Scope 1 Emission Factor (kg CO2 - e / GJ) CH4]), 0)</f>
        <v>0.06</v>
      </c>
      <c r="J34" s="226" cm="1">
        <f t="array" ref="J34">IFERROR(_xlfn.XLOOKUP(1, (Table_Fuel_EFs_Transport[Fuel combusted]=$E34)*(Table_Fuel_EFs_Transport[Transport type]=$D$34), Table_Fuel_EFs_Transport[Scope 1 Emission Factor (kg CO2 - e / GJ) N2O]), 0)</f>
        <v>0.6</v>
      </c>
      <c r="K34" s="226" cm="1">
        <f t="array" ref="K34">IFERROR(_xlfn.XLOOKUP(1, (Table_Fuel_EFs_Transport[Fuel combusted]=$E34)*(Table_Fuel_EFs_Transport[Transport type]=$D$25), Table_Fuel_EFs_Transport[Scope 3 Emission Factor (kg CO2 - e / GJ)]), 0)</f>
        <v>0</v>
      </c>
      <c r="L34" s="223" cm="1">
        <f t="array" ref="L34">Fuel_InputFunctions.Fuel_TotalConsumption(Table_Input_Fuel[Amount consumed], Table_Input_Fuel[Fuel use (select)], D34, Table_Input_Fuel[Fuel type (select)],F34)</f>
        <v>0</v>
      </c>
      <c r="M34" s="223" t="str" cm="1">
        <f t="array" ref="M34">Common_InputFunctions.Utility_LookupValueInTable(F34,Table_FuelTypes_Units[Fuel type],Table_FuelTypes_Units[Unit])</f>
        <v>kL</v>
      </c>
      <c r="N34" s="224" cm="1">
        <f t="array" ref="N34">Fuel_Equations.VEERG_8_1_1_1__1_FuelCombustionTransport($L34,$G34,$H34)</f>
        <v>0</v>
      </c>
      <c r="O34" s="224" cm="1">
        <f t="array" ref="O34">Fuel_Equations.VEERG_8_1_1_1__1_FuelCombustionTransport($L34,$G34,$I34)</f>
        <v>0</v>
      </c>
      <c r="P34" s="224" cm="1">
        <f t="array" ref="P34">Fuel_Equations.VEERG_8_1_1_1__1_FuelCombustionTransport($L34,$G34,$J34)</f>
        <v>0</v>
      </c>
      <c r="Q34" s="224" cm="1">
        <f t="array" ref="Q34">Scope3_Equations.VEERG_15_11_1_1__2_UpstreamTransportFuelEmissions(L34,G34,K34)</f>
        <v>0</v>
      </c>
    </row>
    <row r="35" spans="1:17" ht="20.100000000000001" customHeight="1" x14ac:dyDescent="0.25">
      <c r="A35" s="117" t="str">
        <f>HYPERLINK("#'8.1.1.1-2 Transport fuel'!A1", "8.1.1.1-2 Transport fuel")</f>
        <v>8.1.1.1-2 Transport fuel</v>
      </c>
      <c r="D35" s="215" t="str">
        <f>$D$34</f>
        <v>Aviation</v>
      </c>
      <c r="E35" s="213" t="str">
        <f>'Constants - Fuel'!$E$29</f>
        <v>Kerosene for use as fuel in an aircraft</v>
      </c>
      <c r="F35" s="21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2" cm="1">
        <f t="array" ref="L35">Fuel_InputFunctions.Fuel_TotalConsumption(Table_Input_Fuel[Amount consumed], Table_Input_Fuel[Fuel use (select)], D35, Table_Input_Fuel[Fuel type (select)],F35)</f>
        <v>0</v>
      </c>
      <c r="M35" s="192" t="str" cm="1">
        <f t="array" ref="M35">Common_InputFunctions.Utility_LookupValueInTable(F35,Table_FuelTypes_Units[Fuel type],Table_FuelTypes_Units[Unit])</f>
        <v>kL</v>
      </c>
      <c r="N35" s="214" cm="1">
        <f t="array" ref="N35">Fuel_Equations.VEERG_8_1_1_1__1_FuelCombustionTransport($L35,$G35,$H35)</f>
        <v>0</v>
      </c>
      <c r="O35" s="214" cm="1">
        <f t="array" ref="O35">Fuel_Equations.VEERG_8_1_1_1__1_FuelCombustionTransport($L35,$G35,$I35)</f>
        <v>0</v>
      </c>
      <c r="P35" s="214" cm="1">
        <f t="array" ref="P35">Fuel_Equations.VEERG_8_1_1_1__1_FuelCombustionTransport($L35,$G35,$J35)</f>
        <v>0</v>
      </c>
      <c r="Q35" s="214"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5" t="str">
        <f>$D$34</f>
        <v>Aviation</v>
      </c>
      <c r="E36" s="213" t="str">
        <f>'Constants - Fuel'!$E$30</f>
        <v>Renewable aviation kerosene</v>
      </c>
      <c r="F36" s="213" t="str">
        <f>'Constants - Fuel'!$F$133</f>
        <v>Renewable aviation kerosene</v>
      </c>
      <c r="G36" s="211" cm="1">
        <f t="array" ref="G36">IFERROR(_xlfn.XLOOKUP(1, (Table_Fuel_EFs_Transport[Fuel combusted]=$E36)*(Table_Fuel_EFs_Transport[Transport type]=$D$34), Table_Fuel_EFs_Transport[Energy Content Factor (GJ per unit of fuel)]), 0)</f>
        <v>36.799999999999997</v>
      </c>
      <c r="H36" s="211" cm="1">
        <f t="array" ref="H36">IFERROR(_xlfn.XLOOKUP(1, (Table_Fuel_EFs_Transport[Fuel combusted]=$E36)*(Table_Fuel_EFs_Transport[Transport type]=$D$34), Table_Fuel_EFs_Transport[Scope 1 Emission Factor (kg CO2 - e / GJ) CO2]), 0)</f>
        <v>0</v>
      </c>
      <c r="I36" s="211" cm="1">
        <f t="array" ref="I36">IFERROR(_xlfn.XLOOKUP(1, (Table_Fuel_EFs_Transport[Fuel combusted]=$E36)*(Table_Fuel_EFs_Transport[Transport type]=$D$34), Table_Fuel_EFs_Transport[Scope 1 Emission Factor (kg CO2 - e / GJ) CH4]), 0)</f>
        <v>0.01</v>
      </c>
      <c r="J36" s="211" cm="1">
        <f t="array" ref="J36">IFERROR(_xlfn.XLOOKUP(1, (Table_Fuel_EFs_Transport[Fuel combusted]=$E36)*(Table_Fuel_EFs_Transport[Transport type]=$D$34), Table_Fuel_EFs_Transport[Scope 1 Emission Factor (kg CO2 - e / GJ) N2O]), 0)</f>
        <v>0.6</v>
      </c>
      <c r="K36" s="211" cm="1">
        <f t="array" ref="K36">IFERROR(_xlfn.XLOOKUP(1, (Table_Fuel_EFs_Transport[Fuel combusted]=$E36)*(Table_Fuel_EFs_Transport[Transport type]=$D$25), Table_Fuel_EFs_Transport[Scope 3 Emission Factor (kg CO2 - e / GJ)]), 0)</f>
        <v>0</v>
      </c>
      <c r="L36" s="216" cm="1">
        <f t="array" ref="L36">Fuel_InputFunctions.Fuel_TotalConsumption(Table_Input_Fuel[Amount consumed], Table_Input_Fuel[Fuel use (select)], D36, Table_Input_Fuel[Fuel type (select)],F36)</f>
        <v>0</v>
      </c>
      <c r="M36" s="192" t="str" cm="1">
        <f t="array" ref="M36">Common_InputFunctions.Utility_LookupValueInTable(F36,Table_FuelTypes_Units[Fuel type],Table_FuelTypes_Units[Unit])</f>
        <v>kL</v>
      </c>
      <c r="N36" s="214" cm="1">
        <f t="array" ref="N36">Fuel_Equations.VEERG_8_1_1_1__1_FuelCombustionTransport($L36,$G36,$H36)</f>
        <v>0</v>
      </c>
      <c r="O36" s="214" cm="1">
        <f t="array" ref="O36">Fuel_Equations.VEERG_8_1_1_1__1_FuelCombustionTransport($L36,$G36,$I36)</f>
        <v>0</v>
      </c>
      <c r="P36" s="214" cm="1">
        <f t="array" ref="P36">Fuel_Equations.VEERG_8_1_1_1__1_FuelCombustionTransport($L36,$G36,$J36)</f>
        <v>0</v>
      </c>
      <c r="Q36" s="217"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8" t="str">
        <f>Table_FuelTypesPerUse[[#Headers],[Vessels]]</f>
        <v>Vessels</v>
      </c>
      <c r="E37" s="219" t="str">
        <f>'Constants - Fuel'!$E$10</f>
        <v>Gasoline</v>
      </c>
      <c r="F37" s="219" t="str">
        <f>'Constants - Fuel'!$I$131</f>
        <v>Petrol</v>
      </c>
      <c r="G37" s="226" cm="1">
        <f t="array" ref="G37">IFERROR(_xlfn.XLOOKUP(1, (Table_Fuel_EFs_Transport[Fuel combusted]=$E37)*(Table_Fuel_EFs_Transport[Transport type]=$D$37), Table_Fuel_EFs_Transport[Energy Content Factor (GJ per unit of fuel)]), 0)</f>
        <v>34.200000000000003</v>
      </c>
      <c r="H37" s="226" cm="1">
        <f t="array" ref="H37">IFERROR(_xlfn.XLOOKUP(1, (Table_Fuel_EFs_Transport[Fuel combusted]=$E37)*(Table_Fuel_EFs_Transport[Transport type]=$D$37), Table_Fuel_EFs_Transport[Scope 1 Emission Factor (kg CO2 - e / GJ) CO2]), 0)</f>
        <v>67.400000000000006</v>
      </c>
      <c r="I37" s="226" cm="1">
        <f t="array" ref="I37">IFERROR(_xlfn.XLOOKUP(1, (Table_Fuel_EFs_Transport[Fuel combusted]=$E37)*(Table_Fuel_EFs_Transport[Transport type]=$D$37), Table_Fuel_EFs_Transport[Scope 1 Emission Factor (kg CO2 - e / GJ) CH4]), 0)</f>
        <v>10.1</v>
      </c>
      <c r="J37" s="226" cm="1">
        <f t="array" ref="J37">IFERROR(_xlfn.XLOOKUP(1, (Table_Fuel_EFs_Transport[Fuel combusted]=$E37)*(Table_Fuel_EFs_Transport[Transport type]=$D$37), Table_Fuel_EFs_Transport[Scope 1 Emission Factor (kg CO2 - e / GJ) N2O]), 0)</f>
        <v>0.3</v>
      </c>
      <c r="K37" s="226" cm="1">
        <f t="array" ref="K37">IFERROR(_xlfn.XLOOKUP(1, (Table_Fuel_EFs_Transport[Fuel combusted]=$E37)*(Table_Fuel_EFs_Transport[Transport type]=$D$25), Table_Fuel_EFs_Transport[Scope 3 Emission Factor (kg CO2 - e / GJ)]), 0)</f>
        <v>17.2</v>
      </c>
      <c r="L37" s="223" cm="1">
        <f t="array" ref="L37">Fuel_InputFunctions.Fuel_TotalConsumption(Table_Input_Fuel[Amount consumed], Table_Input_Fuel[Fuel use (select)], D37, Table_Input_Fuel[Fuel type (select)],F37)</f>
        <v>0</v>
      </c>
      <c r="M37" s="227" t="str" cm="1">
        <f t="array" ref="M37">Common_InputFunctions.Utility_LookupValueInTable(F37,Table_FuelTypes_Units[Fuel type],Table_FuelTypes_Units[Unit])</f>
        <v>kL</v>
      </c>
      <c r="N37" s="224" cm="1">
        <f t="array" ref="N37">Fuel_Equations.VEERG_8_1_1_1__1_FuelCombustionTransport($L37,$G37,$H37)</f>
        <v>0</v>
      </c>
      <c r="O37" s="224" cm="1">
        <f t="array" ref="O37">Fuel_Equations.VEERG_8_1_1_1__1_FuelCombustionTransport($L37,$G37,$I37)</f>
        <v>0</v>
      </c>
      <c r="P37" s="224" cm="1">
        <f t="array" ref="P37">Fuel_Equations.VEERG_8_1_1_1__1_FuelCombustionTransport($L37,$G37,$J37)</f>
        <v>0</v>
      </c>
      <c r="Q37" s="224" cm="1">
        <f t="array" ref="Q37">Scope3_Equations.VEERG_15_11_1_1__2_UpstreamTransportFuelEmissions(L37,G37,K37)</f>
        <v>0</v>
      </c>
    </row>
    <row r="38" spans="1:17" ht="20.100000000000001" customHeight="1" x14ac:dyDescent="0.25">
      <c r="A38" s="5" t="str">
        <f>HYPERLINK("#'15 Scope 3'!A1", "15 Scope 3")</f>
        <v>15 Scope 3</v>
      </c>
      <c r="D38" s="215" t="str">
        <f>$D$37</f>
        <v>Vessels</v>
      </c>
      <c r="E38" s="213" t="str">
        <f>'Constants - Fuel'!$E$11</f>
        <v>Diesel oil</v>
      </c>
      <c r="F38" s="21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2" cm="1">
        <f t="array" ref="L38">Fuel_InputFunctions.Fuel_TotalConsumption(Table_Input_Fuel[Amount consumed], Table_Input_Fuel[Fuel use (select)], D38, Table_Input_Fuel[Fuel type (select)],F38)</f>
        <v>0</v>
      </c>
      <c r="M38" s="192" t="str" cm="1">
        <f t="array" ref="M38">Common_InputFunctions.Utility_LookupValueInTable(F38,Table_FuelTypes_Units[Fuel type],Table_FuelTypes_Units[Unit])</f>
        <v>kL</v>
      </c>
      <c r="N38" s="214" cm="1">
        <f t="array" ref="N38">Fuel_Equations.VEERG_8_1_1_1__1_FuelCombustionTransport($L38,$G38,$H38)</f>
        <v>0</v>
      </c>
      <c r="O38" s="214" cm="1">
        <f t="array" ref="O38">Fuel_Equations.VEERG_8_1_1_1__1_FuelCombustionTransport($L38,$G38,$I38)</f>
        <v>0</v>
      </c>
      <c r="P38" s="214" cm="1">
        <f t="array" ref="P38">Fuel_Equations.VEERG_8_1_1_1__1_FuelCombustionTransport($L38,$G38,$J38)</f>
        <v>0</v>
      </c>
      <c r="Q38" s="214"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5" t="str">
        <f>$D$37</f>
        <v>Vessels</v>
      </c>
      <c r="E39" s="213" t="str">
        <f>'Constants - Fuel'!E33</f>
        <v>Fuel Oil</v>
      </c>
      <c r="F39" s="21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2" cm="1">
        <f t="array" ref="L39">Fuel_InputFunctions.Fuel_TotalConsumption(Table_Input_Fuel[Amount consumed], Table_Input_Fuel[Fuel use (select)], D39, Table_Input_Fuel[Fuel type (select)],F39)</f>
        <v>10</v>
      </c>
      <c r="M39" s="192" t="str" cm="1">
        <f t="array" ref="M39">Common_InputFunctions.Utility_LookupValueInTable(F39,Table_FuelTypes_Units[Fuel type],Table_FuelTypes_Units[Unit])</f>
        <v>kL</v>
      </c>
      <c r="N39" s="214" cm="1">
        <f t="array" ref="N39">Fuel_Equations.VEERG_8_1_1_1__1_FuelCombustionTransport($L39,$G39,$H39)</f>
        <v>29.219199999999997</v>
      </c>
      <c r="O39" s="214" cm="1">
        <f t="array" ref="O39">Fuel_Equations.VEERG_8_1_1_1__1_FuelCombustionTransport($L39,$G39,$I39)</f>
        <v>7.9400000000000012E-2</v>
      </c>
      <c r="P39" s="214" cm="1">
        <f t="array" ref="P39">Fuel_Equations.VEERG_8_1_1_1__1_FuelCombustionTransport($L39,$G39,$J39)</f>
        <v>0.19850000000000001</v>
      </c>
      <c r="Q39" s="214" cm="1">
        <f t="array" ref="Q39">Scope3_Equations.VEERG_15_11_1_1__2_UpstreamTransportFuelEmissions(L39,G39,K39)</f>
        <v>7.1459999999999999</v>
      </c>
    </row>
    <row r="40" spans="1:17" ht="20.100000000000001" customHeight="1" x14ac:dyDescent="0.25">
      <c r="A40" s="5" t="str">
        <f>HYPERLINK("#'4.3.1.1-2 Methane'!A1", "4.3.1.1-2 Methane")</f>
        <v>4.3.1.1-2 Methane</v>
      </c>
      <c r="H40" s="189"/>
      <c r="I40" s="189"/>
      <c r="J40" s="189"/>
      <c r="L40" s="189"/>
      <c r="M40" s="189"/>
      <c r="N40" s="189"/>
      <c r="O40" s="189"/>
      <c r="P40" s="189"/>
      <c r="Q40" s="189"/>
    </row>
    <row r="41" spans="1:17" ht="20.100000000000001" customHeight="1" x14ac:dyDescent="0.25">
      <c r="A41" s="5" t="str">
        <f>HYPERLINK("#'4.3.1.3-4 Direct N20'!A1", "4.3.1.3-4 Direct N20")</f>
        <v>4.3.1.3-4 Direct N20</v>
      </c>
      <c r="H41" s="189"/>
      <c r="I41" s="189"/>
      <c r="J41" s="189"/>
      <c r="L41" s="189"/>
      <c r="M41" s="189"/>
      <c r="N41" s="189"/>
      <c r="O41" s="189"/>
      <c r="P41" s="189"/>
      <c r="Q41" s="189"/>
    </row>
    <row r="42" spans="1:17" ht="20.100000000000001" customHeight="1" x14ac:dyDescent="0.25">
      <c r="A42" s="5" t="str">
        <f>HYPERLINK("#'4.3.1.5 Atmos deposition'!A1", "4.3.1.5 Atmos deposition")</f>
        <v>4.3.1.5 Atmos deposition</v>
      </c>
      <c r="D42" s="228" t="str">
        <f>"Total scope 1 - " &amp; D25</f>
        <v>Total scope 1 - Cars and light commercial vehicles</v>
      </c>
      <c r="E42" s="229"/>
      <c r="F42" s="230"/>
    </row>
    <row r="43" spans="1:17" ht="20.100000000000001" customHeight="1" x14ac:dyDescent="0.25">
      <c r="A43" s="5" t="str">
        <f>HYPERLINK("#'4.3.1.6-7 Leaching and runoff'!A1", "4.3.1.6-7 Leaching and runoff")</f>
        <v>4.3.1.6-7 Leaching and runoff</v>
      </c>
      <c r="D43" s="35" t="s">
        <v>814</v>
      </c>
      <c r="E43" s="231">
        <f>SUM(N25:N32)</f>
        <v>26.981400000000001</v>
      </c>
      <c r="F43" s="26" t="str">
        <f>$E$12</f>
        <v>t CO2-e</v>
      </c>
    </row>
    <row r="44" spans="1:17" ht="20.100000000000001" customHeight="1" x14ac:dyDescent="0.25">
      <c r="A44" s="5" t="str">
        <f>HYPERLINK("#'4.3.1.8 Manure applied to soils'!A1", "4.3.1.8 Manure applied to soils")</f>
        <v>4.3.1.8 Manure applied to soils</v>
      </c>
      <c r="D44" s="35" t="s">
        <v>815</v>
      </c>
      <c r="E44" s="231">
        <f>SUM(O25:O32)</f>
        <v>3.8600000000000001E-3</v>
      </c>
      <c r="F44" s="26" t="str">
        <f t="shared" ref="F44:F46" si="1">$E$12</f>
        <v>t CO2-e</v>
      </c>
    </row>
    <row r="45" spans="1:17" ht="20.100000000000001" customHeight="1" x14ac:dyDescent="0.25">
      <c r="A45" s="5" t="str">
        <f>HYPERLINK("#'4.3.1.9 Soil direct N2O'!A1", "4.3.1.9 Soil direct N2O")</f>
        <v>4.3.1.9 Soil direct N2O</v>
      </c>
      <c r="D45" s="35" t="s">
        <v>816</v>
      </c>
      <c r="E45" s="231">
        <f>SUM(P25:P32)</f>
        <v>0.193</v>
      </c>
      <c r="F45" s="26" t="str">
        <f t="shared" si="1"/>
        <v>t CO2-e</v>
      </c>
    </row>
    <row r="46" spans="1:17" ht="20.100000000000001" customHeight="1" x14ac:dyDescent="0.25">
      <c r="A46" s="5" t="str">
        <f>HYPERLINK("#'4.3.1.10-11 Soil Atmos Dep'!A1", "4.3.1.10-11 Soil Atmos Dep")</f>
        <v>4.3.1.10-11 Soil Atmos Dep</v>
      </c>
      <c r="D46" s="35" t="s">
        <v>817</v>
      </c>
      <c r="E46" s="231">
        <f>SUM(Q25:Q32)</f>
        <v>6.6778000000000004</v>
      </c>
      <c r="F46" s="26" t="str">
        <f t="shared" si="1"/>
        <v>t CO2-e</v>
      </c>
    </row>
    <row r="47" spans="1:17" ht="20.100000000000001" customHeight="1" x14ac:dyDescent="0.25">
      <c r="A47" s="5" t="str">
        <f>HYPERLINK("#'4.3.1.12-13 Soil leach runoff'!A1", "4.3.1.12-13 Soil leach runoff")</f>
        <v>4.3.1.12-13 Soil leach runoff</v>
      </c>
      <c r="D47" s="189"/>
      <c r="E47" s="189"/>
      <c r="F47" s="189"/>
    </row>
    <row r="48" spans="1:17" ht="20.100000000000001" customHeight="1" x14ac:dyDescent="0.25">
      <c r="A48" s="5" t="str">
        <f>HYPERLINK("#'3.3.1.1-2 Enteric Methane'!A1", "3.3.1.1-2 Enteric Methane")</f>
        <v>3.3.1.1-2 Enteric Methane</v>
      </c>
      <c r="D48" s="228" t="str">
        <f>"Total scope 1 - " &amp; D33</f>
        <v>Total scope 1 - Off-road Agriculture and forestry equipment</v>
      </c>
      <c r="E48" s="232"/>
      <c r="F48" s="230"/>
      <c r="H48" s="189"/>
      <c r="I48" s="189"/>
      <c r="J48" s="189"/>
      <c r="L48" s="189"/>
      <c r="M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SUM(N33:N33)</f>
        <v>26.981400000000001</v>
      </c>
      <c r="F49" s="26" t="str">
        <f t="shared" ref="F49:F52" si="2">$E$12</f>
        <v>t CO2-e</v>
      </c>
      <c r="H49" s="189"/>
      <c r="I49" s="189"/>
      <c r="J49" s="189"/>
      <c r="L49" s="189"/>
      <c r="M49" s="189"/>
      <c r="N49" s="189"/>
      <c r="O49" s="189"/>
      <c r="P49" s="189"/>
      <c r="Q49" s="189"/>
    </row>
    <row r="50" spans="1:17" ht="20.100000000000001" customHeight="1" x14ac:dyDescent="0.25">
      <c r="D50" s="35" t="s">
        <v>815</v>
      </c>
      <c r="E50" s="231">
        <f>SUM(O33:O33)</f>
        <v>0.1158</v>
      </c>
      <c r="F50" s="26" t="str">
        <f t="shared" si="2"/>
        <v>t CO2-e</v>
      </c>
      <c r="H50" s="189"/>
      <c r="I50" s="189"/>
      <c r="J50" s="189"/>
      <c r="L50" s="189"/>
      <c r="M50" s="189"/>
      <c r="N50" s="189"/>
      <c r="O50" s="189"/>
      <c r="P50" s="189"/>
      <c r="Q50" s="189"/>
    </row>
    <row r="51" spans="1:17" ht="20.100000000000001" customHeight="1" x14ac:dyDescent="0.25">
      <c r="D51" s="35" t="s">
        <v>816</v>
      </c>
      <c r="E51" s="231">
        <f>SUM(P33:P33)</f>
        <v>0.193</v>
      </c>
      <c r="F51" s="26" t="str">
        <f t="shared" si="2"/>
        <v>t CO2-e</v>
      </c>
      <c r="H51" s="189"/>
      <c r="I51" s="189"/>
      <c r="J51" s="189"/>
      <c r="L51" s="189"/>
      <c r="M51" s="189"/>
      <c r="N51" s="189"/>
      <c r="O51" s="189"/>
      <c r="P51" s="189"/>
      <c r="Q51" s="189"/>
    </row>
    <row r="52" spans="1:17" ht="20.100000000000001" customHeight="1" x14ac:dyDescent="0.25">
      <c r="A52" s="99" t="s">
        <v>1</v>
      </c>
      <c r="D52" s="35" t="s">
        <v>817</v>
      </c>
      <c r="E52" s="231">
        <f>SUM(Q33)</f>
        <v>6.6778000000000004</v>
      </c>
      <c r="F52" s="26" t="str">
        <f t="shared" si="2"/>
        <v>t CO2-e</v>
      </c>
      <c r="H52" s="189"/>
      <c r="I52" s="189"/>
      <c r="J52" s="189"/>
      <c r="L52" s="189"/>
      <c r="M52" s="189"/>
      <c r="N52" s="189"/>
      <c r="O52" s="189"/>
      <c r="P52" s="189"/>
      <c r="Q52" s="189"/>
    </row>
    <row r="53" spans="1:17" ht="20.100000000000001" customHeight="1" x14ac:dyDescent="0.25">
      <c r="A53" s="5" t="str">
        <f>HYPERLINK("#'Constants - Dairy'!A1", "Constants - Dairy")</f>
        <v>Constants - Dairy</v>
      </c>
      <c r="D53" s="189"/>
      <c r="E53" s="233"/>
      <c r="F53" s="189"/>
      <c r="G53" s="189"/>
      <c r="H53" s="189"/>
      <c r="I53" s="189"/>
      <c r="J53" s="189"/>
      <c r="L53" s="189"/>
      <c r="M53" s="189"/>
      <c r="N53" s="189"/>
      <c r="O53" s="189"/>
      <c r="P53" s="189"/>
      <c r="Q53" s="189"/>
    </row>
    <row r="54" spans="1:17" ht="20.100000000000001" customHeight="1" x14ac:dyDescent="0.25">
      <c r="A54" s="5" t="str">
        <f>HYPERLINK("#'Constants - Ag Residue'!A1", "Constants - Ag residue")</f>
        <v>Constants - Ag residue</v>
      </c>
      <c r="D54" s="228" t="str">
        <f>"Total scope 1 - " &amp; D34</f>
        <v>Total scope 1 - Aviation</v>
      </c>
      <c r="E54" s="232"/>
      <c r="F54" s="230"/>
      <c r="G54" s="189"/>
      <c r="H54" s="189"/>
      <c r="I54" s="189"/>
      <c r="J54" s="189"/>
      <c r="L54" s="189"/>
      <c r="M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SUM(N34:N36)</f>
        <v>0</v>
      </c>
      <c r="F55" s="26" t="str">
        <f t="shared" ref="F55:F58" si="3">$E$12</f>
        <v>t CO2-e</v>
      </c>
      <c r="G55" s="189"/>
      <c r="H55" s="189"/>
      <c r="I55" s="189"/>
      <c r="J55" s="189"/>
      <c r="L55" s="189"/>
      <c r="M55" s="189"/>
      <c r="N55" s="189"/>
      <c r="O55" s="189"/>
      <c r="P55" s="189"/>
      <c r="Q55" s="189"/>
    </row>
    <row r="56" spans="1:17" ht="20.100000000000001" customHeight="1" x14ac:dyDescent="0.25">
      <c r="A56" s="5" t="str">
        <f>HYPERLINK("#'Constants - Electricity'!A1", "Constants - Electricity")</f>
        <v>Constants - Electricity</v>
      </c>
      <c r="D56" s="35" t="s">
        <v>815</v>
      </c>
      <c r="E56" s="231">
        <f>SUM(O34:O36)</f>
        <v>0</v>
      </c>
      <c r="F56" s="26" t="str">
        <f t="shared" si="3"/>
        <v>t CO2-e</v>
      </c>
      <c r="G56" s="189"/>
      <c r="H56" s="189"/>
      <c r="I56" s="189"/>
      <c r="J56" s="189"/>
      <c r="L56" s="189"/>
      <c r="M56" s="189"/>
      <c r="N56" s="189"/>
      <c r="O56" s="189"/>
      <c r="P56" s="189"/>
      <c r="Q56" s="189"/>
    </row>
    <row r="57" spans="1:17" ht="20.100000000000001" customHeight="1" x14ac:dyDescent="0.25">
      <c r="A57" s="5" t="str">
        <f>HYPERLINK("#'Constants - Fertiliser'!A1", "Constants - Fertiliser")</f>
        <v>Constants - Fertiliser</v>
      </c>
      <c r="D57" s="35" t="s">
        <v>816</v>
      </c>
      <c r="E57" s="231">
        <f>SUM(P34:P36)</f>
        <v>0</v>
      </c>
      <c r="F57" s="26" t="str">
        <f t="shared" si="3"/>
        <v>t CO2-e</v>
      </c>
      <c r="G57" s="189"/>
      <c r="H57" s="189"/>
      <c r="I57" s="189"/>
      <c r="J57" s="189"/>
      <c r="L57" s="189"/>
      <c r="M57" s="189"/>
      <c r="N57" s="189"/>
      <c r="O57" s="189"/>
      <c r="P57" s="189"/>
      <c r="Q57" s="189"/>
    </row>
    <row r="58" spans="1:17" ht="20.100000000000001" customHeight="1" x14ac:dyDescent="0.25">
      <c r="A58" s="5" t="str">
        <f>HYPERLINK("#'Constants - Fuel'!A1", "Constants - Fuel")</f>
        <v>Constants - Fuel</v>
      </c>
      <c r="D58" s="35" t="s">
        <v>817</v>
      </c>
      <c r="E58" s="231">
        <f>SUM(Q34:Q36)</f>
        <v>0</v>
      </c>
      <c r="F58" s="26" t="str">
        <f t="shared" si="3"/>
        <v>t CO2-e</v>
      </c>
      <c r="G58" s="189"/>
      <c r="H58" s="189"/>
      <c r="I58" s="189"/>
      <c r="J58" s="189"/>
      <c r="L58" s="189"/>
      <c r="M58" s="189"/>
      <c r="N58" s="189"/>
      <c r="O58" s="189"/>
      <c r="P58" s="189"/>
      <c r="Q58" s="189"/>
    </row>
    <row r="59" spans="1:17" ht="20.100000000000001" customHeight="1" x14ac:dyDescent="0.25">
      <c r="A59" s="5" t="str">
        <f>HYPERLINK("#'Constants - Scope 3'!A1", "Constants - Scope 3")</f>
        <v>Constants - Scope 3</v>
      </c>
      <c r="D59" s="189"/>
      <c r="E59" s="233"/>
      <c r="F59" s="189"/>
      <c r="G59" s="189"/>
      <c r="H59" s="189"/>
      <c r="I59" s="189"/>
      <c r="J59" s="189"/>
      <c r="L59" s="189"/>
      <c r="M59" s="189"/>
      <c r="N59" s="189"/>
      <c r="O59" s="189"/>
      <c r="P59" s="189"/>
      <c r="Q59" s="189"/>
    </row>
    <row r="60" spans="1:17" ht="20.100000000000001" customHeight="1" x14ac:dyDescent="0.25">
      <c r="A60" s="5" t="str">
        <f>HYPERLINK("#'Constants - Common'!A1", "Constants - Common")</f>
        <v>Constants - Common</v>
      </c>
      <c r="D60" s="228" t="str">
        <f>"Total scope 1 - " &amp; D37</f>
        <v>Total scope 1 - Vessels</v>
      </c>
      <c r="E60" s="232"/>
      <c r="F60" s="230"/>
      <c r="G60" s="189"/>
      <c r="H60" s="189"/>
      <c r="I60" s="189"/>
      <c r="J60" s="189"/>
      <c r="L60" s="189"/>
      <c r="M60" s="189"/>
      <c r="N60" s="189"/>
      <c r="O60" s="189"/>
      <c r="P60" s="189"/>
      <c r="Q60" s="189"/>
    </row>
    <row r="61" spans="1:17" ht="20.100000000000001" customHeight="1" x14ac:dyDescent="0.25">
      <c r="A61" s="5" t="str">
        <f>HYPERLINK("#'Acknowledgements'!A1", "Acknowledgements")</f>
        <v>Acknowledgements</v>
      </c>
      <c r="D61" s="35" t="s">
        <v>814</v>
      </c>
      <c r="E61" s="231">
        <f>SUM(N37:N39)</f>
        <v>29.219199999999997</v>
      </c>
      <c r="F61" s="26" t="str">
        <f t="shared" ref="F61:F64" si="4">$E$12</f>
        <v>t CO2-e</v>
      </c>
      <c r="G61" s="189"/>
      <c r="H61" s="189"/>
      <c r="I61" s="189"/>
      <c r="J61" s="189"/>
      <c r="L61" s="189"/>
      <c r="M61" s="189"/>
      <c r="N61" s="189"/>
      <c r="O61" s="189"/>
      <c r="P61" s="189"/>
      <c r="Q61" s="189"/>
    </row>
    <row r="62" spans="1:17" ht="20.100000000000001" customHeight="1" x14ac:dyDescent="0.25">
      <c r="A62" s="5" t="str">
        <f>HYPERLINK("#'Constants - Solid Waste'!A1", "Constants - Solid Waste")</f>
        <v>Constants - Solid Waste</v>
      </c>
      <c r="D62" s="35" t="s">
        <v>815</v>
      </c>
      <c r="E62" s="231">
        <f>SUM(O37:O39)</f>
        <v>7.9400000000000012E-2</v>
      </c>
      <c r="F62" s="26" t="str">
        <f t="shared" si="4"/>
        <v>t CO2-e</v>
      </c>
      <c r="G62" s="189"/>
      <c r="H62" s="189"/>
      <c r="I62" s="189"/>
      <c r="J62" s="189"/>
      <c r="L62" s="189"/>
      <c r="M62" s="189"/>
      <c r="N62" s="189"/>
      <c r="O62" s="189"/>
      <c r="P62" s="189"/>
      <c r="Q62" s="189"/>
    </row>
    <row r="63" spans="1:17" ht="20.100000000000001" customHeight="1" x14ac:dyDescent="0.25">
      <c r="D63" s="35" t="s">
        <v>816</v>
      </c>
      <c r="E63" s="231">
        <f>SUM(P37:P39)</f>
        <v>0.19850000000000001</v>
      </c>
      <c r="F63" s="26" t="str">
        <f t="shared" si="4"/>
        <v>t CO2-e</v>
      </c>
      <c r="G63" s="189"/>
      <c r="H63" s="189"/>
      <c r="I63" s="189"/>
      <c r="J63" s="189"/>
      <c r="L63" s="189"/>
      <c r="M63" s="189"/>
      <c r="N63" s="189"/>
      <c r="O63" s="189"/>
      <c r="P63" s="189"/>
      <c r="Q63" s="189"/>
    </row>
    <row r="64" spans="1:17" ht="20.100000000000001" customHeight="1" x14ac:dyDescent="0.25">
      <c r="D64" s="35" t="s">
        <v>817</v>
      </c>
      <c r="E64" s="231">
        <f>SUM(Q37:Q39)</f>
        <v>7.1459999999999999</v>
      </c>
      <c r="F64" s="26" t="str">
        <f t="shared" si="4"/>
        <v>t CO2-e</v>
      </c>
      <c r="G64" s="189"/>
      <c r="H64" s="189"/>
      <c r="I64" s="189"/>
      <c r="J64" s="189"/>
      <c r="L64" s="189"/>
      <c r="M64" s="189"/>
      <c r="N64" s="189"/>
      <c r="O64" s="189"/>
      <c r="P64" s="189"/>
      <c r="Q64" s="189"/>
    </row>
    <row r="65" spans="4:17" ht="20.100000000000001" customHeight="1" x14ac:dyDescent="0.25">
      <c r="G65" s="189"/>
      <c r="H65" s="189"/>
      <c r="I65" s="189"/>
      <c r="J65" s="189"/>
      <c r="L65" s="189"/>
      <c r="M65" s="189"/>
      <c r="N65" s="189"/>
      <c r="O65" s="189"/>
      <c r="P65" s="189"/>
      <c r="Q65" s="189"/>
    </row>
    <row r="66" spans="4:17" ht="20.100000000000001" customHeight="1" x14ac:dyDescent="0.25">
      <c r="D66" s="228" t="s">
        <v>818</v>
      </c>
      <c r="E66" s="234"/>
      <c r="F66" s="230"/>
      <c r="G66" s="189"/>
      <c r="H66" s="189"/>
      <c r="I66" s="189"/>
      <c r="J66" s="189"/>
      <c r="L66" s="189"/>
      <c r="M66" s="189"/>
      <c r="N66" s="189"/>
      <c r="O66" s="189"/>
      <c r="P66" s="189"/>
      <c r="Q66" s="189"/>
    </row>
    <row r="67" spans="4:17" ht="20.100000000000001" customHeight="1" x14ac:dyDescent="0.25">
      <c r="D67" s="35" t="s">
        <v>814</v>
      </c>
      <c r="E67" s="231">
        <f>E43+E49+E55+E61</f>
        <v>83.182000000000002</v>
      </c>
      <c r="F67" s="26" t="str">
        <f t="shared" ref="F67:F70" si="5">$E$12</f>
        <v>t CO2-e</v>
      </c>
      <c r="G67" s="189"/>
    </row>
    <row r="68" spans="4:17" ht="20.100000000000001" customHeight="1" x14ac:dyDescent="0.25">
      <c r="D68" s="35" t="s">
        <v>815</v>
      </c>
      <c r="E68" s="231">
        <f t="shared" ref="E68:E70" si="6">E44+E50+E56+E62</f>
        <v>0.19906000000000001</v>
      </c>
      <c r="F68" s="26" t="str">
        <f t="shared" si="5"/>
        <v>t CO2-e</v>
      </c>
      <c r="G68" s="189"/>
    </row>
    <row r="69" spans="4:17" ht="20.100000000000001" customHeight="1" x14ac:dyDescent="0.25">
      <c r="D69" s="35" t="s">
        <v>816</v>
      </c>
      <c r="E69" s="231">
        <f t="shared" si="6"/>
        <v>0.58450000000000002</v>
      </c>
      <c r="F69" s="26" t="str">
        <f t="shared" si="5"/>
        <v>t CO2-e</v>
      </c>
      <c r="G69" s="189"/>
    </row>
    <row r="70" spans="4:17" ht="20.100000000000001" customHeight="1" x14ac:dyDescent="0.25">
      <c r="D70" s="35" t="s">
        <v>817</v>
      </c>
      <c r="E70" s="231">
        <f t="shared" si="6"/>
        <v>20.5016</v>
      </c>
      <c r="F70" s="26" t="str">
        <f t="shared" si="5"/>
        <v>t CO2-e</v>
      </c>
      <c r="G70" s="189"/>
    </row>
    <row r="71" spans="4:17" ht="20.100000000000001" customHeight="1" x14ac:dyDescent="0.25">
      <c r="G71" s="18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3D0BD43-670A-46FB-8B50-D3137ADB6311}"/>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8FB2B-DFBF-4EAC-AA2F-067E88C5332A}">
  <dimension ref="A1:R165"/>
  <sheetViews>
    <sheetView showGridLines="0" topLeftCell="A3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819</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9"/>
      <c r="P5" s="189"/>
      <c r="Q5" s="189"/>
      <c r="R5" s="18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89"/>
      <c r="P6" s="189"/>
      <c r="Q6" s="189"/>
      <c r="R6" s="189"/>
    </row>
    <row r="7" spans="1:18" ht="20.100000000000001" customHeight="1" x14ac:dyDescent="0.25">
      <c r="D7" s="116" t="s">
        <v>257</v>
      </c>
      <c r="E7" s="116"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89"/>
      <c r="P7" s="189"/>
      <c r="Q7" s="189"/>
      <c r="R7" s="189"/>
    </row>
    <row r="8" spans="1:18" ht="20.100000000000001" customHeight="1" x14ac:dyDescent="0.25">
      <c r="A8" s="7" t="s">
        <v>0</v>
      </c>
      <c r="K8" s="116" t="s">
        <v>257</v>
      </c>
      <c r="L8" s="116" t="str" cm="1">
        <f t="array" aca="1" ref="L8" ca="1">Common_InputFunctions.Utility_DisplayFunctionName(Q25)</f>
        <v>=Fuel_Equations.VEERG_8_2_1_1__1_FuelCombustionStationary</v>
      </c>
      <c r="O8" s="189"/>
      <c r="P8" s="189"/>
      <c r="Q8" s="189"/>
      <c r="R8" s="189"/>
    </row>
    <row r="9" spans="1:18" ht="20.100000000000001" customHeight="1" x14ac:dyDescent="0.25">
      <c r="A9" s="5" t="str">
        <f>HYPERLINK("#'Input - Enterprise'!A1", "Enterprise")</f>
        <v>Enterprise</v>
      </c>
      <c r="G9" s="27"/>
      <c r="O9" s="189"/>
      <c r="P9" s="189"/>
      <c r="Q9" s="189"/>
      <c r="R9" s="189"/>
    </row>
    <row r="10" spans="1:18" ht="20.100000000000001" customHeight="1" x14ac:dyDescent="0.25">
      <c r="A10" s="5" t="str">
        <f>HYPERLINK("#'Input - Site'!A1", "Site")</f>
        <v>Site</v>
      </c>
      <c r="O10" s="189"/>
      <c r="P10" s="189"/>
      <c r="Q10" s="189"/>
      <c r="R10" s="189"/>
    </row>
    <row r="11" spans="1:18" ht="20.100000000000001" customHeight="1" x14ac:dyDescent="0.25">
      <c r="A11" s="5" t="str">
        <f>HYPERLINK("#'Input - Dairy'!A1", "Dairy")</f>
        <v>Dairy</v>
      </c>
      <c r="D11" s="88" t="s">
        <v>258</v>
      </c>
      <c r="E11" s="1" t="str" cm="1">
        <f t="array" ref="E11">Fuel_Equations.VEERG_8_2_1_1__1_FuelCombustionStationary_Variable()</f>
        <v>E_g</v>
      </c>
      <c r="K11" s="88" t="s">
        <v>258</v>
      </c>
      <c r="L11" s="1" t="str" cm="1">
        <f t="array" ref="L11">Scope3_Equations.VEERG_15_11_1_1__3_UpstreamStationaryFuelEmissions_Variable()</f>
        <v>E_WTTSCq</v>
      </c>
      <c r="O11" s="189"/>
      <c r="P11" s="189"/>
      <c r="Q11" s="189"/>
      <c r="R11" s="189"/>
    </row>
    <row r="12" spans="1:18" ht="20.100000000000001" customHeight="1" x14ac:dyDescent="0.25">
      <c r="A12" s="5" t="str">
        <f>HYPERLINK("#'Input - Dairy (Enteric)'!A1", "Dairy (Enteric)")</f>
        <v>Dairy (Enteric)</v>
      </c>
      <c r="D12" s="88" t="s">
        <v>127</v>
      </c>
      <c r="E12" s="15" t="str" cm="1">
        <f t="array" ref="E12">Fuel_Equations.VEERG_8_2_1_1__1_FuelCombustionStationary_Unit()</f>
        <v>t CO2-e</v>
      </c>
      <c r="K12" s="88" t="s">
        <v>127</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_xlfn.CHOOSECOLS(Fuel_Equations.VEERG_8_2_1_1__1_FuelCombustionStationary_Arguments(), 1,2)</f>
        <v>Q_SCq</v>
      </c>
      <c r="E14" s="123" t="str">
        <v>Amount of fuel type q used for stationary combustion operations</v>
      </c>
      <c r="F14" s="124"/>
      <c r="G14" s="118" t="str" cm="1">
        <f t="array" ref="G14:H20">_xlfn.CHOOSECOLS(Fuel_Equations.VEERG_8_2_1_1__1_FuelCombustionStationary_Arguments(), 3,4)</f>
        <v>Varies based on fuel type: kL, m3, GJ</v>
      </c>
      <c r="H14" s="119" t="str">
        <v>Input</v>
      </c>
      <c r="I14" s="125" t="str" cm="1">
        <f t="array" aca="1" ref="I14" ca="1">HYPERLINK(Common_InputFunctions.Utility_SourceHyperlink($D$22), $D$22)</f>
        <v>Table_E_g</v>
      </c>
      <c r="K14" s="118" t="str" cm="1">
        <f t="array" ref="K14:L18">_xlfn.CHOOSECOLS(Scope3_Equations.VEERG_15_11_1_1__3_UpstreamStationaryFuelEmissions_Arguments(),1,2)</f>
        <v>Q_SCq</v>
      </c>
      <c r="L14" s="118" t="str">
        <v>amount of fuel q used for stationary combustion operations</v>
      </c>
      <c r="M14" s="118"/>
      <c r="N14" s="118" t="str" cm="1">
        <f t="array" ref="N14:O18">_xlfn.CHOOSECOLS(Scope3_Equations.VEERG_15_11_1_1__3_UpstreamStationaryFuelEmissions_Arguments(),3,4)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EC_SCq</v>
      </c>
      <c r="E15" s="123" t="str">
        <v>Energy content factor for stationary combustion operations</v>
      </c>
      <c r="F15" s="124"/>
      <c r="G15" s="118" t="str">
        <v>GJ / unit of fuel</v>
      </c>
      <c r="H15" s="126" t="str">
        <v>Constant</v>
      </c>
      <c r="I15" s="125" t="str" cm="1">
        <f t="array" aca="1" ref="I15" ca="1">HYPERLINK(Common_InputFunctions.Utility_SourceHyperlink($D$22), $D$22)</f>
        <v>Table_E_g</v>
      </c>
      <c r="K15" s="118" t="str">
        <v>EC_SCq</v>
      </c>
      <c r="L15" s="118" t="str">
        <v>energy content factor for stationary combustion operations</v>
      </c>
      <c r="M15" s="118"/>
      <c r="N15" s="118" t="str">
        <v>GJ/kL</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EF_SC1qg</v>
      </c>
      <c r="E16" s="123" t="str">
        <v>Scope 1 emission factor for stationary combustion for each greenhouse gas</v>
      </c>
      <c r="F16" s="124"/>
      <c r="G16" s="118" t="str">
        <v>kg CO2e / GJ</v>
      </c>
      <c r="H16" s="126" t="str">
        <v>Constant</v>
      </c>
      <c r="I16" s="125" t="str" cm="1">
        <f t="array" aca="1" ref="I16" ca="1">HYPERLINK(Common_InputFunctions.Utility_SourceHyperlink($D$22), $D$22)</f>
        <v>Table_E_g</v>
      </c>
      <c r="K16" s="118" t="str">
        <v>EF_SC3q</v>
      </c>
      <c r="L16" s="118" t="str">
        <v>scope 3 emission factor for stationary combustion operations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K17" s="118" t="str">
        <v>i</v>
      </c>
      <c r="L17" s="123" t="str">
        <v>state</v>
      </c>
      <c r="M17" s="124"/>
      <c r="N17" s="118" t="str">
        <v/>
      </c>
      <c r="O17" s="119" t="str">
        <v>Input</v>
      </c>
      <c r="P17" s="118" t="str">
        <f>X_Cell_Site_State</f>
        <v>Western Australia</v>
      </c>
      <c r="Q17" s="189"/>
    </row>
    <row r="18" spans="1:17" ht="20.100000000000001" customHeight="1" x14ac:dyDescent="0.25">
      <c r="A18" s="5" t="str">
        <f>HYPERLINK("#'Input - Fuel'!A1", "Fuel")</f>
        <v>Fuel</v>
      </c>
      <c r="D18" s="118" t="str">
        <v>SC</v>
      </c>
      <c r="E18" s="123" t="str">
        <v>Stationary combustion</v>
      </c>
      <c r="F18" s="124"/>
      <c r="G18" s="118" t="str">
        <v/>
      </c>
      <c r="H18" s="126" t="str">
        <v>Constant</v>
      </c>
      <c r="I18" s="125"/>
      <c r="J18" s="189"/>
      <c r="K18" s="118" t="str">
        <v>m</v>
      </c>
      <c r="L18" s="123" t="str">
        <v>metropolitan/non-metropolitan location</v>
      </c>
      <c r="M18" s="124"/>
      <c r="N18" s="118" t="str">
        <v/>
      </c>
      <c r="O18" s="119" t="str">
        <v>Input</v>
      </c>
      <c r="P18" s="118" t="str">
        <f>X_Cell_Fuel_IsMetroLocation</f>
        <v>Metro</v>
      </c>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820</v>
      </c>
    </row>
    <row r="24" spans="1:17" ht="20.100000000000001" customHeight="1" x14ac:dyDescent="0.25">
      <c r="D24" s="122" t="s">
        <v>800</v>
      </c>
      <c r="E24" s="122" t="s">
        <v>801</v>
      </c>
      <c r="F24" s="122" t="s">
        <v>802</v>
      </c>
      <c r="G24" s="122" t="s">
        <v>821</v>
      </c>
      <c r="H24" s="122" t="s">
        <v>822</v>
      </c>
      <c r="I24" s="122" t="s">
        <v>823</v>
      </c>
      <c r="J24" s="122" t="s">
        <v>824</v>
      </c>
      <c r="K24" s="122" t="s">
        <v>825</v>
      </c>
      <c r="L24" s="96" t="s">
        <v>826</v>
      </c>
      <c r="M24" s="122" t="s">
        <v>809</v>
      </c>
      <c r="N24" s="122" t="s">
        <v>810</v>
      </c>
      <c r="O24" s="122" t="s">
        <v>811</v>
      </c>
      <c r="P24" s="122" t="s">
        <v>812</v>
      </c>
      <c r="Q24" s="122" t="s">
        <v>827</v>
      </c>
    </row>
    <row r="25" spans="1:17" ht="20.100000000000001" customHeight="1" x14ac:dyDescent="0.25">
      <c r="D25" s="35" t="str">
        <f>Table_FuelTypesPerUse[[#Headers],[Generators]]</f>
        <v>Generators</v>
      </c>
      <c r="E25" s="213" t="str">
        <f>'Constants - Fuel'!$D$58</f>
        <v>Automotive gasoline / petrol (other than for use as fuel in an aircraft)</v>
      </c>
      <c r="F25" s="21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35" cm="1">
        <f t="array" ref="N25">Fuel_Equations.VEERG_8_2_1_1__1_FuelCombustionStationary($L25,$G25,H25)</f>
        <v>0</v>
      </c>
      <c r="O25" s="235" cm="1">
        <f t="array" ref="O25">Fuel_Equations.VEERG_8_2_1_1__1_FuelCombustionStationary($L25,$G25,I25)</f>
        <v>0</v>
      </c>
      <c r="P25" s="235" cm="1">
        <f t="array" ref="P25">Fuel_Equations.VEERG_8_2_1_1__1_FuelCombustionStationary($L25,$G25,J25)</f>
        <v>0</v>
      </c>
      <c r="Q25" s="235" cm="1">
        <f t="array" ref="Q25">Fuel_Equations.VEERG_8_2_1_1__1_FuelCombustionStationary($L25,$G25,IF(ISNUMBER(K25), K25, 0))</f>
        <v>0</v>
      </c>
    </row>
    <row r="26" spans="1:17" ht="20.100000000000001" customHeight="1" x14ac:dyDescent="0.25">
      <c r="A26" s="6" t="s">
        <v>2</v>
      </c>
      <c r="D26" s="215" t="str">
        <f t="shared" ref="D26:D31" si="0">$D$25</f>
        <v>Generators</v>
      </c>
      <c r="E26" s="213" t="str">
        <f>'Constants - Fuel'!$D$63</f>
        <v>Diesel oil</v>
      </c>
      <c r="F26" s="21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2" cm="1">
        <f t="array" ref="L26">Fuel_InputFunctions.Fuel_TotalConsumption(Table_Input_Fuel[Amount consumed], Table_Input_Fuel[Fuel use (select)], D26, Table_Input_Fuel[Fuel type (select)],F26)</f>
        <v>0</v>
      </c>
      <c r="M26" s="192" t="str" cm="1">
        <f t="array" ref="M26">Common_InputFunctions.Utility_LookupValueInTable(F26,Table_FuelTypes_Units[Fuel type],Table_FuelTypes_Units[Unit])</f>
        <v>kL</v>
      </c>
      <c r="N26" s="235" cm="1">
        <f t="array" ref="N26">Fuel_Equations.VEERG_8_2_1_1__1_FuelCombustionStationary($L26,$G26,H26)</f>
        <v>0</v>
      </c>
      <c r="O26" s="235" cm="1">
        <f t="array" ref="O26">Fuel_Equations.VEERG_8_2_1_1__1_FuelCombustionStationary($L26,$G26,I26)</f>
        <v>0</v>
      </c>
      <c r="P26" s="235" cm="1">
        <f t="array" ref="P26">Fuel_Equations.VEERG_8_2_1_1__1_FuelCombustionStationary($L26,$G26,J26)</f>
        <v>0</v>
      </c>
      <c r="Q26" s="235"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5" t="str">
        <f t="shared" si="0"/>
        <v>Generators</v>
      </c>
      <c r="E27" s="213" t="str">
        <f>'Constants - Fuel'!$D$67</f>
        <v>Liquefied petroleum gas (LPG)</v>
      </c>
      <c r="F27" s="21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35" cm="1">
        <f t="array" ref="N27">Fuel_Equations.VEERG_8_2_1_1__1_FuelCombustionStationary($L27,$G27,H27)</f>
        <v>0</v>
      </c>
      <c r="O27" s="235" cm="1">
        <f t="array" ref="O27">Fuel_Equations.VEERG_8_2_1_1__1_FuelCombustionStationary($L27,$G27,I27)</f>
        <v>0</v>
      </c>
      <c r="P27" s="235" cm="1">
        <f t="array" ref="P27">Fuel_Equations.VEERG_8_2_1_1__1_FuelCombustionStationary($L27,$G27,J27)</f>
        <v>0</v>
      </c>
      <c r="Q27" s="235"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5" t="str">
        <f t="shared" si="0"/>
        <v>Generators</v>
      </c>
      <c r="E28" s="213" t="str">
        <f>'Constants - Fuel'!$D$73</f>
        <v>Biodiesel</v>
      </c>
      <c r="F28" s="21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35" cm="1">
        <f t="array" ref="N28">Fuel_Equations.VEERG_8_2_1_1__1_FuelCombustionStationary($L28,$G28,H28)</f>
        <v>0</v>
      </c>
      <c r="O28" s="235" cm="1">
        <f t="array" ref="O28">Fuel_Equations.VEERG_8_2_1_1__1_FuelCombustionStationary($L28,$G28,I28)</f>
        <v>0</v>
      </c>
      <c r="P28" s="235" cm="1">
        <f t="array" ref="P28">Fuel_Equations.VEERG_8_2_1_1__1_FuelCombustionStationary($L28,$G28,J28)</f>
        <v>0</v>
      </c>
      <c r="Q28" s="235"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5" t="str">
        <f t="shared" si="0"/>
        <v>Generators</v>
      </c>
      <c r="E29" s="213" t="str">
        <f>'Constants - Fuel'!$D$74</f>
        <v>Ethanol for use as a fuel in an internal combustion engine</v>
      </c>
      <c r="F29" s="21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35" cm="1">
        <f t="array" ref="N29">Fuel_Equations.VEERG_8_2_1_1__1_FuelCombustionStationary($L29,$G29,H29)</f>
        <v>0</v>
      </c>
      <c r="O29" s="235" cm="1">
        <f t="array" ref="O29">Fuel_Equations.VEERG_8_2_1_1__1_FuelCombustionStationary($L29,$G29,I29)</f>
        <v>0</v>
      </c>
      <c r="P29" s="235" cm="1">
        <f t="array" ref="P29">Fuel_Equations.VEERG_8_2_1_1__1_FuelCombustionStationary($L29,$G29,J29)</f>
        <v>0</v>
      </c>
      <c r="Q29" s="235" cm="1">
        <f t="array" ref="Q29">Fuel_Equations.VEERG_8_2_1_1__1_FuelCombustionStationary($L29,$G29,IF(ISNUMBER(K29), K29, 0))</f>
        <v>0</v>
      </c>
    </row>
    <row r="30" spans="1:17" ht="20.100000000000001" customHeight="1" x14ac:dyDescent="0.25">
      <c r="A30" s="5" t="str">
        <f>HYPERLINK("#'5.3.1.1-2 Lime CO2'!A1", "5.3.1.1-2 Lime CO2")</f>
        <v>5.3.1.1-2 Lime CO2</v>
      </c>
      <c r="D30" s="215" t="str">
        <f t="shared" si="0"/>
        <v>Generators</v>
      </c>
      <c r="E30" s="213" t="str">
        <f>'Constants - Fuel'!$D$75</f>
        <v>Biofuels other than those mentioned in the items above and below</v>
      </c>
      <c r="F30" s="21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35" cm="1">
        <f t="array" ref="N30">Fuel_Equations.VEERG_8_2_1_1__1_FuelCombustionStationary($L30,$G30,H30)</f>
        <v>0</v>
      </c>
      <c r="O30" s="235" cm="1">
        <f t="array" ref="O30">Fuel_Equations.VEERG_8_2_1_1__1_FuelCombustionStationary($L30,$G30,I30)</f>
        <v>0</v>
      </c>
      <c r="P30" s="235" cm="1">
        <f t="array" ref="P30">Fuel_Equations.VEERG_8_2_1_1__1_FuelCombustionStationary($L30,$G30,J30)</f>
        <v>0</v>
      </c>
      <c r="Q30" s="235"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5" t="str">
        <f t="shared" si="0"/>
        <v>Generators</v>
      </c>
      <c r="E31" s="213" t="str">
        <f>'Constants - Fuel'!$D$77</f>
        <v>Renewable diesel</v>
      </c>
      <c r="F31" s="213" t="str">
        <f>'Constants - Fuel'!D137</f>
        <v>Renewable diesel</v>
      </c>
      <c r="G31" s="211">
        <f>IFERROR(_xlfn.XLOOKUP($E31, Table_Fuel_EFs_StationaryLiquid[Fuel combusted], Table_Fuel_EFs_StationaryLiquid[Energy Content Factor (GJ per unit of fuel)]),0)</f>
        <v>38.6</v>
      </c>
      <c r="H31" s="211">
        <f>IFERROR(_xlfn.XLOOKUP($E31, Table_Fuel_EFs_StationaryLiquid[Fuel combusted], Table_Fuel_EFs_StationaryLiquid[Scope 1 Emission Factor (kg CO2 - e / GJ) CO2]),0)</f>
        <v>0</v>
      </c>
      <c r="I31" s="211">
        <f>IFERROR(_xlfn.XLOOKUP($E31, Table_Fuel_EFs_StationaryLiquid[Fuel combusted], Table_Fuel_EFs_StationaryLiquid[Scope 1 Emission Factor (kg CO2 - e / GJ) CH4]),0)</f>
        <v>0.1</v>
      </c>
      <c r="J31" s="211">
        <f>IFERROR(_xlfn.XLOOKUP($E31, Table_Fuel_EFs_StationaryLiquid[Fuel combusted], Table_Fuel_EFs_StationaryLiquid[Scope 1 Emission Factor (kg CO2 - e / GJ) N2O]),0)</f>
        <v>0.2</v>
      </c>
      <c r="K31" s="211" t="str">
        <f>IFERROR(_xlfn.XLOOKUP($E31, Table_Fuel_EFs_StationaryLiquid[Fuel combusted], Table_Fuel_EFs_StationaryLiquid[Scope 3 Emission Factor (kg CO2 - e / GJ)]),0)</f>
        <v>NE</v>
      </c>
      <c r="L31" s="216" cm="1">
        <f t="array" ref="L31">Fuel_InputFunctions.Fuel_TotalConsumption(Table_Input_Fuel[Amount consumed], Table_Input_Fuel[Fuel use (select)], D31, Table_Input_Fuel[Fuel type (select)],F31)</f>
        <v>0</v>
      </c>
      <c r="M31" s="216" t="str" cm="1">
        <f t="array" ref="M31">Common_InputFunctions.Utility_LookupValueInTable(F31,Table_FuelTypes_Units[Fuel type],Table_FuelTypes_Units[Unit])</f>
        <v>kL</v>
      </c>
      <c r="N31" s="236" cm="1">
        <f t="array" ref="N31">Fuel_Equations.VEERG_8_2_1_1__1_FuelCombustionStationary($L31,$G31,H31)</f>
        <v>0</v>
      </c>
      <c r="O31" s="236" cm="1">
        <f t="array" ref="O31">Fuel_Equations.VEERG_8_2_1_1__1_FuelCombustionStationary($L31,$G31,I31)</f>
        <v>0</v>
      </c>
      <c r="P31" s="236" cm="1">
        <f t="array" ref="P31">Fuel_Equations.VEERG_8_2_1_1__1_FuelCombustionStationary($L31,$G31,J31)</f>
        <v>0</v>
      </c>
      <c r="Q31" s="236"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8" t="str">
        <f>Table_FuelTypesPerUse[[#Headers],[Power standalone machinery or heating]]</f>
        <v>Power standalone machinery or heating</v>
      </c>
      <c r="E32" s="219" t="str">
        <f>'Constants - Fuel'!$D$58</f>
        <v>Automotive gasoline / petrol (other than for use as fuel in an aircraft)</v>
      </c>
      <c r="F32" s="219" t="str">
        <f>'Constants - Fuel'!E131</f>
        <v>Petrol</v>
      </c>
      <c r="G32" s="226">
        <f>IFERROR(_xlfn.XLOOKUP($E32, Table_Fuel_EFs_StationaryLiquid[Fuel combusted], Table_Fuel_EFs_StationaryLiquid[Energy Content Factor (GJ per unit of fuel)]),0)</f>
        <v>34.200000000000003</v>
      </c>
      <c r="H32" s="226">
        <f>IFERROR(_xlfn.XLOOKUP($E32, Table_Fuel_EFs_StationaryLiquid[Fuel combusted], Table_Fuel_EFs_StationaryLiquid[Scope 1 Emission Factor (kg CO2 - e / GJ) CO2]),0)</f>
        <v>67.400000000000006</v>
      </c>
      <c r="I32" s="226">
        <f>IFERROR(_xlfn.XLOOKUP($E32, Table_Fuel_EFs_StationaryLiquid[Fuel combusted], Table_Fuel_EFs_StationaryLiquid[Scope 1 Emission Factor (kg CO2 - e / GJ) CH4]),0)</f>
        <v>0.2</v>
      </c>
      <c r="J32" s="226">
        <f>IFERROR(_xlfn.XLOOKUP($E32, Table_Fuel_EFs_StationaryLiquid[Fuel combusted], Table_Fuel_EFs_StationaryLiquid[Scope 1 Emission Factor (kg CO2 - e / GJ) N2O]),0)</f>
        <v>0.2</v>
      </c>
      <c r="K32" s="226">
        <f>IFERROR(_xlfn.XLOOKUP($E32, Table_Fuel_EFs_StationaryLiquid[Fuel combusted], Table_Fuel_EFs_StationaryLiquid[Scope 3 Emission Factor (kg CO2 - e / GJ)]),0)</f>
        <v>17.2</v>
      </c>
      <c r="L32" s="222" cm="1">
        <f t="array" ref="L32">Fuel_InputFunctions.Fuel_TotalConsumption(Table_Input_Fuel[Amount consumed], Table_Input_Fuel[Fuel use (select)], D32, Table_Input_Fuel[Fuel type (select)],F32)</f>
        <v>10</v>
      </c>
      <c r="M32" s="223" t="str" cm="1">
        <f t="array" ref="M32">Common_InputFunctions.Utility_LookupValueInTable(F32,Table_FuelTypes_Units[Fuel type],Table_FuelTypes_Units[Unit])</f>
        <v>kL</v>
      </c>
      <c r="N32" s="237" cm="1">
        <f t="array" ref="N32">Fuel_Equations.VEERG_8_2_1_1__1_FuelCombustionStationary($L32,$G32,H32)</f>
        <v>23.050800000000002</v>
      </c>
      <c r="O32" s="237" cm="1">
        <f t="array" ref="O32">Fuel_Equations.VEERG_8_2_1_1__1_FuelCombustionStationary($L32,$G32,I32)</f>
        <v>6.8400000000000002E-2</v>
      </c>
      <c r="P32" s="237" cm="1">
        <f t="array" ref="P32">Fuel_Equations.VEERG_8_2_1_1__1_FuelCombustionStationary($L32,$G32,J32)</f>
        <v>6.8400000000000002E-2</v>
      </c>
      <c r="Q32" s="237"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5" t="str">
        <f t="shared" ref="D33:D40" si="1">$D$32</f>
        <v>Power standalone machinery or heating</v>
      </c>
      <c r="E33" s="213" t="str">
        <f>'Constants - Fuel'!$D$63</f>
        <v>Diesel oil</v>
      </c>
      <c r="F33" s="21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5" cm="1">
        <f t="array" ref="N33">Fuel_Equations.VEERG_8_2_1_1__1_FuelCombustionStationary($L33,$G33,H33)</f>
        <v>0</v>
      </c>
      <c r="O33" s="235" cm="1">
        <f t="array" ref="O33">Fuel_Equations.VEERG_8_2_1_1__1_FuelCombustionStationary($L33,$G33,I33)</f>
        <v>0</v>
      </c>
      <c r="P33" s="235" cm="1">
        <f t="array" ref="P33">Fuel_Equations.VEERG_8_2_1_1__1_FuelCombustionStationary($L33,$G33,J33)</f>
        <v>0</v>
      </c>
      <c r="Q33" s="235"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5" t="str">
        <f t="shared" si="1"/>
        <v>Power standalone machinery or heating</v>
      </c>
      <c r="E34" s="213" t="str">
        <f>'Constants - Fuel'!$D$67</f>
        <v>Liquefied petroleum gas (LPG)</v>
      </c>
      <c r="F34" s="21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5" cm="1">
        <f t="array" ref="N34">Fuel_Equations.VEERG_8_2_1_1__1_FuelCombustionStationary($L34,$G34,H34)</f>
        <v>0</v>
      </c>
      <c r="O34" s="235" cm="1">
        <f t="array" ref="O34">Fuel_Equations.VEERG_8_2_1_1__1_FuelCombustionStationary($L34,$G34,I34)</f>
        <v>0</v>
      </c>
      <c r="P34" s="235" cm="1">
        <f t="array" ref="P34">Fuel_Equations.VEERG_8_2_1_1__1_FuelCombustionStationary($L34,$G34,J34)</f>
        <v>0</v>
      </c>
      <c r="Q34" s="235"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5" t="str">
        <f t="shared" si="1"/>
        <v>Power standalone machinery or heating</v>
      </c>
      <c r="E35" s="213" t="str">
        <f>'Constants - Fuel'!$D$73</f>
        <v>Biodiesel</v>
      </c>
      <c r="F35" s="21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5" cm="1">
        <f t="array" ref="N35">Fuel_Equations.VEERG_8_2_1_1__1_FuelCombustionStationary($L35,$G35,H35)</f>
        <v>0</v>
      </c>
      <c r="O35" s="235" cm="1">
        <f t="array" ref="O35">Fuel_Equations.VEERG_8_2_1_1__1_FuelCombustionStationary($L35,$G35,I35)</f>
        <v>0</v>
      </c>
      <c r="P35" s="235" cm="1">
        <f t="array" ref="P35">Fuel_Equations.VEERG_8_2_1_1__1_FuelCombustionStationary($L35,$G35,J35)</f>
        <v>0</v>
      </c>
      <c r="Q35" s="235" cm="1">
        <f t="array" ref="Q35">Fuel_Equations.VEERG_8_2_1_1__1_FuelCombustionStationary($L35,$G35,IF(ISNUMBER(K35), K35, 0))</f>
        <v>0</v>
      </c>
    </row>
    <row r="36" spans="1:17" ht="20.100000000000001" customHeight="1" x14ac:dyDescent="0.25">
      <c r="A36" s="117" t="str">
        <f>HYPERLINK("#'8.2.1.1-2 Stationary fuel'!A1", "8.2.1.1-2 Stationary fuel")</f>
        <v>8.2.1.1-2 Stationary fuel</v>
      </c>
      <c r="D36" s="215" t="str">
        <f t="shared" si="1"/>
        <v>Power standalone machinery or heating</v>
      </c>
      <c r="E36" s="213" t="str">
        <f>'Constants - Fuel'!$D$74</f>
        <v>Ethanol for use as a fuel in an internal combustion engine</v>
      </c>
      <c r="F36" s="21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5" cm="1">
        <f t="array" ref="N36">Fuel_Equations.VEERG_8_2_1_1__1_FuelCombustionStationary($L36,$G36,H36)</f>
        <v>0</v>
      </c>
      <c r="O36" s="235" cm="1">
        <f t="array" ref="O36">Fuel_Equations.VEERG_8_2_1_1__1_FuelCombustionStationary($L36,$G36,I36)</f>
        <v>0</v>
      </c>
      <c r="P36" s="235" cm="1">
        <f t="array" ref="P36">Fuel_Equations.VEERG_8_2_1_1__1_FuelCombustionStationary($L36,$G36,J36)</f>
        <v>0</v>
      </c>
      <c r="Q36" s="235"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5" t="str">
        <f t="shared" si="1"/>
        <v>Power standalone machinery or heating</v>
      </c>
      <c r="E37" s="213" t="str">
        <f>'Constants - Fuel'!$D$75</f>
        <v>Biofuels other than those mentioned in the items above and below</v>
      </c>
      <c r="F37" s="21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5" cm="1">
        <f t="array" ref="N37">Fuel_Equations.VEERG_8_2_1_1__1_FuelCombustionStationary($L37,$G37,H37)</f>
        <v>0</v>
      </c>
      <c r="O37" s="235" cm="1">
        <f t="array" ref="O37">Fuel_Equations.VEERG_8_2_1_1__1_FuelCombustionStationary($L37,$G37,I37)</f>
        <v>0</v>
      </c>
      <c r="P37" s="235" cm="1">
        <f t="array" ref="P37">Fuel_Equations.VEERG_8_2_1_1__1_FuelCombustionStationary($L37,$G37,J37)</f>
        <v>0</v>
      </c>
      <c r="Q37" s="235" cm="1">
        <f t="array" ref="Q37">Fuel_Equations.VEERG_8_2_1_1__1_FuelCombustionStationary($L37,$G37,IF(ISNUMBER(K37), K37, 0))</f>
        <v>0</v>
      </c>
    </row>
    <row r="38" spans="1:17" ht="20.100000000000001" customHeight="1" x14ac:dyDescent="0.25">
      <c r="A38" s="5" t="str">
        <f>HYPERLINK("#'15 Scope 3'!A1", "15 Scope 3")</f>
        <v>15 Scope 3</v>
      </c>
      <c r="D38" s="215" t="str">
        <f t="shared" si="1"/>
        <v>Power standalone machinery or heating</v>
      </c>
      <c r="E38" s="213" t="str">
        <f>'Constants - Fuel'!$D$77</f>
        <v>Renewable diesel</v>
      </c>
      <c r="F38" s="21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5" cm="1">
        <f t="array" ref="N38">Fuel_Equations.VEERG_8_2_1_1__1_FuelCombustionStationary($L38,$G38,H38)</f>
        <v>0</v>
      </c>
      <c r="O38" s="235" cm="1">
        <f t="array" ref="O38">Fuel_Equations.VEERG_8_2_1_1__1_FuelCombustionStationary($L38,$G38,I38)</f>
        <v>0</v>
      </c>
      <c r="P38" s="235" cm="1">
        <f t="array" ref="P38">Fuel_Equations.VEERG_8_2_1_1__1_FuelCombustionStationary($L38,$G38,J38)</f>
        <v>0</v>
      </c>
      <c r="Q38" s="235"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5" t="str">
        <f t="shared" si="1"/>
        <v>Power standalone machinery or heating</v>
      </c>
      <c r="E39" s="213" t="str">
        <f>'Constants - Fuel'!$D$103</f>
        <v>Natural gas distributed in a pipeline - Gigajoules</v>
      </c>
      <c r="F39" s="21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2" cm="1">
        <f t="array" ref="L39">Fuel_InputFunctions.Fuel_TotalConsumption(Table_Input_Fuel[Amount consumed], Table_Input_Fuel[Fuel use (select)], D39, Table_Input_Fuel[Fuel type (select)],F39)</f>
        <v>0</v>
      </c>
      <c r="M39" s="192" t="str" cm="1">
        <f t="array" ref="M39">Common_InputFunctions.Utility_LookupValueInTable(F39,Table_FuelTypes_Units[Fuel type],Table_FuelTypes_Units[Unit])</f>
        <v>GJ</v>
      </c>
      <c r="N39" s="235" cm="1">
        <f t="array" ref="N39">Fuel_Equations.VEERG_8_2_1_1__1_FuelCombustionStationary($L39,$G39,H39)</f>
        <v>0</v>
      </c>
      <c r="O39" s="235" cm="1">
        <f t="array" ref="O39">Fuel_Equations.VEERG_8_2_1_1__1_FuelCombustionStationary($L39,$G39,I39)</f>
        <v>0</v>
      </c>
      <c r="P39" s="235" cm="1">
        <f t="array" ref="P39">Fuel_Equations.VEERG_8_2_1_1__1_FuelCombustionStationary($L39,$G39,J39)</f>
        <v>0</v>
      </c>
      <c r="Q39" s="235" cm="1">
        <f t="array" ref="Q39">Fuel_Equations.VEERG_8_2_1_1__1_FuelCombustionStationary($L39,$G39,IF(ISNUMBER(K39), K39, 0))</f>
        <v>0</v>
      </c>
    </row>
    <row r="40" spans="1:17" ht="20.100000000000001" customHeight="1" x14ac:dyDescent="0.25">
      <c r="A40" s="5" t="str">
        <f>HYPERLINK("#'4.3.1.1-2 Methane'!A1", "4.3.1.1-2 Methane")</f>
        <v>4.3.1.1-2 Methane</v>
      </c>
      <c r="D40" s="215" t="str">
        <f t="shared" si="1"/>
        <v>Power standalone machinery or heating</v>
      </c>
      <c r="E40" s="213" t="str">
        <f>'Constants - Fuel'!$D$104</f>
        <v>Town gas - Gigajoules</v>
      </c>
      <c r="F40" s="21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2" cm="1">
        <f t="array" ref="L40">Fuel_InputFunctions.Fuel_TotalConsumption(Table_Input_Fuel[Amount consumed], Table_Input_Fuel[Fuel use (select)], D40, Table_Input_Fuel[Fuel type (select)],F40)</f>
        <v>100</v>
      </c>
      <c r="M40" s="192" t="str" cm="1">
        <f t="array" ref="M40">Common_InputFunctions.Utility_LookupValueInTable(F40,Table_FuelTypes_Units[Fuel type],Table_FuelTypes_Units[Unit])</f>
        <v>GJ</v>
      </c>
      <c r="N40" s="235" cm="1">
        <f t="array" ref="N40">Fuel_Equations.VEERG_8_2_1_1__1_FuelCombustionStationary($L40,$G40,H40)</f>
        <v>6.0200000000000005</v>
      </c>
      <c r="O40" s="235" cm="1">
        <f t="array" ref="O40">Fuel_Equations.VEERG_8_2_1_1__1_FuelCombustionStationary($L40,$G40,I40)</f>
        <v>4.0000000000000001E-3</v>
      </c>
      <c r="P40" s="235" cm="1">
        <f t="array" ref="P40">Fuel_Equations.VEERG_8_2_1_1__1_FuelCombustionStationary($L40,$G40,J40)</f>
        <v>3.0000000000000001E-3</v>
      </c>
      <c r="Q40" s="235" cm="1">
        <f t="array" ref="Q40">Fuel_Equations.VEERG_8_2_1_1__1_FuelCombustionStationary($L40,$G40,IF(ISNUMBER(K40), K40, 0))</f>
        <v>0.41</v>
      </c>
    </row>
    <row r="41" spans="1:17" ht="20.100000000000001" customHeight="1" x14ac:dyDescent="0.25">
      <c r="A41" s="5" t="str">
        <f>HYPERLINK("#'4.3.1.3-4 Direct N20'!A1", "4.3.1.3-4 Direct N20")</f>
        <v>4.3.1.3-4 Direct N20</v>
      </c>
    </row>
    <row r="42" spans="1:17" ht="20.100000000000001" customHeight="1" x14ac:dyDescent="0.25">
      <c r="A42" s="5" t="str">
        <f>HYPERLINK("#'4.3.1.5 Atmos deposition'!A1", "4.3.1.5 Atmos deposition")</f>
        <v>4.3.1.5 Atmos deposition</v>
      </c>
      <c r="D42" s="228" t="str">
        <f>"Total scope 1 - " &amp; D25</f>
        <v>Total scope 1 - Generators</v>
      </c>
      <c r="E42" s="229"/>
      <c r="F42" s="230"/>
    </row>
    <row r="43" spans="1:17" ht="20.100000000000001" customHeight="1" x14ac:dyDescent="0.25">
      <c r="A43" s="5" t="str">
        <f>HYPERLINK("#'4.3.1.6-7 Leaching and runoff'!A1", "4.3.1.6-7 Leaching and runoff")</f>
        <v>4.3.1.6-7 Leaching and runoff</v>
      </c>
      <c r="D43" s="35" t="s">
        <v>814</v>
      </c>
      <c r="E43" s="231">
        <f>SUM(N25:N31)</f>
        <v>0</v>
      </c>
      <c r="F43" s="26" t="str">
        <f>$E$12</f>
        <v>t CO2-e</v>
      </c>
    </row>
    <row r="44" spans="1:17" ht="20.100000000000001" customHeight="1" x14ac:dyDescent="0.25">
      <c r="A44" s="5" t="str">
        <f>HYPERLINK("#'4.3.1.8 Manure applied to soils'!A1", "4.3.1.8 Manure applied to soils")</f>
        <v>4.3.1.8 Manure applied to soils</v>
      </c>
      <c r="D44" s="35" t="s">
        <v>815</v>
      </c>
      <c r="E44" s="231">
        <f>SUM(O25:O31)</f>
        <v>0</v>
      </c>
      <c r="F44" s="26" t="str">
        <f t="shared" ref="F44:F46" si="2">$E$12</f>
        <v>t CO2-e</v>
      </c>
    </row>
    <row r="45" spans="1:17" ht="20.100000000000001" customHeight="1" x14ac:dyDescent="0.25">
      <c r="A45" s="5" t="str">
        <f>HYPERLINK("#'4.3.1.9 Soil direct N2O'!A1", "4.3.1.9 Soil direct N2O")</f>
        <v>4.3.1.9 Soil direct N2O</v>
      </c>
      <c r="D45" s="35" t="s">
        <v>816</v>
      </c>
      <c r="E45" s="231">
        <f>SUM(P25:P31)</f>
        <v>0</v>
      </c>
      <c r="F45" s="26" t="str">
        <f t="shared" si="2"/>
        <v>t CO2-e</v>
      </c>
    </row>
    <row r="46" spans="1:17" ht="20.100000000000001" customHeight="1" x14ac:dyDescent="0.25">
      <c r="A46" s="5" t="str">
        <f>HYPERLINK("#'4.3.1.10-11 Soil Atmos Dep'!A1", "4.3.1.10-11 Soil Atmos Dep")</f>
        <v>4.3.1.10-11 Soil Atmos Dep</v>
      </c>
      <c r="D46" s="35" t="s">
        <v>817</v>
      </c>
      <c r="E46" s="231">
        <f>SUM(Q25:Q31)</f>
        <v>0</v>
      </c>
      <c r="F46" s="26" t="str">
        <f t="shared" si="2"/>
        <v>t CO2-e</v>
      </c>
    </row>
    <row r="47" spans="1:17" ht="20.100000000000001" customHeight="1" x14ac:dyDescent="0.25">
      <c r="A47" s="5" t="str">
        <f>HYPERLINK("#'4.3.1.12-13 Soil leach runoff'!A1", "4.3.1.12-13 Soil leach runoff")</f>
        <v>4.3.1.12-13 Soil leach runoff</v>
      </c>
      <c r="H47" s="189"/>
      <c r="I47" s="189"/>
      <c r="J47" s="189"/>
      <c r="L47" s="189"/>
      <c r="N47" s="189"/>
      <c r="O47" s="189"/>
      <c r="P47" s="189"/>
      <c r="Q47" s="189"/>
    </row>
    <row r="48" spans="1:17" ht="20.100000000000001" customHeight="1" x14ac:dyDescent="0.25">
      <c r="A48" s="5" t="str">
        <f>HYPERLINK("#'3.3.1.1-2 Enteric Methane'!A1", "3.3.1.1-2 Enteric Methane")</f>
        <v>3.3.1.1-2 Enteric Methane</v>
      </c>
      <c r="D48" s="228" t="str">
        <f>"Total scope 1 - " &amp; D32</f>
        <v>Total scope 1 - Power standalone machinery or heating</v>
      </c>
      <c r="E48" s="232"/>
      <c r="F48" s="230"/>
      <c r="H48" s="189"/>
      <c r="I48" s="189"/>
      <c r="J48" s="189"/>
      <c r="L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SUM(N32:N40)</f>
        <v>29.070800000000002</v>
      </c>
      <c r="F49" s="26" t="str">
        <f t="shared" ref="F49:F52" si="3">$E$12</f>
        <v>t CO2-e</v>
      </c>
      <c r="H49" s="189"/>
      <c r="I49" s="189"/>
      <c r="J49" s="189"/>
      <c r="L49" s="189"/>
      <c r="N49" s="189"/>
      <c r="O49" s="189"/>
      <c r="P49" s="189"/>
      <c r="Q49" s="189"/>
    </row>
    <row r="50" spans="1:17" ht="20.100000000000001" customHeight="1" x14ac:dyDescent="0.25">
      <c r="D50" s="35" t="s">
        <v>815</v>
      </c>
      <c r="E50" s="231">
        <f>SUM(O32:O40)</f>
        <v>7.2400000000000006E-2</v>
      </c>
      <c r="F50" s="26" t="str">
        <f t="shared" si="3"/>
        <v>t CO2-e</v>
      </c>
      <c r="H50" s="189"/>
      <c r="I50" s="189"/>
      <c r="J50" s="189"/>
      <c r="L50" s="189"/>
      <c r="N50" s="189"/>
      <c r="O50" s="189"/>
      <c r="P50" s="189"/>
      <c r="Q50" s="189"/>
    </row>
    <row r="51" spans="1:17" ht="20.100000000000001" customHeight="1" x14ac:dyDescent="0.25">
      <c r="D51" s="35" t="s">
        <v>816</v>
      </c>
      <c r="E51" s="231">
        <f>SUM(P32:P40)</f>
        <v>7.1400000000000005E-2</v>
      </c>
      <c r="F51" s="26" t="str">
        <f t="shared" si="3"/>
        <v>t CO2-e</v>
      </c>
      <c r="H51" s="189"/>
      <c r="I51" s="189"/>
      <c r="J51" s="189"/>
      <c r="L51" s="189"/>
      <c r="N51" s="189"/>
      <c r="O51" s="189"/>
      <c r="P51" s="189"/>
      <c r="Q51" s="189"/>
    </row>
    <row r="52" spans="1:17" ht="20.100000000000001" customHeight="1" x14ac:dyDescent="0.25">
      <c r="A52" s="99" t="s">
        <v>1</v>
      </c>
      <c r="D52" s="35" t="s">
        <v>817</v>
      </c>
      <c r="E52" s="231">
        <f>SUM(Q32:Q40)</f>
        <v>6.2923999999999998</v>
      </c>
      <c r="F52" s="26" t="str">
        <f t="shared" si="3"/>
        <v>t CO2-e</v>
      </c>
      <c r="G52" s="189"/>
      <c r="H52" s="189"/>
      <c r="I52" s="189"/>
      <c r="J52" s="189"/>
      <c r="L52" s="189"/>
      <c r="N52" s="189"/>
      <c r="O52" s="189"/>
      <c r="P52" s="189"/>
      <c r="Q52" s="189"/>
    </row>
    <row r="53" spans="1:17" ht="20.100000000000001" customHeight="1" x14ac:dyDescent="0.25">
      <c r="A53" s="5" t="str">
        <f>HYPERLINK("#'Constants - Dairy'!A1", "Constants - Dairy")</f>
        <v>Constants - Dairy</v>
      </c>
      <c r="G53" s="189"/>
      <c r="H53" s="189"/>
      <c r="I53" s="189"/>
      <c r="J53" s="189"/>
      <c r="L53" s="189"/>
      <c r="N53" s="189"/>
      <c r="O53" s="189"/>
      <c r="P53" s="189"/>
      <c r="Q53" s="189"/>
    </row>
    <row r="54" spans="1:17" ht="20.100000000000001" customHeight="1" x14ac:dyDescent="0.25">
      <c r="A54" s="5" t="str">
        <f>HYPERLINK("#'Constants - Ag Residue'!A1", "Constants - Ag residue")</f>
        <v>Constants - Ag residue</v>
      </c>
      <c r="D54" s="228" t="s">
        <v>828</v>
      </c>
      <c r="E54" s="232"/>
      <c r="F54" s="230"/>
      <c r="G54" s="189"/>
      <c r="H54" s="189"/>
      <c r="I54" s="189"/>
      <c r="J54" s="189"/>
      <c r="L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E43+E49</f>
        <v>29.070800000000002</v>
      </c>
      <c r="F55" s="26" t="str">
        <f t="shared" ref="F55:F58" si="4">$E$12</f>
        <v>t CO2-e</v>
      </c>
      <c r="G55" s="189"/>
      <c r="H55" s="189"/>
      <c r="I55" s="189"/>
      <c r="J55" s="189"/>
      <c r="L55" s="189"/>
      <c r="N55" s="189"/>
      <c r="O55" s="189"/>
      <c r="P55" s="189"/>
      <c r="Q55" s="189"/>
    </row>
    <row r="56" spans="1:17" ht="20.100000000000001" customHeight="1" x14ac:dyDescent="0.25">
      <c r="A56" s="5" t="str">
        <f>HYPERLINK("#'Constants - Electricity'!A1", "Constants - Electricity")</f>
        <v>Constants - Electricity</v>
      </c>
      <c r="D56" s="35" t="s">
        <v>815</v>
      </c>
      <c r="E56" s="231">
        <f>E44+E50</f>
        <v>7.2400000000000006E-2</v>
      </c>
      <c r="F56" s="26" t="str">
        <f t="shared" si="4"/>
        <v>t CO2-e</v>
      </c>
      <c r="H56" s="189"/>
    </row>
    <row r="57" spans="1:17" ht="20.100000000000001" customHeight="1" x14ac:dyDescent="0.25">
      <c r="A57" s="5" t="str">
        <f>HYPERLINK("#'Constants - Fertiliser'!A1", "Constants - Fertiliser")</f>
        <v>Constants - Fertiliser</v>
      </c>
      <c r="D57" s="35" t="s">
        <v>816</v>
      </c>
      <c r="E57" s="231">
        <f>E45+E51</f>
        <v>7.1400000000000005E-2</v>
      </c>
      <c r="F57" s="26" t="str">
        <f t="shared" si="4"/>
        <v>t CO2-e</v>
      </c>
      <c r="G57" s="189"/>
      <c r="H57" s="189"/>
      <c r="I57" s="189"/>
      <c r="J57" s="189"/>
      <c r="L57" s="189"/>
      <c r="N57" s="189"/>
      <c r="O57" s="189"/>
      <c r="P57" s="189"/>
      <c r="Q57" s="189"/>
    </row>
    <row r="58" spans="1:17" ht="20.100000000000001" customHeight="1" x14ac:dyDescent="0.25">
      <c r="A58" s="5" t="str">
        <f>HYPERLINK("#'Constants - Fuel'!A1", "Constants - Fuel")</f>
        <v>Constants - Fuel</v>
      </c>
      <c r="D58" s="35" t="s">
        <v>817</v>
      </c>
      <c r="E58" s="231">
        <f>E46+E52</f>
        <v>6.2923999999999998</v>
      </c>
      <c r="F58" s="26" t="str">
        <f t="shared" si="4"/>
        <v>t CO2-e</v>
      </c>
      <c r="G58" s="189"/>
      <c r="H58" s="189"/>
      <c r="I58" s="189"/>
      <c r="J58" s="189"/>
      <c r="L58" s="189"/>
      <c r="N58" s="189"/>
      <c r="O58" s="189"/>
      <c r="P58" s="189"/>
      <c r="Q58" s="189"/>
    </row>
    <row r="59" spans="1:17" ht="20.100000000000001" customHeight="1" x14ac:dyDescent="0.25">
      <c r="A59" s="5" t="str">
        <f>HYPERLINK("#'Constants - Scope 3'!A1", "Constants - Scope 3")</f>
        <v>Constants - Scope 3</v>
      </c>
      <c r="G59" s="189"/>
      <c r="H59" s="189"/>
      <c r="I59" s="189"/>
      <c r="J59" s="189"/>
      <c r="L59" s="189"/>
      <c r="N59" s="189"/>
      <c r="O59" s="189"/>
      <c r="P59" s="189"/>
      <c r="Q59" s="189"/>
    </row>
    <row r="60" spans="1:17" ht="20.100000000000001" customHeight="1" x14ac:dyDescent="0.25">
      <c r="A60" s="5" t="str">
        <f>HYPERLINK("#'Constants - Common'!A1", "Constants - Common")</f>
        <v>Constants - Common</v>
      </c>
      <c r="G60" s="189"/>
      <c r="H60" s="189"/>
      <c r="I60" s="189"/>
      <c r="J60" s="189"/>
      <c r="L60" s="189"/>
      <c r="N60" s="189"/>
      <c r="O60" s="189"/>
      <c r="P60" s="189"/>
      <c r="Q60" s="189"/>
    </row>
    <row r="61" spans="1:17" ht="20.100000000000001" customHeight="1" x14ac:dyDescent="0.25">
      <c r="A61" s="5" t="str">
        <f>HYPERLINK("#'Acknowledgements'!A1", "Acknowledgements")</f>
        <v>Acknowledgements</v>
      </c>
      <c r="G61" s="189"/>
      <c r="H61" s="189"/>
      <c r="I61" s="189"/>
      <c r="J61" s="189"/>
      <c r="L61" s="189"/>
      <c r="N61" s="189"/>
      <c r="O61" s="189"/>
      <c r="P61" s="189"/>
      <c r="Q61" s="189"/>
    </row>
    <row r="62" spans="1:17" ht="20.100000000000001" customHeight="1" x14ac:dyDescent="0.25">
      <c r="A62" s="5" t="str">
        <f>HYPERLINK("#'Constants - Solid Waste'!A1", "Constants - Solid Waste")</f>
        <v>Constants - Solid Waste</v>
      </c>
      <c r="G62" s="189"/>
      <c r="H62" s="189"/>
      <c r="I62" s="189"/>
      <c r="J62" s="189"/>
      <c r="L62" s="189"/>
      <c r="N62" s="189"/>
      <c r="O62" s="189"/>
      <c r="P62" s="189"/>
      <c r="Q62" s="189"/>
    </row>
    <row r="63" spans="1:17" ht="20.100000000000001" customHeight="1" x14ac:dyDescent="0.25">
      <c r="G63" s="189"/>
      <c r="H63" s="189"/>
      <c r="I63" s="189"/>
      <c r="J63" s="189"/>
      <c r="L63" s="189"/>
      <c r="N63" s="189"/>
      <c r="O63" s="189"/>
      <c r="P63" s="189"/>
      <c r="Q63" s="189"/>
    </row>
    <row r="64" spans="1:17" ht="20.100000000000001" customHeight="1" x14ac:dyDescent="0.25">
      <c r="G64" s="189"/>
      <c r="H64" s="189"/>
      <c r="I64" s="189"/>
      <c r="J64" s="189"/>
      <c r="L64" s="189"/>
      <c r="N64" s="189"/>
      <c r="O64" s="189"/>
      <c r="P64" s="189"/>
      <c r="Q64" s="189"/>
    </row>
    <row r="65" spans="7:17" ht="20.100000000000001" customHeight="1" x14ac:dyDescent="0.25">
      <c r="G65" s="189"/>
      <c r="H65" s="189"/>
      <c r="I65" s="189"/>
      <c r="J65" s="189"/>
      <c r="L65" s="189"/>
      <c r="N65" s="189"/>
      <c r="O65" s="189"/>
      <c r="P65" s="189"/>
      <c r="Q65" s="189"/>
    </row>
    <row r="66" spans="7:17" ht="20.100000000000001" customHeight="1" x14ac:dyDescent="0.25">
      <c r="G66" s="189"/>
      <c r="H66" s="189"/>
      <c r="I66" s="189"/>
      <c r="J66" s="189"/>
      <c r="L66" s="189"/>
      <c r="N66" s="189"/>
      <c r="O66" s="189"/>
      <c r="P66" s="189"/>
      <c r="Q66" s="189"/>
    </row>
    <row r="67" spans="7:17" ht="20.100000000000001" customHeight="1" x14ac:dyDescent="0.25">
      <c r="G67" s="189"/>
    </row>
    <row r="68" spans="7:17" ht="20.100000000000001" customHeight="1" x14ac:dyDescent="0.25">
      <c r="G68" s="189"/>
    </row>
    <row r="69" spans="7:17" ht="20.100000000000001" customHeight="1" x14ac:dyDescent="0.25">
      <c r="G69" s="189"/>
    </row>
    <row r="70" spans="7:17" ht="20.100000000000001" customHeight="1" x14ac:dyDescent="0.25">
      <c r="G70" s="189"/>
    </row>
    <row r="71" spans="7:17" ht="20.100000000000001" customHeight="1" x14ac:dyDescent="0.25">
      <c r="G71" s="18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9B80C-BD1D-4A1F-B3A2-525E45DFCAA8}">
  <dimension ref="A1:K342"/>
  <sheetViews>
    <sheetView showGridLines="0" topLeftCell="C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764</v>
      </c>
    </row>
    <row r="2" spans="1:11" s="3" customFormat="1" ht="20.100000000000001" customHeight="1" x14ac:dyDescent="0.25">
      <c r="A2"/>
    </row>
    <row r="3" spans="1:11" ht="20.100000000000001" customHeight="1" x14ac:dyDescent="0.25">
      <c r="A3" s="5" t="str">
        <f>HYPERLINK("#'Home'!A1", "Home")</f>
        <v>Home</v>
      </c>
      <c r="C3" s="33"/>
      <c r="D3" s="33" t="s">
        <v>144</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6" t="s">
        <v>257</v>
      </c>
      <c r="E8" s="116"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8" t="s">
        <v>258</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8" t="s">
        <v>127</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18" t="str" cm="1">
        <f t="array" ref="D14:E16">_xlfn.CHOOSECOLS(Electricity_Equations.VEERG_14_1_1__1_LocationBasedScopeElectricityEmissions_Arguments(),1,2)</f>
        <v>Q_elec</v>
      </c>
      <c r="E14" s="123" t="str">
        <v>amount of electricity purchased from the grid</v>
      </c>
      <c r="F14" s="124"/>
      <c r="G14" s="118" t="str" cm="1">
        <f t="array" ref="G14:H16">_xlfn.CHOOSECOLS(Electricity_Equations.VEERG_14_1_1__1_LocationBasedScopeElectricityEmissions_Arguments(),3,4)</f>
        <v>kWh</v>
      </c>
      <c r="H14" s="119" t="str">
        <v>Input</v>
      </c>
      <c r="I14" s="123">
        <f>X_Cell_Electricity_Location_AmountPurchasedInkWh</f>
        <v>30000</v>
      </c>
      <c r="J14" s="124"/>
    </row>
    <row r="15" spans="1:11" ht="20.100000000000001" customHeight="1" x14ac:dyDescent="0.25">
      <c r="A15" s="5" t="str">
        <f>HYPERLINK("#'Input - Pasture'!A1", "Pasture")</f>
        <v>Pasture</v>
      </c>
      <c r="D15" s="118" t="str">
        <v>EF_2elec</v>
      </c>
      <c r="E15" s="123" t="str">
        <v>location-based Scope 2 emission factor for electricity</v>
      </c>
      <c r="F15" s="124"/>
      <c r="G15" s="118" t="str">
        <v>kg CO2e/kWh</v>
      </c>
      <c r="H15" s="126" t="str">
        <v>Constant</v>
      </c>
      <c r="I15" s="123" cm="1">
        <f t="array" ref="I15">Common_InputFunctions.Utility_LookupValueInTableNumber(I16,Table_SourceData_ElectricityEFs[State, Territory or grid description],Table_SourceData_ElectricityEFs[Scope 2 Emission Factors (kg CO2-e/kWh)])</f>
        <v>0.56000000000000005</v>
      </c>
      <c r="J15" s="124"/>
    </row>
    <row r="16" spans="1:11" ht="20.100000000000001" customHeight="1" x14ac:dyDescent="0.25">
      <c r="A16" s="5" t="str">
        <f>HYPERLINK("#'Input - Fert Prod System'!A1", "Fert Prod System")</f>
        <v>Fert Prod System</v>
      </c>
      <c r="D16" s="118" t="str">
        <v>g</v>
      </c>
      <c r="E16" s="123" t="str">
        <v>Grid electricity was purchased from</v>
      </c>
      <c r="F16" s="124"/>
      <c r="G16" s="118" t="str">
        <v/>
      </c>
      <c r="H16" s="119" t="str">
        <v>Input</v>
      </c>
      <c r="I16" s="123" t="str">
        <f>X_Cell_Electricity_Location_GridElectricityPurchasedFrom</f>
        <v>Western Australia - North Western Interconnected System (NWIS)</v>
      </c>
      <c r="J16" s="124"/>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3" t="s">
        <v>765</v>
      </c>
      <c r="E18" s="134" cm="1">
        <f t="array" ref="E18">Electricity_Equations.VEERG_14_1_1__1_LocationBasedScopeElectricityEmissions(I14,I15)</f>
        <v>16.8</v>
      </c>
      <c r="F18" s="135"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6" t="s">
        <v>257</v>
      </c>
      <c r="E25" s="116"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8" t="s">
        <v>258</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8" t="s">
        <v>127</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18" t="str" cm="1">
        <f t="array" ref="D31:E37">_xlfn.CHOOSECOLS(Electricity_Equations.VEERG_14_1_2__1_MarketBasedScopeElectricityEmissions_Arguments(),1,2)</f>
        <v>Q_elec</v>
      </c>
      <c r="E31" s="123" t="str">
        <v>amount of electricity purchased from the grid</v>
      </c>
      <c r="F31" s="131"/>
      <c r="G31" s="131"/>
      <c r="H31" s="118" t="str" cm="1">
        <f t="array" ref="H31:I37">_xlfn.CHOOSECOLS(Electricity_Equations.VEERG_14_1_2__1_MarketBasedScopeElectricityEmissions_Arguments(),3,4)</f>
        <v>kWh</v>
      </c>
      <c r="I31" s="119" t="str">
        <v>Input</v>
      </c>
      <c r="J31" s="118">
        <f>X_Cell_Electricity_Market_AmountPurchasedExcludingGreenPower</f>
        <v>30000</v>
      </c>
    </row>
    <row r="32" spans="1:11" ht="20.100000000000001" customHeight="1" x14ac:dyDescent="0.25">
      <c r="A32" s="5" t="str">
        <f>HYPERLINK("#'5.5.1.1-2 Leaching and runoff'!A1", "5.5.1.1-2 Leaching &amp; runoff")</f>
        <v>5.5.1.1-2 Leaching &amp; runoff</v>
      </c>
      <c r="D32" s="118" t="str">
        <v>RPP</v>
      </c>
      <c r="E32" s="123" t="str">
        <v>Renewable Power Percentage under the Large-scale Renewable Energy Target (LRET)</v>
      </c>
      <c r="F32" s="131"/>
      <c r="G32" s="131"/>
      <c r="H32" s="118" t="str">
        <v>per cent</v>
      </c>
      <c r="I32" s="119" t="str">
        <v>Input</v>
      </c>
      <c r="J32" s="205">
        <f>X_Cell_Electricity_Market_RenewablePowerPercentage</f>
        <v>0.1</v>
      </c>
    </row>
    <row r="33" spans="1:10" ht="20.100000000000001" customHeight="1" x14ac:dyDescent="0.25">
      <c r="A33" s="5" t="str">
        <f>HYPERLINK("#'6.2.1.1-2 Pasture residue N2O'!A1", "6.2.1.1-2 Pasture residue N2O")</f>
        <v>6.2.1.1-2 Pasture residue N2O</v>
      </c>
      <c r="D33" s="118" t="str">
        <v>JRPP</v>
      </c>
      <c r="E33" s="123" t="str">
        <v>jurisdictional renewable power percentage for the applicable period (ACT only)</v>
      </c>
      <c r="F33" s="131"/>
      <c r="G33" s="131"/>
      <c r="H33" s="118" t="str">
        <v>per cent</v>
      </c>
      <c r="I33" s="119" t="str">
        <v>Input</v>
      </c>
      <c r="J33" s="205"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18" t="str">
        <v>REC_surrendered</v>
      </c>
      <c r="E34" s="123" t="str">
        <v>Renewable Energy Certificates voluntarily surrendered in the reporting year</v>
      </c>
      <c r="F34" s="131"/>
      <c r="G34" s="131"/>
      <c r="H34" s="118" t="str">
        <v>MWh</v>
      </c>
      <c r="I34" s="119" t="str">
        <v>Input</v>
      </c>
      <c r="J34" s="118">
        <f>(X_Cell_Electricity_Market_AmountPurchasedGreenPower*10^-3)+X_Cell_TotalElegibleVoluntarilySurrenderedRECs</f>
        <v>10</v>
      </c>
    </row>
    <row r="35" spans="1:10" ht="20.100000000000001" customHeight="1" x14ac:dyDescent="0.25">
      <c r="A35" s="5" t="str">
        <f>HYPERLINK("#'8.1.1.1-2 Transport fuel'!A1", "8.1.1.1-2 Transport fuel")</f>
        <v>8.1.1.1-2 Transport fuel</v>
      </c>
      <c r="D35" s="118" t="str">
        <v>REC_onsite</v>
      </c>
      <c r="E35" s="123" t="str">
        <v>Renewable Energy Certificates issued for electricity produced on-site during the year and consumed by the entity</v>
      </c>
      <c r="F35" s="131"/>
      <c r="G35" s="131"/>
      <c r="H35" s="118" t="str">
        <v>MWh</v>
      </c>
      <c r="I35" s="119" t="str">
        <v>Input</v>
      </c>
      <c r="J35" s="118">
        <f>X_Cell_TotalElegibleRECsForElectricityProducedOnSite</f>
        <v>0</v>
      </c>
    </row>
    <row r="36" spans="1:10" ht="20.100000000000001" customHeight="1" x14ac:dyDescent="0.25">
      <c r="A36" s="5" t="str">
        <f>HYPERLINK("#'8.2.1.1-2 Stationary fuel'!A1", "8.2.1.1-2 Stationary fuel")</f>
        <v>8.2.1.1-2 Stationary fuel</v>
      </c>
      <c r="D36" s="118" t="str">
        <v>EF_RMF2elec</v>
      </c>
      <c r="E36" s="123" t="str">
        <v>Scope 2 residual mix emission factor for electricity</v>
      </c>
      <c r="F36" s="131"/>
      <c r="G36" s="131"/>
      <c r="H36" s="118" t="str">
        <v>kg CO2e/kWh</v>
      </c>
      <c r="I36" s="126" t="str">
        <v>Constant</v>
      </c>
      <c r="J36" s="118" cm="1">
        <f t="array" ref="J36">Table_SourceData_ElectricityEFsMarketBased[Scope 2 EF (kg CO2-e/kWh)]</f>
        <v>0.81</v>
      </c>
    </row>
    <row r="37" spans="1:10" ht="20.100000000000001" customHeight="1" x14ac:dyDescent="0.25">
      <c r="A37" s="117" t="str">
        <f>HYPERLINK("#'14.1.1-2 Purchased electricity'!A1", "14.1.1-2 Purchased electricity")</f>
        <v>14.1.1-2 Purchased electricity</v>
      </c>
      <c r="D37" s="118" t="str">
        <v>i</v>
      </c>
      <c r="E37" s="123" t="str">
        <v>state</v>
      </c>
      <c r="F37" s="131"/>
      <c r="G37" s="124"/>
      <c r="H37" s="118" t="str">
        <v/>
      </c>
      <c r="I37" s="119" t="str">
        <v>Input</v>
      </c>
      <c r="J37" s="118"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33" t="s">
        <v>765</v>
      </c>
      <c r="E39" s="134" cm="1">
        <f t="array" ref="E39">Electricity_Equations.VEERG_14_1_2__1_MarketBasedScopeElectricityEmissionsVariation(J31,J32,IF(ISNUMBER(J33), J33, 0),J34,J35,J36)</f>
        <v>13.77</v>
      </c>
      <c r="F39" s="135" t="str">
        <f>E29</f>
        <v>t CO2e</v>
      </c>
    </row>
    <row r="40" spans="1:10" ht="20.100000000000001" customHeight="1" x14ac:dyDescent="0.25">
      <c r="A40" s="5" t="str">
        <f>HYPERLINK("#'4.3.1.1-2 Methane'!A1", "4.3.1.1-2 Methane")</f>
        <v>4.3.1.1-2 Methane</v>
      </c>
      <c r="H40" s="1" t="s">
        <v>482</v>
      </c>
    </row>
    <row r="41" spans="1:10" ht="20.100000000000001" customHeight="1" x14ac:dyDescent="0.25">
      <c r="A41" s="5" t="str">
        <f>HYPERLINK("#'4.3.1.3-4 Direct N20'!A1", "4.3.1.3-4 Direct N20")</f>
        <v>4.3.1.3-4 Direct N20</v>
      </c>
    </row>
    <row r="42" spans="1:10" ht="20.100000000000001" customHeight="1" x14ac:dyDescent="0.25">
      <c r="A42" s="5" t="str">
        <f>HYPERLINK("#'4.3.1.5 Atmos deposition'!A1", "4.3.1.5 Atmos deposition")</f>
        <v>4.3.1.5 Atmos deposition</v>
      </c>
    </row>
    <row r="43" spans="1:10" ht="20.100000000000001" customHeight="1" x14ac:dyDescent="0.25">
      <c r="A43" s="5" t="str">
        <f>HYPERLINK("#'4.3.1.6-7 Leaching and runoff'!A1", "4.3.1.6-7 Leaching and runoff")</f>
        <v>4.3.1.6-7 Leaching and runoff</v>
      </c>
    </row>
    <row r="44" spans="1:10" ht="20.100000000000001" customHeight="1" x14ac:dyDescent="0.25">
      <c r="A44" s="5" t="str">
        <f>HYPERLINK("#'4.3.1.8 Manure applied to soils'!A1", "4.3.1.8 Manure applied to soils")</f>
        <v>4.3.1.8 Manure applied to soils</v>
      </c>
      <c r="E44" s="167"/>
    </row>
    <row r="45" spans="1:10" ht="20.100000000000001" customHeight="1" x14ac:dyDescent="0.25">
      <c r="A45" s="5" t="str">
        <f>HYPERLINK("#'4.3.1.9 Soil direct N2O'!A1", "4.3.1.9 Soil direct N2O")</f>
        <v>4.3.1.9 Soil direct N2O</v>
      </c>
    </row>
    <row r="46" spans="1:10" ht="20.100000000000001" customHeight="1" x14ac:dyDescent="0.25">
      <c r="A46" s="5" t="str">
        <f>HYPERLINK("#'4.3.1.10-11 Soil Atmos Dep'!A1", "4.3.1.10-11 Soil Atmos Dep")</f>
        <v>4.3.1.10-11 Soil Atmos Dep</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E2DDBB18-0C8E-44F8-818D-C7EAD4F13F81}"/>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F8E8F-6C60-4980-AC85-20A9A97F76BE}">
  <sheetPr>
    <tabColor theme="9" tint="-0.249977111117893"/>
  </sheetPr>
  <dimension ref="A1:AO642"/>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0" width="35" style="1" customWidth="1"/>
    <col min="41" max="41" width="5.28515625" style="1" customWidth="1"/>
    <col min="42" max="16384" width="9.140625" style="258"/>
  </cols>
  <sheetData>
    <row r="1" spans="1:41" s="31" customFormat="1" ht="30" customHeight="1" x14ac:dyDescent="0.35">
      <c r="A1" s="16" t="e" vm="1">
        <v>#VALUE!</v>
      </c>
      <c r="C1" s="31" t="s">
        <v>1133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6" t="s">
        <v>257</v>
      </c>
      <c r="E7" s="116"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6"/>
    </row>
    <row r="10" spans="1:41" ht="20.100000000000001" customHeight="1" x14ac:dyDescent="0.25">
      <c r="A10" s="5" t="str">
        <f>HYPERLINK("#'Input - Site'!A1", "Site")</f>
        <v>Site</v>
      </c>
      <c r="D10" s="88" t="s">
        <v>258</v>
      </c>
      <c r="E10" s="1" t="str" cm="1">
        <f t="array" ref="E10">Scope3_Equations.VEERG_15_1_1_1__1_EmissionsFromPurchasedLivestock_Variable()</f>
        <v>E</v>
      </c>
    </row>
    <row r="11" spans="1:41" ht="20.100000000000001" customHeight="1" x14ac:dyDescent="0.25">
      <c r="A11" s="5" t="str">
        <f>HYPERLINK("#'Input - Dairy'!A1", "Dairy")</f>
        <v>Dairy</v>
      </c>
      <c r="D11" s="88" t="s">
        <v>127</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18" t="str" cm="1">
        <f t="array" ref="D13:E17">_xlfn.CHOOSECOLS(Scope3_Equations.VEERG_15_1_1_1__1_EmissionsFromPurchasedLivestock_Arguments(),1,2)</f>
        <v>N_co</v>
      </c>
      <c r="E13" s="123" t="str">
        <v>number of animals purchased in livestock type c from origin o</v>
      </c>
      <c r="F13" s="124"/>
      <c r="G13" s="118" t="str" cm="1">
        <f t="array" ref="G13:H17">_xlfn.CHOOSECOLS(Scope3_Equations.VEERG_15_1_1_1__1_EmissionsFromPurchasedLivestock_Arguments(),3,4)</f>
        <v>head</v>
      </c>
      <c r="H13" s="274" t="str">
        <v>Input</v>
      </c>
    </row>
    <row r="14" spans="1:41" ht="20.100000000000001" customHeight="1" x14ac:dyDescent="0.25">
      <c r="A14" s="5" t="str">
        <f>HYPERLINK("#'Input - Dairy cattle purchases'!A1", "Dairy cattle purchases")</f>
        <v>Dairy cattle purchases</v>
      </c>
      <c r="D14" s="118" t="str">
        <v>W_co</v>
      </c>
      <c r="E14" s="123" t="str">
        <v>average liveweight of purchased livestock at point of purchase</v>
      </c>
      <c r="F14" s="124"/>
      <c r="G14" s="118" t="str">
        <v>kg/head</v>
      </c>
      <c r="H14" s="274" t="str">
        <v>Input</v>
      </c>
    </row>
    <row r="15" spans="1:41" ht="20.100000000000001" customHeight="1" x14ac:dyDescent="0.25">
      <c r="A15" s="5" t="str">
        <f>HYPERLINK("#'Input - Pasture'!A1", "Pasture")</f>
        <v>Pasture</v>
      </c>
      <c r="D15" s="118" t="str">
        <v>EF_co</v>
      </c>
      <c r="E15" s="123" t="str">
        <v>emission factor per livestock type and origin</v>
      </c>
      <c r="F15" s="124"/>
      <c r="G15" s="118" t="str">
        <v>kg CO2e/kg</v>
      </c>
      <c r="H15" s="126" t="str">
        <v>Constant</v>
      </c>
    </row>
    <row r="16" spans="1:41" ht="20.100000000000001" customHeight="1" x14ac:dyDescent="0.25">
      <c r="A16" s="5" t="str">
        <f>HYPERLINK("#'Input - Fert Prod System'!A1", "Fert Prod System")</f>
        <v>Fert Prod System</v>
      </c>
      <c r="D16" s="118" t="str">
        <v>c</v>
      </c>
      <c r="E16" s="123" t="str">
        <v>livestock type</v>
      </c>
      <c r="F16" s="124"/>
      <c r="G16" s="118" t="str">
        <v/>
      </c>
      <c r="H16" s="274" t="str">
        <v>Input</v>
      </c>
    </row>
    <row r="17" spans="1:16" ht="20.100000000000001" customHeight="1" x14ac:dyDescent="0.25">
      <c r="A17" s="5" t="str">
        <f>HYPERLINK("#'Input - Fertiliser'!A1", "Fertiliser")</f>
        <v>Fertiliser</v>
      </c>
      <c r="D17" s="118" t="str">
        <v>o</v>
      </c>
      <c r="E17" s="123" t="str">
        <v>origin</v>
      </c>
      <c r="F17" s="124"/>
      <c r="G17" s="118" t="str">
        <v/>
      </c>
      <c r="H17" s="27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1134</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59" t="s">
        <v>1135</v>
      </c>
    </row>
    <row r="22" spans="1:16" ht="20.100000000000001" customHeight="1" x14ac:dyDescent="0.25">
      <c r="A22" s="5" t="str">
        <f>HYPERLINK("#'Input - Manure sent off-site'!A1", "Manure sent off-site")</f>
        <v>Manure sent off-site</v>
      </c>
      <c r="D22" s="96" t="s">
        <v>1136</v>
      </c>
      <c r="E22" s="275" t="s">
        <v>1137</v>
      </c>
      <c r="F22" s="275" t="s">
        <v>1138</v>
      </c>
      <c r="G22" s="275" t="s">
        <v>1139</v>
      </c>
      <c r="H22" s="275" t="s">
        <v>1140</v>
      </c>
      <c r="I22" s="122" t="s">
        <v>1141</v>
      </c>
      <c r="J22" s="122" t="s">
        <v>1142</v>
      </c>
      <c r="K22" s="275" t="s">
        <v>1143</v>
      </c>
      <c r="L22" s="96" t="s">
        <v>1144</v>
      </c>
      <c r="M22" s="122" t="s">
        <v>1145</v>
      </c>
      <c r="N22" s="96" t="s">
        <v>1146</v>
      </c>
      <c r="O22" s="96" t="s">
        <v>1147</v>
      </c>
      <c r="P22" s="96" t="s">
        <v>1148</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6" cm="1">
        <f t="array" ref="J23">Scope3_Equations.VEERG_15_1_1_1__1_EmissionsFromPurchasedLivestock(G23,H23,I23)</f>
        <v>0</v>
      </c>
      <c r="K23" s="25"/>
      <c r="L23" s="86">
        <v>20</v>
      </c>
      <c r="M23" s="276" cm="1">
        <f t="array" ref="M23">Scope3_Equations.VEERG_15_1_1_1__1_EmissionsFromPurchasedLivestock(G23,K23,IF(L23, L23, I23))</f>
        <v>0</v>
      </c>
      <c r="N23" s="44" t="s">
        <v>1149</v>
      </c>
      <c r="O23" s="23" t="s">
        <v>1150</v>
      </c>
      <c r="P23" s="258" t="s">
        <v>1151</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6" cm="1">
        <f t="array" ref="J24">Scope3_Equations.VEERG_15_1_1_1__1_EmissionsFromPurchasedLivestock(G24,H24,I24)</f>
        <v>0</v>
      </c>
      <c r="K24" s="25"/>
      <c r="L24" s="86">
        <v>13</v>
      </c>
      <c r="M24" s="276" cm="1">
        <f t="array" ref="M24">Scope3_Equations.VEERG_15_1_1_1__1_EmissionsFromPurchasedLivestock(G24,K24,IF(L24, L24, I24))</f>
        <v>0</v>
      </c>
      <c r="N24" s="44"/>
      <c r="O24" s="23"/>
      <c r="P24" s="44"/>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6" cm="1">
        <f t="array" ref="J25">Scope3_Equations.VEERG_15_1_1_1__1_EmissionsFromPurchasedLivestock(G25,H25,I25)</f>
        <v>0</v>
      </c>
      <c r="K25" s="25"/>
      <c r="L25" s="86"/>
      <c r="M25" s="276" cm="1">
        <f t="array" ref="M25">Scope3_Equations.VEERG_15_1_1_1__1_EmissionsFromPurchasedLivestock(G25,K25,IF(L25, L25, I25))</f>
        <v>0</v>
      </c>
      <c r="N25" s="44"/>
      <c r="O25" s="23"/>
      <c r="P25" s="44"/>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6" cm="1">
        <f t="array" ref="J26">Scope3_Equations.VEERG_15_1_1_1__1_EmissionsFromPurchasedLivestock(G26,H26,I26)</f>
        <v>0</v>
      </c>
      <c r="K26" s="25"/>
      <c r="L26" s="86"/>
      <c r="M26" s="276" cm="1">
        <f t="array" ref="M26">Scope3_Equations.VEERG_15_1_1_1__1_EmissionsFromPurchasedLivestock(G26,K26,IF(L26, L26, I26))</f>
        <v>0</v>
      </c>
      <c r="N26" s="44"/>
      <c r="O26" s="23"/>
      <c r="P26" s="44"/>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6" cm="1">
        <f t="array" ref="J27">Scope3_Equations.VEERG_15_1_1_1__1_EmissionsFromPurchasedLivestock(G27,H27,I27)</f>
        <v>0</v>
      </c>
      <c r="K27" s="25"/>
      <c r="L27" s="86"/>
      <c r="M27" s="276" cm="1">
        <f t="array" ref="M27">Scope3_Equations.VEERG_15_1_1_1__1_EmissionsFromPurchasedLivestock(G27,K27,IF(L27, L27, I27))</f>
        <v>0</v>
      </c>
      <c r="N27" s="44"/>
      <c r="O27" s="23"/>
      <c r="P27" s="44"/>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6" cm="1">
        <f t="array" ref="J28">Scope3_Equations.VEERG_15_1_1_1__1_EmissionsFromPurchasedLivestock(G28,H28,I28)</f>
        <v>0</v>
      </c>
      <c r="K28" s="25"/>
      <c r="L28" s="86"/>
      <c r="M28" s="276" cm="1">
        <f t="array" ref="M28">Scope3_Equations.VEERG_15_1_1_1__1_EmissionsFromPurchasedLivestock(G28,K28,IF(L28, L28, I28))</f>
        <v>0</v>
      </c>
      <c r="N28" s="44"/>
      <c r="O28" s="23"/>
      <c r="P28" s="44"/>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6" cm="1">
        <f t="array" ref="J29">Scope3_Equations.VEERG_15_1_1_1__1_EmissionsFromPurchasedLivestock(G29,H29,I29)</f>
        <v>0</v>
      </c>
      <c r="K29" s="25"/>
      <c r="L29" s="86"/>
      <c r="M29" s="276" cm="1">
        <f t="array" ref="M29">Scope3_Equations.VEERG_15_1_1_1__1_EmissionsFromPurchasedLivestock(G29,K29,IF(L29, L29, I29))</f>
        <v>0</v>
      </c>
      <c r="N29" s="44"/>
      <c r="O29" s="23"/>
      <c r="P29" s="44"/>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6" cm="1">
        <f t="array" ref="J30">Scope3_Equations.VEERG_15_1_1_1__1_EmissionsFromPurchasedLivestock(G30,H30,I30)</f>
        <v>0</v>
      </c>
      <c r="K30" s="25"/>
      <c r="L30" s="86"/>
      <c r="M30" s="276" cm="1">
        <f t="array" ref="M30">Scope3_Equations.VEERG_15_1_1_1__1_EmissionsFromPurchasedLivestock(G30,K30,IF(L30, L30, I30))</f>
        <v>0</v>
      </c>
      <c r="N30" s="44"/>
      <c r="O30" s="23"/>
      <c r="P30" s="44"/>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6" cm="1">
        <f t="array" ref="J31">Scope3_Equations.VEERG_15_1_1_1__1_EmissionsFromPurchasedLivestock(G31,H31,I31)</f>
        <v>0</v>
      </c>
      <c r="K31" s="25"/>
      <c r="L31" s="86"/>
      <c r="M31" s="276" cm="1">
        <f t="array" ref="M31">Scope3_Equations.VEERG_15_1_1_1__1_EmissionsFromPurchasedLivestock(G31,K31,IF(L31, L31, I31))</f>
        <v>0</v>
      </c>
      <c r="N31" s="44"/>
      <c r="O31" s="23"/>
      <c r="P31" s="44"/>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6" cm="1">
        <f t="array" ref="J32">Scope3_Equations.VEERG_15_1_1_1__1_EmissionsFromPurchasedLivestock(G32,H32,I32)</f>
        <v>0</v>
      </c>
      <c r="K32" s="25"/>
      <c r="L32" s="86"/>
      <c r="M32" s="276" cm="1">
        <f t="array" ref="M32">Scope3_Equations.VEERG_15_1_1_1__1_EmissionsFromPurchasedLivestock(G32,K32,IF(L32, L32, I32))</f>
        <v>0</v>
      </c>
      <c r="N32" s="44"/>
      <c r="O32" s="23"/>
      <c r="P32" s="44"/>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0" t="s">
        <v>1152</v>
      </c>
      <c r="E34" s="100">
        <f>SUM(J23:J32)</f>
        <v>0</v>
      </c>
      <c r="F34" s="138" t="str">
        <f>$E$11</f>
        <v>t CO2e</v>
      </c>
    </row>
    <row r="35" spans="1:13" ht="20.100000000000001" customHeight="1" x14ac:dyDescent="0.25">
      <c r="A35" s="5" t="str">
        <f>HYPERLINK("#'8.1.1.1-2 Transport fuel'!A1", "8.1.1.1-2 Transport fuel")</f>
        <v>8.1.1.1-2 Transport fuel</v>
      </c>
      <c r="D35" s="140" t="s">
        <v>1153</v>
      </c>
      <c r="E35" s="100">
        <f>SUM(M23:M32)</f>
        <v>0</v>
      </c>
      <c r="F35" s="138"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17" t="str">
        <f>HYPERLINK("#'15 Scope 3'!A1", "15 Scope 3")</f>
        <v>15 Scope 3</v>
      </c>
      <c r="D38" s="259" t="s">
        <v>1001</v>
      </c>
    </row>
    <row r="39" spans="1:13" ht="20.100000000000001" customHeight="1" x14ac:dyDescent="0.25">
      <c r="A39" s="5" t="str">
        <f>HYPERLINK("#'Calcs - Manure sent off-site'!A1", "Calcs - Manure sent off-site")</f>
        <v>Calcs - Manure sent off-site</v>
      </c>
      <c r="D39" s="118" t="s">
        <v>1154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HYPERLINK("#'4.3.1.1-2 Methane'!A1", "4.3.1.1-2 Methane")</f>
        <v>4.3.1.1-2 Methane</v>
      </c>
    </row>
    <row r="41" spans="1:13" ht="20.100000000000001" customHeight="1" x14ac:dyDescent="0.25">
      <c r="A41" s="5" t="str">
        <f>HYPERLINK("#'4.3.1.3-4 Direct N20'!A1", "4.3.1.3-4 Direct N20")</f>
        <v>4.3.1.3-4 Direct N20</v>
      </c>
      <c r="D41" s="96" t="s">
        <v>1136</v>
      </c>
      <c r="E41" s="275" t="s">
        <v>1139</v>
      </c>
      <c r="F41" s="275" t="s">
        <v>1140</v>
      </c>
      <c r="G41" s="122" t="s">
        <v>1142</v>
      </c>
      <c r="H41" s="275" t="s">
        <v>1143</v>
      </c>
      <c r="I41" s="96" t="s">
        <v>1144</v>
      </c>
      <c r="J41" s="122" t="s">
        <v>1145</v>
      </c>
      <c r="K41" s="96" t="s">
        <v>1146</v>
      </c>
      <c r="L41" s="96" t="s">
        <v>1147</v>
      </c>
      <c r="M41" s="96" t="s">
        <v>1148</v>
      </c>
    </row>
    <row r="42" spans="1:13" ht="20.100000000000001" customHeight="1" x14ac:dyDescent="0.25">
      <c r="A42" s="5" t="str">
        <f>HYPERLINK("#'4.3.1.5 Atmos deposition'!A1", "4.3.1.5 Atmos deposition")</f>
        <v>4.3.1.5 Atmos deposition</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6" cm="1">
        <f t="array" ref="G42">Scope3_Equations.VEERG_15_1_1_1__1_EmissionsFromPurchasedLivestock(E42,F42,$E$39)</f>
        <v>57.33</v>
      </c>
      <c r="H42" s="25" cm="1">
        <f t="array" ref="H42:H51">IFERROR(INDEX(Table_Input_LivestockPurchases_Dairy[Liveweight (kg/head) Method 2], _xlfn.SEQUENCE(10)), "")</f>
        <v>350</v>
      </c>
      <c r="I42" s="86">
        <v>4</v>
      </c>
      <c r="J42" s="276" cm="1">
        <f t="array" ref="J42">Scope3_Equations.VEERG_15_1_1_1__1_EmissionsFromPurchasedLivestock(E42,H42,IF(I42,I42,$E$39))</f>
        <v>140</v>
      </c>
      <c r="K42" s="44" t="s">
        <v>1149</v>
      </c>
      <c r="L42" s="23" t="s">
        <v>1150</v>
      </c>
      <c r="M42" s="258" t="s">
        <v>1151</v>
      </c>
    </row>
    <row r="43" spans="1:13" ht="20.100000000000001" customHeight="1" x14ac:dyDescent="0.25">
      <c r="A43" s="5" t="str">
        <f>HYPERLINK("#'4.3.1.6-7 Leaching and runoff'!A1", "4.3.1.6-7 Leaching and runoff")</f>
        <v>4.3.1.6-7 Leaching and runoff</v>
      </c>
      <c r="D43" s="25">
        <v>0</v>
      </c>
      <c r="E43" s="25">
        <v>100</v>
      </c>
      <c r="F43" s="25">
        <v>540</v>
      </c>
      <c r="G43" s="276" cm="1">
        <f t="array" ref="G43">Scope3_Equations.VEERG_15_1_1_1__1_EmissionsFromPurchasedLivestock(E43,F43,$E$39)</f>
        <v>238.14000000000001</v>
      </c>
      <c r="H43" s="25">
        <v>625</v>
      </c>
      <c r="I43" s="86"/>
      <c r="J43" s="276" cm="1">
        <f t="array" ref="J43">Scope3_Equations.VEERG_15_1_1_1__1_EmissionsFromPurchasedLivestock(E43,H43,IF(I43,I43,$E$39))</f>
        <v>275.625</v>
      </c>
      <c r="K43" s="44"/>
      <c r="L43" s="23"/>
      <c r="M43" s="44"/>
    </row>
    <row r="44" spans="1:13" ht="20.100000000000001" customHeight="1" x14ac:dyDescent="0.25">
      <c r="A44" s="5" t="str">
        <f>HYPERLINK("#'4.3.1.8 Manure applied to soils'!A1", "4.3.1.8 Manure applied to soils")</f>
        <v>4.3.1.8 Manure applied to soils</v>
      </c>
      <c r="D44" s="25">
        <v>0</v>
      </c>
      <c r="E44" s="25">
        <v>0</v>
      </c>
      <c r="F44" s="25">
        <v>315</v>
      </c>
      <c r="G44" s="276" cm="1">
        <f t="array" ref="G44">Scope3_Equations.VEERG_15_1_1_1__1_EmissionsFromPurchasedLivestock(E44,F44,$E$39)</f>
        <v>0</v>
      </c>
      <c r="H44" s="25">
        <v>0</v>
      </c>
      <c r="I44" s="86"/>
      <c r="J44" s="276" cm="1">
        <f t="array" ref="J44">Scope3_Equations.VEERG_15_1_1_1__1_EmissionsFromPurchasedLivestock(E44,H44,IF(I44,I44,$E$39))</f>
        <v>0</v>
      </c>
      <c r="K44" s="44"/>
      <c r="L44" s="23"/>
      <c r="M44" s="44"/>
    </row>
    <row r="45" spans="1:13" ht="20.100000000000001" customHeight="1" x14ac:dyDescent="0.25">
      <c r="A45" s="5" t="str">
        <f>HYPERLINK("#'4.3.1.9 Soil direct N2O'!A1", "4.3.1.9 Soil direct N2O")</f>
        <v>4.3.1.9 Soil direct N2O</v>
      </c>
      <c r="D45" s="25">
        <v>0</v>
      </c>
      <c r="E45" s="25">
        <v>0</v>
      </c>
      <c r="F45" s="25">
        <v>0</v>
      </c>
      <c r="G45" s="276" cm="1">
        <f t="array" ref="G45">Scope3_Equations.VEERG_15_1_1_1__1_EmissionsFromPurchasedLivestock(E45,F45,$E$39)</f>
        <v>0</v>
      </c>
      <c r="H45" s="25">
        <v>0</v>
      </c>
      <c r="I45" s="86"/>
      <c r="J45" s="276" cm="1">
        <f t="array" ref="J45">Scope3_Equations.VEERG_15_1_1_1__1_EmissionsFromPurchasedLivestock(E45,H45,IF(I45,I45,$E$39))</f>
        <v>0</v>
      </c>
      <c r="K45" s="44"/>
      <c r="L45" s="23"/>
      <c r="M45" s="44"/>
    </row>
    <row r="46" spans="1:13" ht="20.100000000000001" customHeight="1" x14ac:dyDescent="0.25">
      <c r="A46" s="5" t="str">
        <f>HYPERLINK("#'4.3.1.10-11 Soil Atmos Dep'!A1", "4.3.1.10-11 Soil Atmos Dep")</f>
        <v>4.3.1.10-11 Soil Atmos Dep</v>
      </c>
      <c r="D46" s="25">
        <v>0</v>
      </c>
      <c r="E46" s="25">
        <v>0</v>
      </c>
      <c r="F46" s="25">
        <v>0</v>
      </c>
      <c r="G46" s="276" cm="1">
        <f t="array" ref="G46">Scope3_Equations.VEERG_15_1_1_1__1_EmissionsFromPurchasedLivestock(E46,F46,$E$39)</f>
        <v>0</v>
      </c>
      <c r="H46" s="25">
        <v>0</v>
      </c>
      <c r="I46" s="86"/>
      <c r="J46" s="276" cm="1">
        <f t="array" ref="J46">Scope3_Equations.VEERG_15_1_1_1__1_EmissionsFromPurchasedLivestock(E46,H46,IF(I46,I46,$E$39))</f>
        <v>0</v>
      </c>
      <c r="K46" s="44"/>
      <c r="L46" s="23"/>
      <c r="M46" s="44"/>
    </row>
    <row r="47" spans="1:13" ht="20.100000000000001" customHeight="1" x14ac:dyDescent="0.25">
      <c r="A47" s="5" t="str">
        <f>HYPERLINK("#'4.3.1.12-13 Soil leach runoff'!A1", "4.3.1.12-13 Soil leach runoff")</f>
        <v>4.3.1.12-13 Soil leach runoff</v>
      </c>
      <c r="D47" s="25">
        <v>0</v>
      </c>
      <c r="E47" s="25">
        <v>0</v>
      </c>
      <c r="F47" s="25">
        <v>0</v>
      </c>
      <c r="G47" s="276" cm="1">
        <f t="array" ref="G47">Scope3_Equations.VEERG_15_1_1_1__1_EmissionsFromPurchasedLivestock(E47,F47,$E$39)</f>
        <v>0</v>
      </c>
      <c r="H47" s="25">
        <v>0</v>
      </c>
      <c r="I47" s="86"/>
      <c r="J47" s="276" cm="1">
        <f t="array" ref="J47">Scope3_Equations.VEERG_15_1_1_1__1_EmissionsFromPurchasedLivestock(E47,H47,IF(I47,I47,$E$39))</f>
        <v>0</v>
      </c>
      <c r="K47" s="44"/>
      <c r="L47" s="23"/>
      <c r="M47" s="44"/>
    </row>
    <row r="48" spans="1:13" ht="20.100000000000001" customHeight="1" x14ac:dyDescent="0.25">
      <c r="A48" s="5" t="str">
        <f>HYPERLINK("#'3.3.1.1-2 Enteric Methane'!A1", "3.3.1.1-2 Enteric Methane")</f>
        <v>3.3.1.1-2 Enteric Methane</v>
      </c>
      <c r="D48" s="25">
        <v>0</v>
      </c>
      <c r="E48" s="25">
        <v>0</v>
      </c>
      <c r="F48" s="25">
        <v>0</v>
      </c>
      <c r="G48" s="276" cm="1">
        <f t="array" ref="G48">Scope3_Equations.VEERG_15_1_1_1__1_EmissionsFromPurchasedLivestock(E48,F48,$E$39)</f>
        <v>0</v>
      </c>
      <c r="H48" s="25">
        <v>0</v>
      </c>
      <c r="I48" s="86"/>
      <c r="J48" s="276" cm="1">
        <f t="array" ref="J48">Scope3_Equations.VEERG_15_1_1_1__1_EmissionsFromPurchasedLivestock(E48,H48,IF(I48,I48,$E$39))</f>
        <v>0</v>
      </c>
      <c r="K48" s="44"/>
      <c r="L48" s="23"/>
      <c r="M48" s="44"/>
    </row>
    <row r="49" spans="1:13" ht="20.100000000000001" customHeight="1" x14ac:dyDescent="0.25">
      <c r="A49" s="5" t="str">
        <f>HYPERLINK("#'10.1.1-2 Solid waste treatment'!A1", "10.1.1-2 Solid waste treatment")</f>
        <v>10.1.1-2 Solid waste treatment</v>
      </c>
      <c r="D49" s="25">
        <v>0</v>
      </c>
      <c r="E49" s="25">
        <v>0</v>
      </c>
      <c r="F49" s="25">
        <v>0</v>
      </c>
      <c r="G49" s="276" cm="1">
        <f t="array" ref="G49">Scope3_Equations.VEERG_15_1_1_1__1_EmissionsFromPurchasedLivestock(E49,F49,$E$39)</f>
        <v>0</v>
      </c>
      <c r="H49" s="25">
        <v>0</v>
      </c>
      <c r="I49" s="86"/>
      <c r="J49" s="276" cm="1">
        <f t="array" ref="J49">Scope3_Equations.VEERG_15_1_1_1__1_EmissionsFromPurchasedLivestock(E49,H49,IF(I49,I49,$E$39))</f>
        <v>0</v>
      </c>
      <c r="K49" s="44"/>
      <c r="L49" s="23"/>
      <c r="M49" s="44"/>
    </row>
    <row r="50" spans="1:13" ht="20.100000000000001" customHeight="1" x14ac:dyDescent="0.25">
      <c r="A50"/>
      <c r="D50" s="25">
        <v>0</v>
      </c>
      <c r="E50" s="25">
        <v>0</v>
      </c>
      <c r="F50" s="25">
        <v>0</v>
      </c>
      <c r="G50" s="276" cm="1">
        <f t="array" ref="G50">Scope3_Equations.VEERG_15_1_1_1__1_EmissionsFromPurchasedLivestock(E50,F50,$E$39)</f>
        <v>0</v>
      </c>
      <c r="H50" s="25">
        <v>0</v>
      </c>
      <c r="I50" s="86"/>
      <c r="J50" s="276" cm="1">
        <f t="array" ref="J50">Scope3_Equations.VEERG_15_1_1_1__1_EmissionsFromPurchasedLivestock(E50,H50,IF(I50,I50,$E$39))</f>
        <v>0</v>
      </c>
      <c r="K50" s="44"/>
      <c r="L50" s="23"/>
      <c r="M50" s="44"/>
    </row>
    <row r="51" spans="1:13" ht="20.100000000000001" customHeight="1" x14ac:dyDescent="0.25">
      <c r="A51"/>
      <c r="D51" s="25">
        <v>0</v>
      </c>
      <c r="E51" s="25">
        <v>0</v>
      </c>
      <c r="F51" s="25">
        <v>0</v>
      </c>
      <c r="G51" s="276" cm="1">
        <f t="array" ref="G51">Scope3_Equations.VEERG_15_1_1_1__1_EmissionsFromPurchasedLivestock(E51,F51,$E$39)</f>
        <v>0</v>
      </c>
      <c r="H51" s="25">
        <v>0</v>
      </c>
      <c r="I51" s="86"/>
      <c r="J51" s="276" cm="1">
        <f t="array" ref="J51">Scope3_Equations.VEERG_15_1_1_1__1_EmissionsFromPurchasedLivestock(E51,H51,IF(I51,I51,$E$39))</f>
        <v>0</v>
      </c>
      <c r="K51" s="44"/>
      <c r="L51" s="23"/>
      <c r="M51" s="44"/>
    </row>
    <row r="52" spans="1:13" ht="20.100000000000001" customHeight="1" x14ac:dyDescent="0.25">
      <c r="A52" s="99" t="s">
        <v>1</v>
      </c>
    </row>
    <row r="53" spans="1:13" ht="20.100000000000001" customHeight="1" x14ac:dyDescent="0.25">
      <c r="A53" s="5" t="str">
        <f>HYPERLINK("#'Constants - Dairy'!A1", "Constants - Dairy")</f>
        <v>Constants - Dairy</v>
      </c>
      <c r="D53" s="140" t="s">
        <v>1155</v>
      </c>
      <c r="E53" s="100">
        <f>SUM(G42:G51)</f>
        <v>295.47000000000003</v>
      </c>
      <c r="F53" s="138" t="str">
        <f>$E$11</f>
        <v>t CO2e</v>
      </c>
    </row>
    <row r="54" spans="1:13" ht="20.100000000000001" customHeight="1" x14ac:dyDescent="0.25">
      <c r="A54" s="5" t="str">
        <f>HYPERLINK("#'Constants - Ag Residue'!A1", "Constants - Ag residue")</f>
        <v>Constants - Ag residue</v>
      </c>
      <c r="D54" s="140" t="s">
        <v>1156</v>
      </c>
      <c r="E54" s="100">
        <f>SUM(J42:J51)</f>
        <v>415.625</v>
      </c>
      <c r="F54" s="138"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59" t="s">
        <v>1157</v>
      </c>
    </row>
    <row r="58" spans="1:13" ht="20.100000000000001" customHeight="1" x14ac:dyDescent="0.25">
      <c r="A58" s="5" t="str">
        <f>HYPERLINK("#'Constants - Fuel'!A1", "Constants - Fuel")</f>
        <v>Constants - Fuel</v>
      </c>
      <c r="D58" s="118" t="s">
        <v>1154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1136</v>
      </c>
      <c r="E60" s="275" t="s">
        <v>1139</v>
      </c>
      <c r="F60" s="275" t="s">
        <v>1140</v>
      </c>
      <c r="G60" s="122" t="s">
        <v>1142</v>
      </c>
      <c r="H60" s="275" t="s">
        <v>1143</v>
      </c>
      <c r="I60" s="96" t="s">
        <v>1144</v>
      </c>
      <c r="J60" s="122" t="s">
        <v>1145</v>
      </c>
      <c r="K60" s="96" t="s">
        <v>1146</v>
      </c>
      <c r="L60" s="96" t="s">
        <v>1147</v>
      </c>
      <c r="M60" s="96" t="s">
        <v>1148</v>
      </c>
    </row>
    <row r="61" spans="1:13" ht="20.100000000000001" customHeight="1" x14ac:dyDescent="0.25">
      <c r="A61" s="5" t="str">
        <f>HYPERLINK("#'Acknowledgements'!A1", "Acknowledgements")</f>
        <v>Acknowledgements</v>
      </c>
      <c r="D61" s="25"/>
      <c r="E61" s="25"/>
      <c r="F61" s="25"/>
      <c r="G61" s="276" cm="1">
        <f t="array" ref="G61">Scope3_Equations.VEERG_15_1_1_1__1_EmissionsFromPurchasedLivestock(E61,F61,$E$58)</f>
        <v>0</v>
      </c>
      <c r="H61" s="25"/>
      <c r="I61" s="86">
        <v>3.38</v>
      </c>
      <c r="J61" s="276" cm="1">
        <f t="array" ref="J61">Scope3_Equations.VEERG_15_1_1_1__1_EmissionsFromPurchasedLivestock(E61,H61,IF(I61, I61,$E$58))</f>
        <v>0</v>
      </c>
      <c r="K61" s="44"/>
      <c r="L61" s="23"/>
      <c r="M61" s="258"/>
    </row>
    <row r="62" spans="1:13" ht="20.100000000000001" customHeight="1" x14ac:dyDescent="0.25">
      <c r="A62" s="5" t="str">
        <f>HYPERLINK("#'Constants - Solid Waste'!A1", "Constants - Solid Waste")</f>
        <v>Constants - Solid Waste</v>
      </c>
      <c r="D62" s="25"/>
      <c r="E62" s="25"/>
      <c r="F62" s="25"/>
      <c r="G62" s="276" cm="1">
        <f t="array" ref="G62">Scope3_Equations.VEERG_15_1_1_1__1_EmissionsFromPurchasedLivestock(E62,F62,$E$58)</f>
        <v>0</v>
      </c>
      <c r="H62" s="25"/>
      <c r="I62" s="86">
        <v>3.3</v>
      </c>
      <c r="J62" s="276" cm="1">
        <f t="array" ref="J62">Scope3_Equations.VEERG_15_1_1_1__1_EmissionsFromPurchasedLivestock(E62,H62,IF(I62, I62,$E$58))</f>
        <v>0</v>
      </c>
      <c r="K62" s="44"/>
      <c r="L62" s="23"/>
      <c r="M62" s="44"/>
    </row>
    <row r="63" spans="1:13" ht="20.100000000000001" customHeight="1" x14ac:dyDescent="0.25">
      <c r="A63"/>
      <c r="D63" s="25"/>
      <c r="E63" s="25"/>
      <c r="F63" s="25"/>
      <c r="G63" s="276" cm="1">
        <f t="array" ref="G63">Scope3_Equations.VEERG_15_1_1_1__1_EmissionsFromPurchasedLivestock(E63,F63,$E$58)</f>
        <v>0</v>
      </c>
      <c r="H63" s="25"/>
      <c r="I63" s="86"/>
      <c r="J63" s="276" cm="1">
        <f t="array" ref="J63">Scope3_Equations.VEERG_15_1_1_1__1_EmissionsFromPurchasedLivestock(E63,H63,IF(I63, I63,$E$58))</f>
        <v>0</v>
      </c>
      <c r="K63" s="44"/>
      <c r="L63" s="23"/>
      <c r="M63" s="44"/>
    </row>
    <row r="64" spans="1:13" ht="20.100000000000001" customHeight="1" x14ac:dyDescent="0.25">
      <c r="A64"/>
      <c r="D64" s="25"/>
      <c r="E64" s="25"/>
      <c r="F64" s="25"/>
      <c r="G64" s="276" cm="1">
        <f t="array" ref="G64">Scope3_Equations.VEERG_15_1_1_1__1_EmissionsFromPurchasedLivestock(E64,F64,$E$58)</f>
        <v>0</v>
      </c>
      <c r="H64" s="25"/>
      <c r="I64" s="86"/>
      <c r="J64" s="276" cm="1">
        <f t="array" ref="J64">Scope3_Equations.VEERG_15_1_1_1__1_EmissionsFromPurchasedLivestock(E64,H64,IF(I64, I64,$E$58))</f>
        <v>0</v>
      </c>
      <c r="K64" s="44"/>
      <c r="L64" s="23"/>
      <c r="M64" s="44"/>
    </row>
    <row r="65" spans="1:13" ht="20.100000000000001" customHeight="1" x14ac:dyDescent="0.25">
      <c r="A65"/>
      <c r="D65" s="25"/>
      <c r="E65" s="25"/>
      <c r="F65" s="25"/>
      <c r="G65" s="276" cm="1">
        <f t="array" ref="G65">Scope3_Equations.VEERG_15_1_1_1__1_EmissionsFromPurchasedLivestock(E65,F65,$E$58)</f>
        <v>0</v>
      </c>
      <c r="H65" s="25"/>
      <c r="I65" s="86"/>
      <c r="J65" s="276" cm="1">
        <f t="array" ref="J65">Scope3_Equations.VEERG_15_1_1_1__1_EmissionsFromPurchasedLivestock(E65,H65,IF(I65, I65,$E$58))</f>
        <v>0</v>
      </c>
      <c r="K65" s="44"/>
      <c r="L65" s="23"/>
      <c r="M65" s="44"/>
    </row>
    <row r="66" spans="1:13" ht="20.100000000000001" customHeight="1" x14ac:dyDescent="0.25">
      <c r="A66"/>
      <c r="D66" s="25"/>
      <c r="E66" s="25"/>
      <c r="F66" s="25"/>
      <c r="G66" s="276" cm="1">
        <f t="array" ref="G66">Scope3_Equations.VEERG_15_1_1_1__1_EmissionsFromPurchasedLivestock(E66,F66,$E$58)</f>
        <v>0</v>
      </c>
      <c r="H66" s="25"/>
      <c r="I66" s="86"/>
      <c r="J66" s="276" cm="1">
        <f t="array" ref="J66">Scope3_Equations.VEERG_15_1_1_1__1_EmissionsFromPurchasedLivestock(E66,H66,IF(I66, I66,$E$58))</f>
        <v>0</v>
      </c>
      <c r="K66" s="44"/>
      <c r="L66" s="23"/>
      <c r="M66" s="44"/>
    </row>
    <row r="67" spans="1:13" ht="20.100000000000001" customHeight="1" x14ac:dyDescent="0.25">
      <c r="A67"/>
      <c r="D67" s="25"/>
      <c r="E67" s="25"/>
      <c r="F67" s="25"/>
      <c r="G67" s="276" cm="1">
        <f t="array" ref="G67">Scope3_Equations.VEERG_15_1_1_1__1_EmissionsFromPurchasedLivestock(E67,F67,$E$58)</f>
        <v>0</v>
      </c>
      <c r="H67" s="25"/>
      <c r="I67" s="86"/>
      <c r="J67" s="276" cm="1">
        <f t="array" ref="J67">Scope3_Equations.VEERG_15_1_1_1__1_EmissionsFromPurchasedLivestock(E67,H67,IF(I67, I67,$E$58))</f>
        <v>0</v>
      </c>
      <c r="K67" s="44"/>
      <c r="L67" s="23"/>
      <c r="M67" s="44"/>
    </row>
    <row r="68" spans="1:13" ht="20.100000000000001" customHeight="1" x14ac:dyDescent="0.25">
      <c r="A68"/>
      <c r="D68" s="25"/>
      <c r="E68" s="25"/>
      <c r="F68" s="25"/>
      <c r="G68" s="276" cm="1">
        <f t="array" ref="G68">Scope3_Equations.VEERG_15_1_1_1__1_EmissionsFromPurchasedLivestock(E68,F68,$E$58)</f>
        <v>0</v>
      </c>
      <c r="H68" s="25"/>
      <c r="I68" s="86"/>
      <c r="J68" s="276" cm="1">
        <f t="array" ref="J68">Scope3_Equations.VEERG_15_1_1_1__1_EmissionsFromPurchasedLivestock(E68,H68,IF(I68, I68,$E$58))</f>
        <v>0</v>
      </c>
      <c r="K68" s="44"/>
      <c r="L68" s="23"/>
      <c r="M68" s="44"/>
    </row>
    <row r="69" spans="1:13" ht="20.100000000000001" customHeight="1" x14ac:dyDescent="0.25">
      <c r="A69"/>
      <c r="D69" s="25"/>
      <c r="E69" s="25"/>
      <c r="F69" s="25"/>
      <c r="G69" s="276" cm="1">
        <f t="array" ref="G69">Scope3_Equations.VEERG_15_1_1_1__1_EmissionsFromPurchasedLivestock(E69,F69,$E$58)</f>
        <v>0</v>
      </c>
      <c r="H69" s="25"/>
      <c r="I69" s="86"/>
      <c r="J69" s="276" cm="1">
        <f t="array" ref="J69">Scope3_Equations.VEERG_15_1_1_1__1_EmissionsFromPurchasedLivestock(E69,H69,IF(I69, I69,$E$58))</f>
        <v>0</v>
      </c>
      <c r="K69" s="44"/>
      <c r="L69" s="23"/>
      <c r="M69" s="44"/>
    </row>
    <row r="70" spans="1:13" ht="20.100000000000001" customHeight="1" x14ac:dyDescent="0.25">
      <c r="A70"/>
      <c r="D70" s="25"/>
      <c r="E70" s="25"/>
      <c r="F70" s="25"/>
      <c r="G70" s="276" cm="1">
        <f t="array" ref="G70">Scope3_Equations.VEERG_15_1_1_1__1_EmissionsFromPurchasedLivestock(E70,F70,$E$58)</f>
        <v>0</v>
      </c>
      <c r="H70" s="25"/>
      <c r="I70" s="86"/>
      <c r="J70" s="27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40" t="s">
        <v>1158</v>
      </c>
      <c r="E72" s="100">
        <f>SUM(G61:G70)</f>
        <v>0</v>
      </c>
      <c r="F72" s="138" t="str">
        <f>$E$11</f>
        <v>t CO2e</v>
      </c>
    </row>
    <row r="73" spans="1:13" ht="20.100000000000001" customHeight="1" x14ac:dyDescent="0.25">
      <c r="A73"/>
      <c r="D73" s="140" t="s">
        <v>1159</v>
      </c>
      <c r="E73" s="100">
        <f>SUM(J61:J70)</f>
        <v>0</v>
      </c>
      <c r="F73" s="138" t="str">
        <f>$E$11</f>
        <v>t CO2e</v>
      </c>
    </row>
    <row r="74" spans="1:13" ht="20.100000000000001" customHeight="1" x14ac:dyDescent="0.25">
      <c r="A74"/>
    </row>
    <row r="75" spans="1:13" ht="20.100000000000001" customHeight="1" x14ac:dyDescent="0.25">
      <c r="A75"/>
      <c r="D75" s="259" t="s">
        <v>1160</v>
      </c>
    </row>
    <row r="76" spans="1:13" ht="20.100000000000001" customHeight="1" x14ac:dyDescent="0.25">
      <c r="A76"/>
      <c r="D76" s="118" t="s">
        <v>1154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1136</v>
      </c>
      <c r="E78" s="275" t="s">
        <v>1139</v>
      </c>
      <c r="F78" s="275" t="s">
        <v>1140</v>
      </c>
      <c r="G78" s="122" t="s">
        <v>1142</v>
      </c>
      <c r="H78" s="275" t="s">
        <v>1143</v>
      </c>
      <c r="I78" s="96" t="s">
        <v>1144</v>
      </c>
      <c r="J78" s="122" t="s">
        <v>1145</v>
      </c>
      <c r="K78" s="96" t="s">
        <v>1146</v>
      </c>
      <c r="L78" s="96" t="s">
        <v>1147</v>
      </c>
      <c r="M78" s="96" t="s">
        <v>1148</v>
      </c>
    </row>
    <row r="79" spans="1:13" ht="20.100000000000001" customHeight="1" x14ac:dyDescent="0.25">
      <c r="A79"/>
      <c r="D79" s="25"/>
      <c r="E79" s="25"/>
      <c r="F79" s="25"/>
      <c r="G79" s="276" cm="1">
        <f t="array" ref="G79">Scope3_Equations.VEERG_15_1_1_1__1_EmissionsFromPurchasedLivestock(E79,F79,$E$76)</f>
        <v>0</v>
      </c>
      <c r="H79" s="25"/>
      <c r="I79" s="86">
        <v>1.3</v>
      </c>
      <c r="J79" s="276" cm="1">
        <f t="array" ref="J79">Scope3_Equations.VEERG_15_1_1_1__1_EmissionsFromPurchasedLivestock(E79,H79,IF(I79, I79,$E$76))</f>
        <v>0</v>
      </c>
      <c r="K79" s="44"/>
      <c r="L79" s="23"/>
      <c r="M79" s="258"/>
    </row>
    <row r="80" spans="1:13" ht="20.100000000000001" customHeight="1" x14ac:dyDescent="0.25">
      <c r="A80"/>
      <c r="D80" s="25"/>
      <c r="E80" s="25"/>
      <c r="F80" s="25"/>
      <c r="G80" s="276" cm="1">
        <f t="array" ref="G80">Scope3_Equations.VEERG_15_1_1_1__1_EmissionsFromPurchasedLivestock(E80,F80,$E$76)</f>
        <v>0</v>
      </c>
      <c r="H80" s="25"/>
      <c r="I80" s="86"/>
      <c r="J80" s="276" cm="1">
        <f t="array" ref="J80">Scope3_Equations.VEERG_15_1_1_1__1_EmissionsFromPurchasedLivestock(E80,H80,IF(I80, I80,$E$76))</f>
        <v>0</v>
      </c>
      <c r="K80" s="44"/>
      <c r="L80" s="23"/>
      <c r="M80" s="44"/>
    </row>
    <row r="81" spans="1:13" ht="20.100000000000001" customHeight="1" x14ac:dyDescent="0.25">
      <c r="A81"/>
      <c r="D81" s="25"/>
      <c r="E81" s="25"/>
      <c r="F81" s="25"/>
      <c r="G81" s="276" cm="1">
        <f t="array" ref="G81">Scope3_Equations.VEERG_15_1_1_1__1_EmissionsFromPurchasedLivestock(E81,F81,$E$76)</f>
        <v>0</v>
      </c>
      <c r="H81" s="25"/>
      <c r="I81" s="86"/>
      <c r="J81" s="276" cm="1">
        <f t="array" ref="J81">Scope3_Equations.VEERG_15_1_1_1__1_EmissionsFromPurchasedLivestock(E81,H81,IF(I81, I81,$E$76))</f>
        <v>0</v>
      </c>
      <c r="K81" s="44"/>
      <c r="L81" s="23"/>
      <c r="M81" s="44"/>
    </row>
    <row r="82" spans="1:13" ht="20.100000000000001" customHeight="1" x14ac:dyDescent="0.25">
      <c r="A82"/>
      <c r="D82" s="25"/>
      <c r="E82" s="25"/>
      <c r="F82" s="25"/>
      <c r="G82" s="276" cm="1">
        <f t="array" ref="G82">Scope3_Equations.VEERG_15_1_1_1__1_EmissionsFromPurchasedLivestock(E82,F82,$E$76)</f>
        <v>0</v>
      </c>
      <c r="H82" s="25"/>
      <c r="I82" s="86"/>
      <c r="J82" s="276" cm="1">
        <f t="array" ref="J82">Scope3_Equations.VEERG_15_1_1_1__1_EmissionsFromPurchasedLivestock(E82,H82,IF(I82, I82,$E$76))</f>
        <v>0</v>
      </c>
      <c r="K82" s="44"/>
      <c r="L82" s="23"/>
      <c r="M82" s="44"/>
    </row>
    <row r="83" spans="1:13" ht="20.100000000000001" customHeight="1" x14ac:dyDescent="0.25">
      <c r="A83"/>
      <c r="D83" s="25"/>
      <c r="E83" s="25"/>
      <c r="F83" s="25"/>
      <c r="G83" s="276" cm="1">
        <f t="array" ref="G83">Scope3_Equations.VEERG_15_1_1_1__1_EmissionsFromPurchasedLivestock(E83,F83,$E$76)</f>
        <v>0</v>
      </c>
      <c r="H83" s="25"/>
      <c r="I83" s="86"/>
      <c r="J83" s="276" cm="1">
        <f t="array" ref="J83">Scope3_Equations.VEERG_15_1_1_1__1_EmissionsFromPurchasedLivestock(E83,H83,IF(I83, I83,$E$76))</f>
        <v>0</v>
      </c>
      <c r="K83" s="44"/>
      <c r="L83" s="23"/>
      <c r="M83" s="44"/>
    </row>
    <row r="84" spans="1:13" ht="20.100000000000001" customHeight="1" x14ac:dyDescent="0.25">
      <c r="A84"/>
      <c r="D84" s="25"/>
      <c r="E84" s="25"/>
      <c r="F84" s="25"/>
      <c r="G84" s="276" cm="1">
        <f t="array" ref="G84">Scope3_Equations.VEERG_15_1_1_1__1_EmissionsFromPurchasedLivestock(E84,F84,$E$76)</f>
        <v>0</v>
      </c>
      <c r="H84" s="25"/>
      <c r="I84" s="86"/>
      <c r="J84" s="276" cm="1">
        <f t="array" ref="J84">Scope3_Equations.VEERG_15_1_1_1__1_EmissionsFromPurchasedLivestock(E84,H84,IF(I84, I84,$E$76))</f>
        <v>0</v>
      </c>
      <c r="K84" s="44"/>
      <c r="L84" s="23"/>
      <c r="M84" s="44"/>
    </row>
    <row r="85" spans="1:13" ht="20.100000000000001" customHeight="1" x14ac:dyDescent="0.25">
      <c r="A85"/>
      <c r="D85" s="25"/>
      <c r="E85" s="25"/>
      <c r="F85" s="25"/>
      <c r="G85" s="276" cm="1">
        <f t="array" ref="G85">Scope3_Equations.VEERG_15_1_1_1__1_EmissionsFromPurchasedLivestock(E85,F85,$E$76)</f>
        <v>0</v>
      </c>
      <c r="H85" s="25"/>
      <c r="I85" s="86"/>
      <c r="J85" s="276" cm="1">
        <f t="array" ref="J85">Scope3_Equations.VEERG_15_1_1_1__1_EmissionsFromPurchasedLivestock(E85,H85,IF(I85, I85,$E$76))</f>
        <v>0</v>
      </c>
      <c r="K85" s="44"/>
      <c r="L85" s="23"/>
      <c r="M85" s="44"/>
    </row>
    <row r="86" spans="1:13" ht="20.100000000000001" customHeight="1" x14ac:dyDescent="0.25">
      <c r="A86"/>
      <c r="D86" s="25"/>
      <c r="E86" s="25"/>
      <c r="F86" s="25"/>
      <c r="G86" s="276" cm="1">
        <f t="array" ref="G86">Scope3_Equations.VEERG_15_1_1_1__1_EmissionsFromPurchasedLivestock(E86,F86,$E$76)</f>
        <v>0</v>
      </c>
      <c r="H86" s="25"/>
      <c r="I86" s="86"/>
      <c r="J86" s="276" cm="1">
        <f t="array" ref="J86">Scope3_Equations.VEERG_15_1_1_1__1_EmissionsFromPurchasedLivestock(E86,H86,IF(I86, I86,$E$76))</f>
        <v>0</v>
      </c>
      <c r="K86" s="44"/>
      <c r="L86" s="23"/>
      <c r="M86" s="44"/>
    </row>
    <row r="87" spans="1:13" ht="20.100000000000001" customHeight="1" x14ac:dyDescent="0.25">
      <c r="A87"/>
      <c r="D87" s="25"/>
      <c r="E87" s="25"/>
      <c r="F87" s="25"/>
      <c r="G87" s="276" cm="1">
        <f t="array" ref="G87">Scope3_Equations.VEERG_15_1_1_1__1_EmissionsFromPurchasedLivestock(E87,F87,$E$76)</f>
        <v>0</v>
      </c>
      <c r="H87" s="25"/>
      <c r="I87" s="86"/>
      <c r="J87" s="276" cm="1">
        <f t="array" ref="J87">Scope3_Equations.VEERG_15_1_1_1__1_EmissionsFromPurchasedLivestock(E87,H87,IF(I87, I87,$E$76))</f>
        <v>0</v>
      </c>
      <c r="K87" s="44"/>
      <c r="L87" s="23"/>
      <c r="M87" s="44"/>
    </row>
    <row r="88" spans="1:13" ht="20.100000000000001" customHeight="1" x14ac:dyDescent="0.25">
      <c r="A88"/>
      <c r="D88" s="25"/>
      <c r="E88" s="25"/>
      <c r="F88" s="25"/>
      <c r="G88" s="276" cm="1">
        <f t="array" ref="G88">Scope3_Equations.VEERG_15_1_1_1__1_EmissionsFromPurchasedLivestock(E88,F88,$E$76)</f>
        <v>0</v>
      </c>
      <c r="H88" s="25"/>
      <c r="I88" s="86"/>
      <c r="J88" s="27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40" t="s">
        <v>1161</v>
      </c>
      <c r="E90" s="100">
        <f>SUM(G79:G88)</f>
        <v>0</v>
      </c>
      <c r="F90" s="138" t="str">
        <f>$E$11</f>
        <v>t CO2e</v>
      </c>
    </row>
    <row r="91" spans="1:13" ht="20.100000000000001" customHeight="1" x14ac:dyDescent="0.25">
      <c r="A91"/>
      <c r="D91" s="140" t="s">
        <v>1162</v>
      </c>
      <c r="E91" s="100">
        <f>SUM(J79:J88)</f>
        <v>0</v>
      </c>
      <c r="F91" s="138" t="str">
        <f>$E$11</f>
        <v>t CO2e</v>
      </c>
    </row>
    <row r="92" spans="1:13" ht="20.100000000000001" customHeight="1" x14ac:dyDescent="0.25">
      <c r="A92"/>
    </row>
    <row r="93" spans="1:13" ht="20.100000000000001" customHeight="1" x14ac:dyDescent="0.25">
      <c r="A93"/>
      <c r="D93" s="133" t="s">
        <v>1142</v>
      </c>
      <c r="E93" s="134">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5" t="str">
        <f>$E$11</f>
        <v>t CO2e</v>
      </c>
    </row>
    <row r="94" spans="1:13" ht="20.100000000000001" customHeight="1" x14ac:dyDescent="0.25">
      <c r="A94"/>
      <c r="D94" s="133" t="s">
        <v>1145</v>
      </c>
      <c r="E94" s="134">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5"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6" t="s">
        <v>257</v>
      </c>
      <c r="E100" s="116"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6"/>
    </row>
    <row r="103" spans="1:41" ht="20.100000000000001" customHeight="1" x14ac:dyDescent="0.25">
      <c r="A103"/>
      <c r="D103" s="88" t="s">
        <v>258</v>
      </c>
      <c r="E103" s="1" t="str" cm="1">
        <f t="array" ref="E103">Scope3_Equations.VEERG_15_2_1_1__1_EmissionsFromPurchasedFeed_Variable()</f>
        <v>E</v>
      </c>
    </row>
    <row r="104" spans="1:41" ht="20.100000000000001" customHeight="1" x14ac:dyDescent="0.25">
      <c r="A104"/>
      <c r="D104" s="88" t="s">
        <v>127</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18" t="str" cm="1">
        <f t="array" ref="D106:E108">_xlfn.CHOOSECOLS(Scope3_Equations.VEERG_15_2_1_1__1_EmissionsFromPurchasedFeed_Arguments(),1,2)</f>
        <v>Q_j</v>
      </c>
      <c r="E106" s="123" t="str">
        <v>quantity of feed type j purchased</v>
      </c>
      <c r="F106" s="124"/>
      <c r="G106" s="118" t="str" cm="1">
        <f t="array" ref="G106:H108">_xlfn.CHOOSECOLS(Scope3_Equations.VEERG_15_2_1_1__1_EmissionsFromPurchasedFeed_Arguments(),3,4)</f>
        <v>t</v>
      </c>
      <c r="H106" s="274" t="str">
        <v>Input</v>
      </c>
    </row>
    <row r="107" spans="1:41" ht="20.100000000000001" customHeight="1" x14ac:dyDescent="0.25">
      <c r="A107"/>
      <c r="D107" s="118" t="str">
        <v>EF_j</v>
      </c>
      <c r="E107" s="123" t="str">
        <v>emission factor of purchased feed</v>
      </c>
      <c r="F107" s="124"/>
      <c r="G107" s="118" t="str">
        <v>kg CO2e/kg</v>
      </c>
      <c r="H107" s="274" t="str">
        <v>Constant</v>
      </c>
    </row>
    <row r="108" spans="1:41" ht="20.100000000000001" customHeight="1" x14ac:dyDescent="0.25">
      <c r="A108"/>
      <c r="D108" s="118" t="str">
        <v>j</v>
      </c>
      <c r="E108" s="123" t="str">
        <v>feed type</v>
      </c>
      <c r="F108" s="124"/>
      <c r="G108" s="118" t="str">
        <v/>
      </c>
      <c r="H108" s="126" t="str">
        <v>Input</v>
      </c>
    </row>
    <row r="109" spans="1:41" ht="20.100000000000001" customHeight="1" x14ac:dyDescent="0.25">
      <c r="A109"/>
    </row>
    <row r="110" spans="1:41" ht="20.100000000000001" customHeight="1" x14ac:dyDescent="0.25">
      <c r="A110"/>
      <c r="D110" s="259" t="s">
        <v>1163</v>
      </c>
    </row>
    <row r="111" spans="1:41" ht="20.100000000000001" customHeight="1" x14ac:dyDescent="0.25">
      <c r="A111"/>
    </row>
    <row r="112" spans="1:41" ht="20.100000000000001" customHeight="1" x14ac:dyDescent="0.25">
      <c r="A112"/>
      <c r="D112" s="143" t="s">
        <v>1164</v>
      </c>
      <c r="E112" s="55"/>
      <c r="F112" s="143"/>
      <c r="G112" s="54"/>
      <c r="H112" s="55"/>
    </row>
    <row r="113" spans="1:28" ht="20.100000000000001" customHeight="1" x14ac:dyDescent="0.25">
      <c r="A113"/>
      <c r="D113" s="174" t="s">
        <v>1165</v>
      </c>
      <c r="E113" s="176"/>
      <c r="F113" s="174"/>
      <c r="G113" s="175"/>
      <c r="H113" s="176"/>
    </row>
    <row r="114" spans="1:28" ht="20.100000000000001" customHeight="1" x14ac:dyDescent="0.25">
      <c r="A114"/>
      <c r="D114" s="56" t="s">
        <v>1166</v>
      </c>
      <c r="E114" s="58"/>
      <c r="F114" s="56"/>
      <c r="G114" s="57"/>
      <c r="H114" s="58"/>
    </row>
    <row r="115" spans="1:28" ht="20.100000000000001" customHeight="1" x14ac:dyDescent="0.25">
      <c r="A115"/>
    </row>
    <row r="116" spans="1:28" ht="20.100000000000001" customHeight="1" x14ac:dyDescent="0.25">
      <c r="A116"/>
      <c r="D116" s="46" t="s">
        <v>1167</v>
      </c>
      <c r="E116" s="48"/>
      <c r="F116" s="49"/>
    </row>
    <row r="117" spans="1:28" ht="20.100000000000001" customHeight="1" x14ac:dyDescent="0.25">
      <c r="A117"/>
    </row>
    <row r="118" spans="1:28" ht="20.100000000000001" customHeight="1" x14ac:dyDescent="0.25">
      <c r="A118"/>
      <c r="D118" s="96" t="s">
        <v>1168</v>
      </c>
      <c r="E118" s="96" t="s">
        <v>1169</v>
      </c>
      <c r="F118" s="122" t="s">
        <v>1170</v>
      </c>
      <c r="G118" s="122" t="s">
        <v>1142</v>
      </c>
      <c r="H118" s="96" t="s">
        <v>1171</v>
      </c>
      <c r="I118" s="122" t="s">
        <v>1145</v>
      </c>
      <c r="J118" s="96" t="s">
        <v>1146</v>
      </c>
      <c r="K118" s="96" t="s">
        <v>1147</v>
      </c>
      <c r="L118" s="96" t="s">
        <v>1148</v>
      </c>
      <c r="M118" s="122" t="s">
        <v>555</v>
      </c>
      <c r="N118" s="122" t="s">
        <v>1172</v>
      </c>
      <c r="O118" s="122" t="s">
        <v>556</v>
      </c>
      <c r="P118" s="122" t="s">
        <v>1173</v>
      </c>
      <c r="Q118" s="122" t="s">
        <v>557</v>
      </c>
      <c r="R118" s="122" t="s">
        <v>1174</v>
      </c>
      <c r="S118" s="122" t="s">
        <v>558</v>
      </c>
      <c r="T118" s="122" t="s">
        <v>1175</v>
      </c>
      <c r="U118" s="122" t="s">
        <v>559</v>
      </c>
      <c r="V118" s="122" t="s">
        <v>1176</v>
      </c>
      <c r="W118" s="122" t="s">
        <v>560</v>
      </c>
      <c r="X118" s="122" t="s">
        <v>1177</v>
      </c>
      <c r="Y118" s="122" t="s">
        <v>561</v>
      </c>
      <c r="Z118" s="122" t="s">
        <v>1178</v>
      </c>
      <c r="AA118" s="122" t="s">
        <v>562</v>
      </c>
      <c r="AB118" s="122" t="s">
        <v>1179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76" cm="1">
        <f t="array" ref="G119">Scope3_Equations.VEERG_15_2_1_1__1_EmissionsFromPurchasedFeed(E119,F119)</f>
        <v>29.651999999999994</v>
      </c>
      <c r="H119" s="86">
        <v>0.04</v>
      </c>
      <c r="I119" s="276" cm="1">
        <f t="array" ref="I119">Scope3_Equations.VEERG_15_2_1_1__1_EmissionsFromPurchasedFeed(E119,IF(H119,H119, F119))</f>
        <v>48</v>
      </c>
      <c r="J119" s="44"/>
      <c r="K119" s="23"/>
      <c r="L119" s="25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76" cm="1">
        <f t="array" ref="G120">Scope3_Equations.VEERG_15_2_1_1__1_EmissionsFromPurchasedFeed(E120,F120)</f>
        <v>0</v>
      </c>
      <c r="H120" s="86">
        <v>0.03</v>
      </c>
      <c r="I120" s="27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76" cm="1">
        <f t="array" ref="G121">Scope3_Equations.VEERG_15_2_1_1__1_EmissionsFromPurchasedFeed(E121,F121)</f>
        <v>0</v>
      </c>
      <c r="H121" s="86">
        <v>0.14000000000000001</v>
      </c>
      <c r="I121" s="27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76" cm="1">
        <f t="array" ref="G122">Scope3_Equations.VEERG_15_2_1_1__1_EmissionsFromPurchasedFeed(E122,F122)</f>
        <v>172.5</v>
      </c>
      <c r="H122" s="86"/>
      <c r="I122" s="27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76" cm="1">
        <f t="array" ref="G123">Scope3_Equations.VEERG_15_2_1_1__1_EmissionsFromPurchasedFeed(E123,F123)</f>
        <v>0</v>
      </c>
      <c r="H123" s="86"/>
      <c r="I123" s="27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76" cm="1">
        <f t="array" ref="G124">Scope3_Equations.VEERG_15_2_1_1__1_EmissionsFromPurchasedFeed(E124,F124)</f>
        <v>0</v>
      </c>
      <c r="H124" s="86"/>
      <c r="I124" s="27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76" cm="1">
        <f t="array" ref="G125">Scope3_Equations.VEERG_15_2_1_1__1_EmissionsFromPurchasedFeed(E125,F125)</f>
        <v>0</v>
      </c>
      <c r="H125" s="86"/>
      <c r="I125" s="27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76" cm="1">
        <f t="array" ref="G126">Scope3_Equations.VEERG_15_2_1_1__1_EmissionsFromPurchasedFeed(E126,F126)</f>
        <v>0</v>
      </c>
      <c r="H126" s="86"/>
      <c r="I126" s="27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76" cm="1">
        <f t="array" ref="G127">Scope3_Equations.VEERG_15_2_1_1__1_EmissionsFromPurchasedFeed(E127,F127)</f>
        <v>0</v>
      </c>
      <c r="H127" s="86"/>
      <c r="I127" s="27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76" cm="1">
        <f t="array" ref="G128">Scope3_Equations.VEERG_15_2_1_1__1_EmissionsFromPurchasedFeed(E128,F128)</f>
        <v>0</v>
      </c>
      <c r="H128" s="86"/>
      <c r="I128" s="27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40" t="s">
        <v>1142</v>
      </c>
      <c r="E130" s="100">
        <f>SUM(G119:G128)</f>
        <v>202.15199999999999</v>
      </c>
      <c r="F130" s="138" t="str">
        <f>$E$104</f>
        <v>t CO2e</v>
      </c>
    </row>
    <row r="131" spans="1:12" ht="20.100000000000001" customHeight="1" x14ac:dyDescent="0.25">
      <c r="A131"/>
      <c r="D131" s="140" t="s">
        <v>1145</v>
      </c>
      <c r="E131" s="100">
        <f>SUM(I119:I128)</f>
        <v>366.18</v>
      </c>
      <c r="F131" s="138"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9" t="s">
        <v>1059</v>
      </c>
    </row>
    <row r="135" spans="1:12" ht="20.100000000000001" customHeight="1" x14ac:dyDescent="0.25">
      <c r="A135"/>
      <c r="D135" s="96" t="s">
        <v>148</v>
      </c>
      <c r="E135" s="96" t="s">
        <v>1169</v>
      </c>
      <c r="F135" s="122" t="s">
        <v>1170</v>
      </c>
      <c r="G135" s="122" t="s">
        <v>1142</v>
      </c>
      <c r="H135" s="96" t="s">
        <v>1171</v>
      </c>
      <c r="I135" s="122" t="s">
        <v>1145</v>
      </c>
      <c r="J135" s="96" t="s">
        <v>1146</v>
      </c>
      <c r="K135" s="96" t="s">
        <v>1147</v>
      </c>
      <c r="L135" s="96" t="s">
        <v>1148</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6" cm="1">
        <f t="array" ref="G136">Scope3_Equations.VEERG_15_2_1_1__1_EmissionsFromPurchasedFeed(E136,F136)</f>
        <v>59.4</v>
      </c>
      <c r="H136" s="86">
        <v>0.5</v>
      </c>
      <c r="I136" s="276" cm="1">
        <f t="array" ref="I136">Scope3_Equations.VEERG_15_2_1_1__1_EmissionsFromPurchasedFeed(E136,IF(H136,H136, F136))</f>
        <v>50</v>
      </c>
      <c r="J136" s="44"/>
      <c r="K136" s="23"/>
      <c r="L136" s="25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6" cm="1">
        <f t="array" ref="G137">Scope3_Equations.VEERG_15_2_1_1__1_EmissionsFromPurchasedFeed(E137,F137)</f>
        <v>41.9</v>
      </c>
      <c r="H137" s="86">
        <v>0.4</v>
      </c>
      <c r="I137" s="276"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6" cm="1">
        <f t="array" ref="G138">Scope3_Equations.VEERG_15_2_1_1__1_EmissionsFromPurchasedFeed(E138,F138)</f>
        <v>33.300000000000004</v>
      </c>
      <c r="H138" s="86">
        <v>0</v>
      </c>
      <c r="I138" s="276"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6" cm="1">
        <f t="array" ref="G139">Scope3_Equations.VEERG_15_2_1_1__1_EmissionsFromPurchasedFeed(E139,F139)</f>
        <v>40.300000000000004</v>
      </c>
      <c r="H139" s="86">
        <v>0</v>
      </c>
      <c r="I139" s="27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40" t="s">
        <v>1142</v>
      </c>
      <c r="E141" s="100">
        <f>SUM(G136:G139)</f>
        <v>174.9</v>
      </c>
      <c r="F141" s="138" t="str">
        <f>$E$104</f>
        <v>t CO2e</v>
      </c>
    </row>
    <row r="142" spans="1:12" ht="20.100000000000001" customHeight="1" x14ac:dyDescent="0.25">
      <c r="A142"/>
      <c r="D142" s="140" t="s">
        <v>1145</v>
      </c>
      <c r="E142" s="100">
        <f>SUM(I136:I139)</f>
        <v>163.60000000000002</v>
      </c>
      <c r="F142" s="138" t="str">
        <f>$E$104</f>
        <v>t CO2e</v>
      </c>
    </row>
    <row r="143" spans="1:12" ht="20.100000000000001" customHeight="1" x14ac:dyDescent="0.25">
      <c r="A143"/>
    </row>
    <row r="144" spans="1:12" ht="20.100000000000001" customHeight="1" x14ac:dyDescent="0.25">
      <c r="A144"/>
      <c r="D144" s="133" t="s">
        <v>1142</v>
      </c>
      <c r="E144" s="134">
        <f>E130+E141</f>
        <v>377.05200000000002</v>
      </c>
      <c r="F144" s="135" t="str">
        <f>$E$104</f>
        <v>t CO2e</v>
      </c>
    </row>
    <row r="145" spans="1:41" ht="20.100000000000001" customHeight="1" x14ac:dyDescent="0.25">
      <c r="A145"/>
      <c r="D145" s="133" t="s">
        <v>1145</v>
      </c>
      <c r="E145" s="134">
        <f>E131+E142</f>
        <v>529.78</v>
      </c>
      <c r="F145" s="135"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6" t="s">
        <v>257</v>
      </c>
      <c r="E151" s="116"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6"/>
    </row>
    <row r="154" spans="1:41" ht="20.100000000000001" customHeight="1" x14ac:dyDescent="0.25">
      <c r="A154"/>
      <c r="D154" s="88" t="s">
        <v>258</v>
      </c>
      <c r="E154" s="1" t="str" cm="1">
        <f t="array" ref="E154">Scope3_Equations.VEERG_15_3_1_1__1_EmissionsFromPurchasedMineralSupplements_Variable()</f>
        <v>E</v>
      </c>
    </row>
    <row r="155" spans="1:41" ht="20.100000000000001" customHeight="1" x14ac:dyDescent="0.25">
      <c r="A155"/>
      <c r="D155" s="88" t="s">
        <v>127</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18" t="str" cm="1">
        <f t="array" ref="D157:E159">_xlfn.CHOOSECOLS(Scope3_Equations.VEERG_15_3_1_1__1_EmissionsFromPurchasedMineralSupplements_Arguments(),1,2)</f>
        <v>Q_m</v>
      </c>
      <c r="E157" s="123" t="str">
        <v>total quantity of mineral supplement type m used</v>
      </c>
      <c r="F157" s="124"/>
      <c r="G157" s="118" t="str" cm="1">
        <f t="array" ref="G157:H159">_xlfn.CHOOSECOLS(Scope3_Equations.VEERG_15_3_1_1__1_EmissionsFromPurchasedMineralSupplements_Arguments(),3,4)</f>
        <v>t</v>
      </c>
      <c r="H157" s="274" t="str">
        <v>Input</v>
      </c>
    </row>
    <row r="158" spans="1:41" ht="20.100000000000001" customHeight="1" x14ac:dyDescent="0.25">
      <c r="A158"/>
      <c r="D158" s="118" t="str">
        <v>EF_m</v>
      </c>
      <c r="E158" s="123" t="str">
        <v>emission factor of purchased mineral supplement</v>
      </c>
      <c r="F158" s="124"/>
      <c r="G158" s="118" t="str">
        <v>kg CO2e/kg</v>
      </c>
      <c r="H158" s="274" t="str">
        <v>Constant</v>
      </c>
    </row>
    <row r="159" spans="1:41" ht="20.100000000000001" customHeight="1" x14ac:dyDescent="0.25">
      <c r="A159"/>
      <c r="D159" s="118" t="str">
        <v>m</v>
      </c>
      <c r="E159" s="123" t="str">
        <v>mineral supplement type</v>
      </c>
      <c r="F159" s="124"/>
      <c r="G159" s="118" t="str">
        <v/>
      </c>
      <c r="H159" s="126" t="str">
        <v>Input</v>
      </c>
    </row>
    <row r="160" spans="1:41" ht="20.100000000000001" customHeight="1" x14ac:dyDescent="0.25">
      <c r="A160"/>
    </row>
    <row r="161" spans="3:41" ht="20.100000000000001" customHeight="1" x14ac:dyDescent="0.25">
      <c r="D161" s="96" t="s">
        <v>148</v>
      </c>
      <c r="E161" s="96" t="s">
        <v>1180</v>
      </c>
      <c r="F161" s="122" t="s">
        <v>1181</v>
      </c>
      <c r="G161" s="122" t="s">
        <v>1142</v>
      </c>
      <c r="H161" s="96" t="s">
        <v>1182</v>
      </c>
      <c r="I161" s="122" t="s">
        <v>1145</v>
      </c>
      <c r="J161" s="96" t="s">
        <v>1146</v>
      </c>
      <c r="K161" s="96" t="s">
        <v>1147</v>
      </c>
      <c r="L161" s="96" t="s">
        <v>1148</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6" cm="1">
        <f t="array" ref="G162">Scope3_Equations.VEERG_15_3_1_1__1_EmissionsFromPurchasedMineralSupplements(E162,F162)</f>
        <v>88.1</v>
      </c>
      <c r="H162" s="86">
        <v>0.8</v>
      </c>
      <c r="I162" s="276" cm="1">
        <f t="array" ref="I162">Scope3_Equations.VEERG_15_3_1_1__1_EmissionsFromPurchasedMineralSupplements(E162,IF(H162, H162, F162))</f>
        <v>80</v>
      </c>
      <c r="J162" s="44"/>
      <c r="K162" s="23"/>
      <c r="L162" s="25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6" cm="1">
        <f t="array" ref="G163">Scope3_Equations.VEERG_15_3_1_1__1_EmissionsFromPurchasedMineralSupplements(E163,F163)</f>
        <v>67.7</v>
      </c>
      <c r="H163" s="86">
        <v>0.6</v>
      </c>
      <c r="I163" s="276"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6" cm="1">
        <f t="array" ref="G164">Scope3_Equations.VEERG_15_3_1_1__1_EmissionsFromPurchasedMineralSupplements(E164,F164)</f>
        <v>23.1</v>
      </c>
      <c r="H164" s="86">
        <v>0.2</v>
      </c>
      <c r="I164" s="27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33" t="s">
        <v>1142</v>
      </c>
      <c r="E166" s="134">
        <f>SUM(G162:G164)</f>
        <v>178.9</v>
      </c>
      <c r="F166" s="135" t="str">
        <f>$E$155</f>
        <v>t CO2e</v>
      </c>
    </row>
    <row r="167" spans="3:41" ht="20.100000000000001" customHeight="1" x14ac:dyDescent="0.25">
      <c r="D167" s="133" t="s">
        <v>1145</v>
      </c>
      <c r="E167" s="134">
        <f>SUM(I162:I164)</f>
        <v>160</v>
      </c>
      <c r="F167" s="135"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6" t="s">
        <v>257</v>
      </c>
      <c r="E174" s="11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258</v>
      </c>
      <c r="E177" s="1" t="str" cm="1">
        <f t="array" ref="E177">Scope3_Equations.VEERG_15_4_1_1__X_EmissionFactorFromPurchasedFertiliserComponents_Variable()</f>
        <v>EF_f</v>
      </c>
    </row>
    <row r="178" spans="4:8" ht="20.100000000000001" customHeight="1" x14ac:dyDescent="0.25">
      <c r="D178" s="88" t="s">
        <v>127</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18" t="str" cm="1">
        <f t="array" ref="D180:E183">_xlfn.CHOOSECOLS(Scope3_Equations.VEERG_15_4_1_1__X_EmissionFactorFromPurchasedFertiliserComponents_Arguments(),1,2)</f>
        <v>F_cf</v>
      </c>
      <c r="E180" s="123" t="str">
        <v>fraction of component c contained within the inorganic fertiliser f</v>
      </c>
      <c r="F180" s="124"/>
      <c r="G180" s="118" t="str" cm="1">
        <f t="array" ref="G180:H183">_xlfn.CHOOSECOLS(Scope3_Equations.VEERG_15_4_1_1__X_EmissionFactorFromPurchasedFertiliserComponents_Arguments(),3,4)</f>
        <v>wt%</v>
      </c>
      <c r="H180" s="274" t="str">
        <v>Input</v>
      </c>
    </row>
    <row r="181" spans="4:8" ht="20.100000000000001" customHeight="1" x14ac:dyDescent="0.25">
      <c r="D181" s="118" t="str">
        <v>EF_c</v>
      </c>
      <c r="E181" s="123" t="str">
        <v>emission factor for the production of component c</v>
      </c>
      <c r="F181" s="124"/>
      <c r="G181" s="118" t="str">
        <v>kg CO2e/kg component</v>
      </c>
      <c r="H181" s="126" t="str">
        <v>Constant</v>
      </c>
    </row>
    <row r="182" spans="4:8" ht="20.100000000000001" customHeight="1" x14ac:dyDescent="0.25">
      <c r="D182" s="118" t="str">
        <v>c</v>
      </c>
      <c r="E182" s="123" t="str">
        <v>fertiliser component</v>
      </c>
      <c r="F182" s="124"/>
      <c r="G182" s="118" t="str">
        <v/>
      </c>
      <c r="H182" s="274" t="str">
        <v>Input</v>
      </c>
    </row>
    <row r="183" spans="4:8" ht="20.100000000000001" customHeight="1" x14ac:dyDescent="0.25">
      <c r="D183" s="118" t="str">
        <v>f</v>
      </c>
      <c r="E183" s="123" t="str">
        <v>inorganic fertiliser type</v>
      </c>
      <c r="F183" s="124"/>
      <c r="G183" s="118" t="str">
        <v/>
      </c>
      <c r="H183" s="27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6" t="s">
        <v>257</v>
      </c>
      <c r="E188" s="11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258</v>
      </c>
      <c r="E191" s="1" t="str" cm="1">
        <f t="array" ref="E191">Scope3_Equations.VEERG_15_4_1_1__1_EmissionsFromPurchasedFertiliser_Variable()</f>
        <v>E</v>
      </c>
    </row>
    <row r="192" spans="4:8" ht="20.100000000000001" customHeight="1" x14ac:dyDescent="0.25">
      <c r="D192" s="88" t="s">
        <v>127</v>
      </c>
      <c r="E192" s="15" t="str" cm="1">
        <f t="array" ref="E192">Scope3_Equations.VEERG_15_4_1_1__1_EmissionsFromPurchasedFertiliser_Unit()</f>
        <v>t CO2e</v>
      </c>
    </row>
    <row r="193" spans="4:8" ht="20.100000000000001" customHeight="1" x14ac:dyDescent="0.25"/>
    <row r="194" spans="4:8" ht="20.100000000000001" customHeight="1" x14ac:dyDescent="0.25">
      <c r="D194" s="118" t="str" cm="1">
        <f t="array" ref="D194:E197">_xlfn.CHOOSECOLS(Scope3_Equations.VEERG_15_4_1_1__1_EmissionsFromPurchasedFertiliser_Arguments(),1,2)</f>
        <v>TM_jf</v>
      </c>
      <c r="E194" s="118" t="str">
        <v>quantity of inorganic fertiliser type f purchased and applied to production system j</v>
      </c>
      <c r="F194" s="118"/>
      <c r="G194" s="118" t="str" cm="1">
        <f t="array" ref="G194:H197">_xlfn.CHOOSECOLS(Scope3_Equations.VEERG_15_4_1_1__1_EmissionsFromPurchasedFertiliser_Arguments(),3,4)</f>
        <v>kg</v>
      </c>
      <c r="H194" s="274" t="str">
        <v>Input</v>
      </c>
    </row>
    <row r="195" spans="4:8" ht="20.100000000000001" customHeight="1" x14ac:dyDescent="0.25">
      <c r="D195" s="118" t="str">
        <v>EF_f</v>
      </c>
      <c r="E195" s="118" t="str">
        <v>emission factor of purchased inorganic fertiliser</v>
      </c>
      <c r="F195" s="118"/>
      <c r="G195" s="118" t="str">
        <v>kg CO2e/kg</v>
      </c>
      <c r="H195" s="126" t="str">
        <v>Constant</v>
      </c>
    </row>
    <row r="196" spans="4:8" ht="20.100000000000001" customHeight="1" x14ac:dyDescent="0.25">
      <c r="D196" s="118" t="str">
        <v>j</v>
      </c>
      <c r="E196" s="118" t="str">
        <v>production system</v>
      </c>
      <c r="F196" s="118"/>
      <c r="G196" s="118" t="str">
        <v/>
      </c>
      <c r="H196" s="274" t="str">
        <v>Input</v>
      </c>
    </row>
    <row r="197" spans="4:8" ht="20.100000000000001" customHeight="1" x14ac:dyDescent="0.25">
      <c r="D197" s="118" t="str">
        <v>f</v>
      </c>
      <c r="E197" s="118" t="str">
        <v>inorganic fertiliser type</v>
      </c>
      <c r="F197" s="118"/>
      <c r="G197" s="118" t="str">
        <v/>
      </c>
      <c r="H197" s="27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6" t="s">
        <v>257</v>
      </c>
      <c r="E203" s="11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258</v>
      </c>
      <c r="E206" s="1" t="str" cm="1">
        <f t="array" ref="E206">Scope3_Equations.VEERG_15_4_1_1__2_EmissionsFromPurchasedFertiliserComponents_Variable()</f>
        <v>E</v>
      </c>
    </row>
    <row r="207" spans="4:8" ht="20.100000000000001" customHeight="1" x14ac:dyDescent="0.25">
      <c r="D207" s="88" t="s">
        <v>127</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18" t="str" cm="1">
        <f t="array" ref="D209:E214">_xlfn.CHOOSECOLS(Scope3_Equations.VEERG_15_4_1_1__2_EmissionsFromPurchasedFertiliserComponents_Arguments(),1,2)</f>
        <v>F_cf</v>
      </c>
      <c r="E209" s="123" t="str">
        <v>fraction of component c contained within the inorganic fertiliser f</v>
      </c>
      <c r="F209" s="124"/>
      <c r="G209" s="118" t="str" cm="1">
        <f t="array" ref="G209:H214">_xlfn.CHOOSECOLS(Scope3_Equations.VEERG_15_4_1_1__2_EmissionsFromPurchasedFertiliserComponents_Arguments(),3,4)</f>
        <v>wt%</v>
      </c>
      <c r="H209" s="274" t="str">
        <v>Input</v>
      </c>
    </row>
    <row r="210" spans="4:40" ht="20.100000000000001" customHeight="1" x14ac:dyDescent="0.25">
      <c r="D210" s="118" t="str">
        <v>TM_jf</v>
      </c>
      <c r="E210" s="123" t="str">
        <v>quantity of inorganic fertiliser type f purchased and applied to production system j</v>
      </c>
      <c r="F210" s="124"/>
      <c r="G210" s="118" t="str">
        <v>kg</v>
      </c>
      <c r="H210" s="126" t="str">
        <v>Input</v>
      </c>
    </row>
    <row r="211" spans="4:40" ht="20.100000000000001" customHeight="1" x14ac:dyDescent="0.25">
      <c r="D211" s="118" t="str">
        <v>EF_c</v>
      </c>
      <c r="E211" s="123" t="str">
        <v>emission factor for the production of component c</v>
      </c>
      <c r="F211" s="124"/>
      <c r="G211" s="118" t="str">
        <v>kg CO2e/kg component</v>
      </c>
      <c r="H211" s="126" t="str">
        <v>Constant</v>
      </c>
    </row>
    <row r="212" spans="4:40" ht="20.100000000000001" customHeight="1" x14ac:dyDescent="0.25">
      <c r="D212" s="118" t="str">
        <v>c</v>
      </c>
      <c r="E212" s="123" t="str">
        <v>fertiliser component</v>
      </c>
      <c r="F212" s="124"/>
      <c r="G212" s="118" t="str">
        <v/>
      </c>
      <c r="H212" s="274" t="str">
        <v>Input</v>
      </c>
    </row>
    <row r="213" spans="4:40" ht="20.100000000000001" customHeight="1" x14ac:dyDescent="0.25">
      <c r="D213" s="118" t="str">
        <v>f</v>
      </c>
      <c r="E213" s="123" t="str">
        <v>inorganic fertiliser type</v>
      </c>
      <c r="F213" s="124"/>
      <c r="G213" s="118" t="str">
        <v/>
      </c>
      <c r="H213" s="274" t="str">
        <v>Input</v>
      </c>
    </row>
    <row r="214" spans="4:40" ht="20.100000000000001" customHeight="1" x14ac:dyDescent="0.25">
      <c r="D214" s="118" t="str">
        <v>j</v>
      </c>
      <c r="E214" s="123" t="str">
        <v>production system</v>
      </c>
      <c r="F214" s="124"/>
      <c r="G214" s="118" t="str">
        <v/>
      </c>
      <c r="H214" s="274" t="str">
        <v>Input</v>
      </c>
    </row>
    <row r="215" spans="4:40" ht="20.100000000000001" customHeight="1" x14ac:dyDescent="0.25"/>
    <row r="216" spans="4:40" ht="20.100000000000001" customHeight="1" x14ac:dyDescent="0.25">
      <c r="D216" s="259" t="s">
        <v>1183</v>
      </c>
    </row>
    <row r="217" spans="4:40" ht="20.100000000000001" customHeight="1" x14ac:dyDescent="0.25"/>
    <row r="218" spans="4:40" ht="20.100000000000001" customHeight="1" x14ac:dyDescent="0.25">
      <c r="D218" s="46" t="s">
        <v>1184</v>
      </c>
      <c r="E218" s="48"/>
      <c r="F218" s="49"/>
    </row>
    <row r="219" spans="4:40" ht="20.100000000000001" customHeight="1" x14ac:dyDescent="0.25"/>
    <row r="220" spans="4:40" ht="20.100000000000001" customHeight="1" x14ac:dyDescent="0.25">
      <c r="D220" s="96" t="s">
        <v>148</v>
      </c>
      <c r="E220" s="96" t="s">
        <v>1185</v>
      </c>
      <c r="F220" s="122" t="s">
        <v>1186</v>
      </c>
      <c r="G220" s="122" t="s">
        <v>1187</v>
      </c>
      <c r="H220" s="122" t="s">
        <v>1188</v>
      </c>
      <c r="I220" s="96" t="s">
        <v>1189</v>
      </c>
      <c r="J220" s="122" t="s">
        <v>1190</v>
      </c>
      <c r="K220" s="122" t="s">
        <v>1191</v>
      </c>
      <c r="L220" s="96" t="s">
        <v>1146</v>
      </c>
      <c r="M220" s="96" t="s">
        <v>1147</v>
      </c>
      <c r="N220" s="96" t="s">
        <v>1148</v>
      </c>
      <c r="O220" s="122" t="s">
        <v>568</v>
      </c>
      <c r="P220" s="122" t="s">
        <v>569</v>
      </c>
      <c r="Q220" s="122" t="s">
        <v>555</v>
      </c>
      <c r="R220" s="122" t="s">
        <v>556</v>
      </c>
      <c r="S220" s="122" t="s">
        <v>1192</v>
      </c>
      <c r="T220" s="96" t="s">
        <v>1193</v>
      </c>
      <c r="U220" s="122" t="s">
        <v>557</v>
      </c>
      <c r="V220" s="122" t="s">
        <v>558</v>
      </c>
      <c r="W220" s="122" t="s">
        <v>1194</v>
      </c>
      <c r="X220" s="96" t="s">
        <v>1195</v>
      </c>
      <c r="Y220" s="122" t="s">
        <v>559</v>
      </c>
      <c r="Z220" s="122" t="s">
        <v>560</v>
      </c>
      <c r="AA220" s="122" t="s">
        <v>1196</v>
      </c>
      <c r="AB220" s="96" t="s">
        <v>1197</v>
      </c>
      <c r="AC220" s="122" t="s">
        <v>561</v>
      </c>
      <c r="AD220" s="122" t="s">
        <v>562</v>
      </c>
      <c r="AE220" s="122" t="s">
        <v>1198</v>
      </c>
      <c r="AF220" s="96" t="s">
        <v>1199</v>
      </c>
      <c r="AG220" s="122" t="s">
        <v>563</v>
      </c>
      <c r="AH220" s="122" t="s">
        <v>564</v>
      </c>
      <c r="AI220" s="122" t="s">
        <v>1200</v>
      </c>
      <c r="AJ220" s="96" t="s">
        <v>1201</v>
      </c>
      <c r="AK220" s="122" t="s">
        <v>565</v>
      </c>
      <c r="AL220" s="122" t="s">
        <v>566</v>
      </c>
      <c r="AM220" s="122" t="s">
        <v>1202</v>
      </c>
      <c r="AN220" s="96" t="s">
        <v>1203</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6"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76" cm="1">
        <f t="array" ref="J221">Scope3_Equations.VEERG_15_4_1_1__1_EmissionsFromPurchasedFertiliser(E221,I221)</f>
        <v>50.4</v>
      </c>
      <c r="K221" s="27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5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6"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76" cm="1">
        <f t="array" ref="J222">Scope3_Equations.VEERG_15_4_1_1__1_EmissionsFromPurchasedFertiliser(E222,I222)</f>
        <v>115.65</v>
      </c>
      <c r="K222" s="27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6"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76" cm="1">
        <f t="array" ref="J223">Scope3_Equations.VEERG_15_4_1_1__1_EmissionsFromPurchasedFertiliser(E223,I223)</f>
        <v>51.4</v>
      </c>
      <c r="K223" s="27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6"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76" cm="1">
        <f t="array" ref="J224">Scope3_Equations.VEERG_15_4_1_1__1_EmissionsFromPurchasedFertiliser(E224,I224)</f>
        <v>0</v>
      </c>
      <c r="K224" s="27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6"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76" cm="1">
        <f t="array" ref="J225">Scope3_Equations.VEERG_15_4_1_1__1_EmissionsFromPurchasedFertiliser(E225,I225)</f>
        <v>0</v>
      </c>
      <c r="K225" s="27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76" cm="1">
        <f t="array" ref="J226">Scope3_Equations.VEERG_15_4_1_1__1_EmissionsFromPurchasedFertiliser(E226,I226)</f>
        <v>0</v>
      </c>
      <c r="K226" s="27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76" cm="1">
        <f t="array" ref="J227">Scope3_Equations.VEERG_15_4_1_1__1_EmissionsFromPurchasedFertiliser(E227,I227)</f>
        <v>0</v>
      </c>
      <c r="K227" s="27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76" cm="1">
        <f t="array" ref="J228">Scope3_Equations.VEERG_15_4_1_1__1_EmissionsFromPurchasedFertiliser(E228,I228)</f>
        <v>0</v>
      </c>
      <c r="K228" s="27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76" cm="1">
        <f t="array" ref="J229">Scope3_Equations.VEERG_15_4_1_1__1_EmissionsFromPurchasedFertiliser(E229,I229)</f>
        <v>0</v>
      </c>
      <c r="K229" s="27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76" cm="1">
        <f t="array" ref="J230">Scope3_Equations.VEERG_15_4_1_1__1_EmissionsFromPurchasedFertiliser(E230,I230)</f>
        <v>0</v>
      </c>
      <c r="K230" s="27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9" t="s">
        <v>1204</v>
      </c>
    </row>
    <row r="233" spans="4:40" ht="20.100000000000001" customHeight="1" x14ac:dyDescent="0.25"/>
    <row r="234" spans="4:40" ht="20.100000000000001" customHeight="1" x14ac:dyDescent="0.25">
      <c r="D234" s="46" t="s">
        <v>1205</v>
      </c>
      <c r="E234" s="48"/>
      <c r="F234" s="49"/>
    </row>
    <row r="235" spans="4:40" ht="20.100000000000001" customHeight="1" x14ac:dyDescent="0.25"/>
    <row r="236" spans="4:40" ht="20.100000000000001" customHeight="1" x14ac:dyDescent="0.25">
      <c r="D236" s="96" t="s">
        <v>1168</v>
      </c>
      <c r="E236" s="96" t="s">
        <v>1185</v>
      </c>
      <c r="F236" s="122" t="s">
        <v>1186</v>
      </c>
      <c r="G236" s="122" t="s">
        <v>1187</v>
      </c>
      <c r="H236" s="122" t="s">
        <v>1188</v>
      </c>
      <c r="I236" s="96" t="s">
        <v>1189</v>
      </c>
      <c r="J236" s="122" t="s">
        <v>1190</v>
      </c>
      <c r="K236" s="122" t="s">
        <v>1191</v>
      </c>
      <c r="L236" s="96" t="s">
        <v>1146</v>
      </c>
      <c r="M236" s="96" t="s">
        <v>1147</v>
      </c>
      <c r="N236" s="96" t="s">
        <v>1148</v>
      </c>
      <c r="O236" s="122" t="s">
        <v>568</v>
      </c>
      <c r="P236" s="122" t="s">
        <v>569</v>
      </c>
      <c r="Q236" s="122" t="s">
        <v>555</v>
      </c>
      <c r="R236" s="122" t="s">
        <v>556</v>
      </c>
      <c r="S236" s="122" t="s">
        <v>1192</v>
      </c>
      <c r="T236" s="96" t="s">
        <v>1193</v>
      </c>
      <c r="U236" s="122" t="s">
        <v>557</v>
      </c>
      <c r="V236" s="122" t="s">
        <v>558</v>
      </c>
      <c r="W236" s="122" t="s">
        <v>1194</v>
      </c>
      <c r="X236" s="96" t="s">
        <v>1195</v>
      </c>
      <c r="Y236" s="122" t="s">
        <v>559</v>
      </c>
      <c r="Z236" s="122" t="s">
        <v>560</v>
      </c>
      <c r="AA236" s="122" t="s">
        <v>1196</v>
      </c>
      <c r="AB236" s="96" t="s">
        <v>1197</v>
      </c>
      <c r="AC236" s="122" t="s">
        <v>561</v>
      </c>
      <c r="AD236" s="122" t="s">
        <v>562</v>
      </c>
      <c r="AE236" s="122" t="s">
        <v>1198</v>
      </c>
      <c r="AF236" s="96" t="s">
        <v>1199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76" cm="1">
        <f t="array" ref="J237">Scope3_Equations.VEERG_15_4_1_1__1_EmissionsFromPurchasedFertiliser(E237,I237)</f>
        <v>40</v>
      </c>
      <c r="K237" s="27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58"/>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76"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76" cm="1">
        <f t="array" ref="J238">Scope3_Equations.VEERG_15_4_1_1__1_EmissionsFromPurchasedFertiliser(E238,I238)</f>
        <v>90</v>
      </c>
      <c r="K238" s="27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76"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76" cm="1">
        <f t="array" ref="J239">Scope3_Equations.VEERG_15_4_1_1__1_EmissionsFromPurchasedFertiliser(E239,I239)</f>
        <v>40</v>
      </c>
      <c r="K239" s="27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76" cm="1">
        <f t="array" ref="J240">Scope3_Equations.VEERG_15_4_1_1__1_EmissionsFromPurchasedFertiliser(E240,I240)</f>
        <v>0</v>
      </c>
      <c r="K240" s="27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76" cm="1">
        <f t="array" ref="J241">Scope3_Equations.VEERG_15_4_1_1__1_EmissionsFromPurchasedFertiliser(E241,I241)</f>
        <v>0</v>
      </c>
      <c r="K241" s="27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76" cm="1">
        <f t="array" ref="J242">Scope3_Equations.VEERG_15_4_1_1__1_EmissionsFromPurchasedFertiliser(E242,I242)</f>
        <v>0</v>
      </c>
      <c r="K242" s="27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76" cm="1">
        <f t="array" ref="J243">Scope3_Equations.VEERG_15_4_1_1__1_EmissionsFromPurchasedFertiliser(E243,I243)</f>
        <v>0</v>
      </c>
      <c r="K243" s="27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76" cm="1">
        <f t="array" ref="J244">Scope3_Equations.VEERG_15_4_1_1__1_EmissionsFromPurchasedFertiliser(E244,I244)</f>
        <v>0</v>
      </c>
      <c r="K244" s="27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76" cm="1">
        <f t="array" ref="J245">Scope3_Equations.VEERG_15_4_1_1__1_EmissionsFromPurchasedFertiliser(E245,I245)</f>
        <v>0</v>
      </c>
      <c r="K245" s="27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76" cm="1">
        <f t="array" ref="J246">Scope3_Equations.VEERG_15_4_1_1__1_EmissionsFromPurchasedFertiliser(E246,I246)</f>
        <v>0</v>
      </c>
      <c r="K246" s="27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77" t="s">
        <v>1206</v>
      </c>
      <c r="E248" s="134">
        <f>SUM(G221:G230)+SUM(G237:G246)</f>
        <v>782.84321999999997</v>
      </c>
      <c r="F248" s="135" t="str">
        <f>$E$155</f>
        <v>t CO2e</v>
      </c>
    </row>
    <row r="249" spans="3:41" ht="20.100000000000001" customHeight="1" x14ac:dyDescent="0.25">
      <c r="D249" s="277" t="s">
        <v>1207</v>
      </c>
      <c r="E249" s="134">
        <f>SUM(J221:J230)+SUM(J237:J246)</f>
        <v>387.45000000000005</v>
      </c>
      <c r="F249" s="135" t="str">
        <f>$E$155</f>
        <v>t CO2e</v>
      </c>
    </row>
    <row r="250" spans="3:41" ht="20.100000000000001" customHeight="1" x14ac:dyDescent="0.25"/>
    <row r="251" spans="3:41" ht="20.100000000000001" customHeight="1" x14ac:dyDescent="0.25">
      <c r="D251" s="277" t="s">
        <v>1208</v>
      </c>
      <c r="E251" s="134">
        <f>SUM(H221:H230)+SUM(H237:H246)</f>
        <v>782.84321999999997</v>
      </c>
      <c r="F251" s="135" t="str">
        <f>$E$155</f>
        <v>t CO2e</v>
      </c>
    </row>
    <row r="252" spans="3:41" ht="20.100000000000001" customHeight="1" x14ac:dyDescent="0.25">
      <c r="D252" s="277" t="s">
        <v>1209</v>
      </c>
      <c r="E252" s="134">
        <f>SUM(K221:K230)+SUM(K237:K246)</f>
        <v>757.43047000000001</v>
      </c>
      <c r="F252" s="135"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6" t="s">
        <v>257</v>
      </c>
      <c r="E258" s="11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258</v>
      </c>
      <c r="E262" s="1" t="str" cm="1">
        <f t="array" ref="E262">Scope3_Equations.VEERG_15_5_1_1__1_EmissionsFromPurchasedAgrichemicals_Variable()</f>
        <v>E</v>
      </c>
    </row>
    <row r="263" spans="4:9" ht="20.100000000000001" customHeight="1" x14ac:dyDescent="0.25">
      <c r="D263" s="88" t="s">
        <v>127</v>
      </c>
      <c r="E263" s="15" t="str" cm="1">
        <f t="array" ref="E263">Scope3_Equations.VEERG_15_5_1_1__1_EmissionsFromPurchasedAgrichemicals_Unit()</f>
        <v>t CO2e</v>
      </c>
    </row>
    <row r="264" spans="4:9" ht="20.100000000000001" customHeight="1" x14ac:dyDescent="0.25"/>
    <row r="265" spans="4:9" x14ac:dyDescent="0.25">
      <c r="D265" s="118" t="str" cm="1">
        <f t="array" ref="D265:E267">_xlfn.CHOOSECOLS(Scope3_Equations.VEERG_15_5_1_1__1_EmissionsFromPurchasedAgrichemicals_Arguments(),1,2)</f>
        <v>Q_h</v>
      </c>
      <c r="E265" s="123" t="str">
        <v>quantity of active ingredients in agrichemical type h purchased and applied to soils</v>
      </c>
      <c r="F265" s="124"/>
      <c r="G265" s="118" t="str" cm="1">
        <f t="array" ref="G265:H267">_xlfn.CHOOSECOLS(Scope3_Equations.VEERG_15_5_1_1__1_EmissionsFromPurchasedAgrichemicals_Arguments(),3,4)</f>
        <v>kg ai</v>
      </c>
      <c r="H265" s="274" t="str">
        <v>Input</v>
      </c>
    </row>
    <row r="266" spans="4:9" x14ac:dyDescent="0.25">
      <c r="D266" s="118" t="str">
        <v>EF_h</v>
      </c>
      <c r="E266" s="123" t="str">
        <v>emission factor for purchased agrichemical active ingredient</v>
      </c>
      <c r="F266" s="124"/>
      <c r="G266" s="118" t="str">
        <v>kg CO2e/kg ai</v>
      </c>
      <c r="H266" s="126" t="str">
        <v>Constant</v>
      </c>
    </row>
    <row r="267" spans="4:9" x14ac:dyDescent="0.25">
      <c r="D267" s="118" t="str">
        <v>h</v>
      </c>
      <c r="E267" s="123" t="str">
        <v>agrichemical type</v>
      </c>
      <c r="F267" s="124"/>
      <c r="G267" s="118" t="str">
        <v/>
      </c>
      <c r="H267" s="274" t="str">
        <v>Input</v>
      </c>
    </row>
    <row r="269" spans="4:9" ht="17.25" x14ac:dyDescent="0.25">
      <c r="D269" s="96" t="s">
        <v>1210</v>
      </c>
      <c r="E269" s="96" t="s">
        <v>554</v>
      </c>
      <c r="F269" s="122" t="s">
        <v>1211</v>
      </c>
      <c r="G269" s="122" t="s">
        <v>1142</v>
      </c>
      <c r="H269" s="96" t="s">
        <v>1212</v>
      </c>
      <c r="I269" s="122" t="s">
        <v>1145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77" t="s">
        <v>1142</v>
      </c>
      <c r="E283" s="134">
        <f>SUM(G270:G281)</f>
        <v>7.5159999999999991</v>
      </c>
      <c r="F283" s="135" t="str">
        <f>$E$155</f>
        <v>t CO2e</v>
      </c>
    </row>
    <row r="284" spans="3:41" ht="20.25" x14ac:dyDescent="0.25">
      <c r="D284" s="277" t="s">
        <v>1145</v>
      </c>
      <c r="E284" s="134">
        <f>SUM(I270:I281)</f>
        <v>7.4959999999999996</v>
      </c>
      <c r="F284" s="135"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6" t="s">
        <v>257</v>
      </c>
      <c r="E290" s="116" t="str" cm="1">
        <f t="array" aca="1" ref="E290" ca="1">Common_InputFunctions.Utility_DisplayFunctionName(I305)</f>
        <v>=Scope3_Equations.VEERG_15_6_1_1__1_EmissionsFromPurchasedLime</v>
      </c>
    </row>
    <row r="293" spans="4:13" x14ac:dyDescent="0.25">
      <c r="D293" s="88" t="s">
        <v>258</v>
      </c>
      <c r="E293" s="1" t="str" cm="1">
        <f t="array" ref="E293">Scope3_Equations.VEERG_15_6_1_1__1_EmissionsFromPurchasedLime_Variable()</f>
        <v>E</v>
      </c>
    </row>
    <row r="294" spans="4:13" x14ac:dyDescent="0.25">
      <c r="D294" s="88" t="s">
        <v>127</v>
      </c>
      <c r="E294" s="1" t="str" cm="1">
        <f t="array" ref="E294">Scope3_Equations.VEERG_15_6_1_1__1_EmissionsFromPurchasedLime_Unit()</f>
        <v>t CO2e</v>
      </c>
    </row>
    <row r="296" spans="4:13" x14ac:dyDescent="0.25">
      <c r="D296" s="118" t="str" cm="1">
        <f t="array" ref="D296:E297">_xlfn.CHOOSECOLS(Scope3_Equations.VEERG_15_6_1_1__1_EmissionsFromPurchasedLime_Arguments(),1,2)</f>
        <v>M_lime</v>
      </c>
      <c r="E296" s="118" t="str">
        <v>total quantity of lime applied to soils</v>
      </c>
      <c r="F296" s="118" t="str" cm="1">
        <f t="array" ref="F296:G297">_xlfn.CHOOSECOLS(Scope3_Equations.VEERG_15_6_1_1__1_EmissionsFromPurchasedLime_Arguments(),3,4)</f>
        <v>t</v>
      </c>
      <c r="G296" s="274" t="str">
        <v>Input</v>
      </c>
    </row>
    <row r="297" spans="4:13" x14ac:dyDescent="0.25">
      <c r="D297" s="118" t="str">
        <v>EF_l</v>
      </c>
      <c r="E297" s="118" t="str">
        <v>emission factor for purchased lime</v>
      </c>
      <c r="F297" s="118" t="str">
        <v>t CO2e/t</v>
      </c>
      <c r="G297" s="126" t="str">
        <v>Constant</v>
      </c>
    </row>
    <row r="299" spans="4:13" x14ac:dyDescent="0.25">
      <c r="E299" s="122" t="s">
        <v>144</v>
      </c>
      <c r="F299" s="96" t="s">
        <v>145</v>
      </c>
    </row>
    <row r="300" spans="4:13" ht="18.75" x14ac:dyDescent="0.25">
      <c r="D300" s="1" t="s">
        <v>1213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1214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1215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6" t="s">
        <v>718</v>
      </c>
      <c r="E304" s="275" t="s">
        <v>1216</v>
      </c>
      <c r="F304" s="96" t="s">
        <v>1217</v>
      </c>
      <c r="G304" s="96" t="s">
        <v>1218</v>
      </c>
      <c r="H304" s="96" t="s">
        <v>1219</v>
      </c>
      <c r="I304" s="122" t="s">
        <v>1142</v>
      </c>
      <c r="J304" s="122" t="s">
        <v>1220</v>
      </c>
      <c r="K304" s="96" t="s">
        <v>1146</v>
      </c>
      <c r="L304" s="96" t="s">
        <v>1147</v>
      </c>
      <c r="M304" s="96" t="s">
        <v>1148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6" cm="1">
        <f t="array" ref="I305">Scope3_Equations.VEERG_15_6_1_1__1_EmissionsFromPurchasedLime(F305,$E$300)+
Scope3_Equations.VEERG_15_6_1_1__1_EmissionsFromPurchasedLime(G305,$E$301)+
Scope3_Equations.VEERG_15_6_1_1__1_EmissionsFromPurchasedLime(H305,$E$302)</f>
        <v>5.1839999999999997E-2</v>
      </c>
      <c r="J305" s="27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76" cm="1">
        <f t="array" ref="I306">Scope3_Equations.VEERG_15_6_1_1__1_EmissionsFromPurchasedLime(F306,$E$300)+
Scope3_Equations.VEERG_15_6_1_1__1_EmissionsFromPurchasedLime(G306,$E$301)+
Scope3_Equations.VEERG_15_6_1_1__1_EmissionsFromPurchasedLime(H306,$E$302)</f>
        <v>4.8500000000000001E-2</v>
      </c>
      <c r="J306" s="27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76" cm="1">
        <f t="array" ref="I307">Scope3_Equations.VEERG_15_6_1_1__1_EmissionsFromPurchasedLime(F307,$E$300)+
Scope3_Equations.VEERG_15_6_1_1__1_EmissionsFromPurchasedLime(G307,$E$301)+
Scope3_Equations.VEERG_15_6_1_1__1_EmissionsFromPurchasedLime(H307,$E$302)</f>
        <v>6.5199999999999994E-2</v>
      </c>
      <c r="J307" s="27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76" cm="1">
        <f t="array" ref="I308">Scope3_Equations.VEERG_15_6_1_1__1_EmissionsFromPurchasedLime(F308,$E$300)+
Scope3_Equations.VEERG_15_6_1_1__1_EmissionsFromPurchasedLime(G308,$E$301)+
Scope3_Equations.VEERG_15_6_1_1__1_EmissionsFromPurchasedLime(H308,$E$302)</f>
        <v>0</v>
      </c>
      <c r="J308" s="27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76" cm="1">
        <f t="array" ref="I309">Scope3_Equations.VEERG_15_6_1_1__1_EmissionsFromPurchasedLime(F309,$E$300)+
Scope3_Equations.VEERG_15_6_1_1__1_EmissionsFromPurchasedLime(G309,$E$301)+
Scope3_Equations.VEERG_15_6_1_1__1_EmissionsFromPurchasedLime(H309,$E$302)</f>
        <v>0</v>
      </c>
      <c r="J309" s="27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76" cm="1">
        <f t="array" ref="I310">Scope3_Equations.VEERG_15_6_1_1__1_EmissionsFromPurchasedLime(F310,$E$300)+
Scope3_Equations.VEERG_15_6_1_1__1_EmissionsFromPurchasedLime(G310,$E$301)+
Scope3_Equations.VEERG_15_6_1_1__1_EmissionsFromPurchasedLime(H310,$E$302)</f>
        <v>0</v>
      </c>
      <c r="J310" s="27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76" cm="1">
        <f t="array" ref="I311">Scope3_Equations.VEERG_15_6_1_1__1_EmissionsFromPurchasedLime(F311,$E$300)+
Scope3_Equations.VEERG_15_6_1_1__1_EmissionsFromPurchasedLime(G311,$E$301)+
Scope3_Equations.VEERG_15_6_1_1__1_EmissionsFromPurchasedLime(H311,$E$302)</f>
        <v>0</v>
      </c>
      <c r="J311" s="27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76" cm="1">
        <f t="array" ref="I312">Scope3_Equations.VEERG_15_6_1_1__1_EmissionsFromPurchasedLime(F312,$E$300)+
Scope3_Equations.VEERG_15_6_1_1__1_EmissionsFromPurchasedLime(G312,$E$301)+
Scope3_Equations.VEERG_15_6_1_1__1_EmissionsFromPurchasedLime(H312,$E$302)</f>
        <v>0</v>
      </c>
      <c r="J312" s="27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76" cm="1">
        <f t="array" ref="I313">Scope3_Equations.VEERG_15_6_1_1__1_EmissionsFromPurchasedLime(F313,$E$300)+
Scope3_Equations.VEERG_15_6_1_1__1_EmissionsFromPurchasedLime(G313,$E$301)+
Scope3_Equations.VEERG_15_6_1_1__1_EmissionsFromPurchasedLime(H313,$E$302)</f>
        <v>0</v>
      </c>
      <c r="J313" s="27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76" cm="1">
        <f t="array" ref="I314">Scope3_Equations.VEERG_15_6_1_1__1_EmissionsFromPurchasedLime(F314,$E$300)+
Scope3_Equations.VEERG_15_6_1_1__1_EmissionsFromPurchasedLime(G314,$E$301)+
Scope3_Equations.VEERG_15_6_1_1__1_EmissionsFromPurchasedLime(H314,$E$302)</f>
        <v>0</v>
      </c>
      <c r="J314" s="27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77" t="s">
        <v>1142</v>
      </c>
      <c r="E316" s="134">
        <f>SUM(I305:I314)</f>
        <v>0.16553999999999999</v>
      </c>
      <c r="F316" s="135" t="str">
        <f>$E$155</f>
        <v>t CO2e</v>
      </c>
    </row>
    <row r="317" spans="3:41" ht="20.25" x14ac:dyDescent="0.25">
      <c r="D317" s="277" t="s">
        <v>1145</v>
      </c>
      <c r="E317" s="134">
        <f>SUM(J305:J314)</f>
        <v>0.14399999999999999</v>
      </c>
      <c r="F317" s="135"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6" t="s">
        <v>257</v>
      </c>
      <c r="E323" s="116" t="str" cm="1">
        <f t="array" aca="1" ref="E323" ca="1">Common_InputFunctions.Utility_DisplayFunctionName(K336)</f>
        <v>=Scope3_Equations.VEERG_15_7_1_1__1_EmissionsFromPurchasedServices</v>
      </c>
    </row>
    <row r="325" spans="4:15" x14ac:dyDescent="0.25">
      <c r="H325" s="1" t="s">
        <v>1221</v>
      </c>
    </row>
    <row r="326" spans="4:15" x14ac:dyDescent="0.25">
      <c r="D326" s="88" t="s">
        <v>258</v>
      </c>
      <c r="E326" s="1" t="str" cm="1">
        <f t="array" ref="E326">Scope3_Equations.VEERG_15_7_1_1__1_EmissionsFromPurchasedServices_Variable()</f>
        <v>E</v>
      </c>
    </row>
    <row r="327" spans="4:15" x14ac:dyDescent="0.25">
      <c r="D327" s="88" t="s">
        <v>127</v>
      </c>
      <c r="E327" s="1" t="str" cm="1">
        <f t="array" ref="E327">Scope3_Equations.VEERG_15_7_1_1__1_EmissionsFromPurchasedServices_Unit()</f>
        <v>t CO2e</v>
      </c>
    </row>
    <row r="329" spans="4:15" x14ac:dyDescent="0.25">
      <c r="D329" s="118" t="str" cm="1">
        <f t="array" ref="D329:E331">_xlfn.CHOOSECOLS(Scope3_Equations.VEERG_15_7_1_1__1_EmissionsFromPurchasedServices_Arguments(),1,2)</f>
        <v>A_p</v>
      </c>
      <c r="E329" s="123" t="str">
        <v>activity data of the service that was purchased</v>
      </c>
      <c r="F329" s="124"/>
      <c r="G329" s="118" t="str" cm="1">
        <f t="array" ref="G329:H331">_xlfn.CHOOSECOLS(Scope3_Equations.VEERG_15_7_1_1__1_EmissionsFromPurchasedServices_Arguments(),3,4)</f>
        <v>ha or h</v>
      </c>
      <c r="H329" s="274" t="str">
        <v>Input</v>
      </c>
    </row>
    <row r="330" spans="4:15" x14ac:dyDescent="0.25">
      <c r="D330" s="118" t="str">
        <v>EF_p</v>
      </c>
      <c r="E330" s="123" t="str">
        <v>life cycle emission factor for the purchased service</v>
      </c>
      <c r="F330" s="124"/>
      <c r="G330" s="118" t="str">
        <v>kg CO2e/ha or kg CO2e/h</v>
      </c>
      <c r="H330" s="126" t="str">
        <v>Constant</v>
      </c>
    </row>
    <row r="331" spans="4:15" x14ac:dyDescent="0.25">
      <c r="D331" s="118" t="str">
        <v>p</v>
      </c>
      <c r="E331" s="123" t="str">
        <v>service type</v>
      </c>
      <c r="F331" s="124"/>
      <c r="G331" s="118" t="str">
        <v/>
      </c>
      <c r="H331" s="274" t="str">
        <v>Input</v>
      </c>
    </row>
    <row r="333" spans="4:15" x14ac:dyDescent="0.25">
      <c r="D333" s="36" t="s">
        <v>1222</v>
      </c>
    </row>
    <row r="335" spans="4:15" x14ac:dyDescent="0.25">
      <c r="D335" s="96" t="s">
        <v>1082</v>
      </c>
      <c r="E335" s="96" t="s">
        <v>1083</v>
      </c>
      <c r="F335" s="96" t="s">
        <v>1084</v>
      </c>
      <c r="G335" s="96" t="s">
        <v>785</v>
      </c>
      <c r="H335" s="122" t="s">
        <v>1223</v>
      </c>
      <c r="I335" s="122" t="s">
        <v>1224</v>
      </c>
      <c r="J335" s="96" t="s">
        <v>1225</v>
      </c>
      <c r="K335" s="122" t="s">
        <v>1226</v>
      </c>
      <c r="L335" s="122" t="s">
        <v>1227</v>
      </c>
      <c r="M335" s="96" t="s">
        <v>1146</v>
      </c>
      <c r="N335" s="96" t="s">
        <v>1147</v>
      </c>
      <c r="O335" s="96" t="s">
        <v>1148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1228</v>
      </c>
      <c r="I336" s="25" t="s">
        <v>1228</v>
      </c>
      <c r="J336" s="86">
        <v>4</v>
      </c>
      <c r="K336" s="27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1228</v>
      </c>
      <c r="I337" s="25" t="s">
        <v>1228</v>
      </c>
      <c r="J337" s="86">
        <v>2</v>
      </c>
      <c r="K337" s="27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1228</v>
      </c>
      <c r="I338" s="25" t="s">
        <v>1228</v>
      </c>
      <c r="J338" s="86"/>
      <c r="K338" s="27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1228</v>
      </c>
      <c r="I339" s="25" t="s">
        <v>1228</v>
      </c>
      <c r="J339" s="86"/>
      <c r="K339" s="27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1228</v>
      </c>
      <c r="I340" s="25" t="s">
        <v>1228</v>
      </c>
      <c r="J340" s="86"/>
      <c r="K340" s="27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1228</v>
      </c>
      <c r="I341" s="25" t="s">
        <v>1228</v>
      </c>
      <c r="J341" s="86"/>
      <c r="K341" s="27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1228</v>
      </c>
      <c r="I342" s="25" t="s">
        <v>1228</v>
      </c>
      <c r="J342" s="86"/>
      <c r="K342" s="27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1228</v>
      </c>
      <c r="I343" s="25" t="s">
        <v>1228</v>
      </c>
      <c r="J343" s="86"/>
      <c r="K343" s="27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1228</v>
      </c>
      <c r="I344" s="25" t="s">
        <v>1228</v>
      </c>
      <c r="J344" s="86"/>
      <c r="K344" s="27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1228</v>
      </c>
      <c r="I345" s="25" t="s">
        <v>1228</v>
      </c>
      <c r="J345" s="86"/>
      <c r="K345" s="276" cm="1">
        <f t="array" ref="K345">Scope3_Equations.VEERG_15_7_1_1__1_EmissionsFromPurchasedServices(F345,J345)</f>
        <v>0</v>
      </c>
      <c r="L345" s="25" t="str">
        <f t="shared" si="1"/>
        <v>t CO2e / 0</v>
      </c>
      <c r="M345" s="44"/>
      <c r="N345" s="23"/>
      <c r="O345" s="44"/>
    </row>
    <row r="347" spans="3:41" ht="20.25" x14ac:dyDescent="0.25">
      <c r="D347" s="277" t="s">
        <v>1142</v>
      </c>
      <c r="E347" s="134" t="s">
        <v>1228</v>
      </c>
      <c r="F347" s="135" t="str">
        <f>$E$155</f>
        <v>t CO2e</v>
      </c>
    </row>
    <row r="348" spans="3:41" ht="20.25" x14ac:dyDescent="0.25">
      <c r="D348" s="277" t="s">
        <v>1145</v>
      </c>
      <c r="E348" s="134">
        <f>SUM(K336:K345)</f>
        <v>42</v>
      </c>
      <c r="F348" s="135"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16" t="s">
        <v>257</v>
      </c>
      <c r="E355" s="116" t="str" cm="1">
        <f t="array" aca="1" ref="E355" ca="1">Common_InputFunctions.Utility_DisplayFunctionName(H367)</f>
        <v>=Scope3_Equations.VEERG_15_8_1_1__1_EmissionsFromPurchasedPackaging</v>
      </c>
    </row>
    <row r="359" spans="4:13" x14ac:dyDescent="0.25">
      <c r="D359" s="88" t="s">
        <v>258</v>
      </c>
      <c r="E359" s="1" t="str" cm="1">
        <f t="array" ref="E359">Scope3_Equations.VEERG_15_8_1_1__1_EmissionsFromPurchasedPackaging_Variable()</f>
        <v>E</v>
      </c>
    </row>
    <row r="360" spans="4:13" x14ac:dyDescent="0.25">
      <c r="D360" s="88" t="s">
        <v>127</v>
      </c>
      <c r="E360" s="15" t="str" cm="1">
        <f t="array" ref="E360">Scope3_Equations.VEERG_15_8_1_1__1_EmissionsFromPurchasedPackaging_Unit()</f>
        <v>t CO2e</v>
      </c>
    </row>
    <row r="362" spans="4:13" x14ac:dyDescent="0.25">
      <c r="D362" s="118" t="str" cm="1">
        <f t="array" ref="D362:E364">_xlfn.CHOOSECOLS(Scope3_Equations.VEERG_15_8_1_1__1_EmissionsFromPurchasedPackaging_Arguments(),1,2)</f>
        <v>Q_p</v>
      </c>
      <c r="E362" s="118" t="str">
        <v>units of packaging type p</v>
      </c>
      <c r="F362" s="118" t="str" cm="1">
        <f t="array" ref="F362:G364">_xlfn.CHOOSECOLS(Scope3_Equations.VEERG_15_8_1_1__1_EmissionsFromPurchasedPackaging_Arguments(),3,4)</f>
        <v>units</v>
      </c>
      <c r="G362" s="274" t="str">
        <v>Input</v>
      </c>
    </row>
    <row r="363" spans="4:13" x14ac:dyDescent="0.25">
      <c r="D363" s="118" t="str">
        <v>EF_p</v>
      </c>
      <c r="E363" s="118" t="str">
        <v>emission factor for packaging type p</v>
      </c>
      <c r="F363" s="118" t="str">
        <v>kg CO2e/unit</v>
      </c>
      <c r="G363" s="126" t="str">
        <v>Constant</v>
      </c>
    </row>
    <row r="364" spans="4:13" x14ac:dyDescent="0.25">
      <c r="D364" s="118" t="str">
        <v>p</v>
      </c>
      <c r="E364" s="118" t="str">
        <v>packaging type</v>
      </c>
      <c r="F364" s="118" t="str">
        <v/>
      </c>
      <c r="G364" s="274" t="str">
        <v>Input</v>
      </c>
    </row>
    <row r="366" spans="4:13" ht="17.25" x14ac:dyDescent="0.25">
      <c r="D366" s="96" t="s">
        <v>1136</v>
      </c>
      <c r="E366" s="275" t="s">
        <v>1094</v>
      </c>
      <c r="F366" s="275" t="s">
        <v>1229</v>
      </c>
      <c r="G366" s="122" t="s">
        <v>1230</v>
      </c>
      <c r="H366" s="122" t="s">
        <v>1142</v>
      </c>
      <c r="I366" s="96" t="s">
        <v>1231</v>
      </c>
      <c r="J366" s="122" t="s">
        <v>1145</v>
      </c>
      <c r="K366" s="96" t="s">
        <v>1146</v>
      </c>
      <c r="L366" s="96" t="s">
        <v>1147</v>
      </c>
      <c r="M366" s="96" t="s">
        <v>1148</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6" cm="1">
        <f t="array" ref="H367">Scope3_Equations.VEERG_15_8_1_1__1_EmissionsFromPurchasedPackaging(F367,G367)</f>
        <v>7.44</v>
      </c>
      <c r="I367" s="86">
        <v>3</v>
      </c>
      <c r="J367" s="276"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6" cm="1">
        <f t="array" ref="H368">Scope3_Equations.VEERG_15_8_1_1__1_EmissionsFromPurchasedPackaging(F368,G368)</f>
        <v>0</v>
      </c>
      <c r="I368" s="86"/>
      <c r="J368" s="276"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6" cm="1">
        <f t="array" ref="H369">Scope3_Equations.VEERG_15_8_1_1__1_EmissionsFromPurchasedPackaging(F369,G369)</f>
        <v>0</v>
      </c>
      <c r="I369" s="86"/>
      <c r="J369" s="276"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6" cm="1">
        <f t="array" ref="H370">Scope3_Equations.VEERG_15_8_1_1__1_EmissionsFromPurchasedPackaging(F370,G370)</f>
        <v>0</v>
      </c>
      <c r="I370" s="86"/>
      <c r="J370" s="276"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6" cm="1">
        <f t="array" ref="H371">Scope3_Equations.VEERG_15_8_1_1__1_EmissionsFromPurchasedPackaging(F371,G371)</f>
        <v>0</v>
      </c>
      <c r="I371" s="86"/>
      <c r="J371" s="276"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6" cm="1">
        <f t="array" ref="H372">Scope3_Equations.VEERG_15_8_1_1__1_EmissionsFromPurchasedPackaging(F372,G372)</f>
        <v>0</v>
      </c>
      <c r="I372" s="86"/>
      <c r="J372" s="276"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6" cm="1">
        <f t="array" ref="H373">Scope3_Equations.VEERG_15_8_1_1__1_EmissionsFromPurchasedPackaging(F373,G373)</f>
        <v>0</v>
      </c>
      <c r="I373" s="86"/>
      <c r="J373" s="276"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6" cm="1">
        <f t="array" ref="H374">Scope3_Equations.VEERG_15_8_1_1__1_EmissionsFromPurchasedPackaging(F374,G374)</f>
        <v>0</v>
      </c>
      <c r="I374" s="86"/>
      <c r="J374" s="276"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6" cm="1">
        <f t="array" ref="H375">Scope3_Equations.VEERG_15_8_1_1__1_EmissionsFromPurchasedPackaging(F375,G375)</f>
        <v>0</v>
      </c>
      <c r="I375" s="86"/>
      <c r="J375" s="276"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6" cm="1">
        <f t="array" ref="H376">Scope3_Equations.VEERG_15_8_1_1__1_EmissionsFromPurchasedPackaging(F376,G376)</f>
        <v>0</v>
      </c>
      <c r="I376" s="86"/>
      <c r="J376" s="276" cm="1">
        <f t="array" ref="J376">Scope3_Equations.VEERG_15_8_1_1__1_EmissionsFromPurchasedPackaging(F376,IF(I376,I376,G376))</f>
        <v>0</v>
      </c>
      <c r="K376" s="44"/>
      <c r="L376" s="23"/>
      <c r="M376" s="44"/>
    </row>
    <row r="378" spans="3:41" ht="20.25" x14ac:dyDescent="0.25">
      <c r="D378" s="277" t="s">
        <v>1142</v>
      </c>
      <c r="E378" s="134">
        <f>SUM(H367:H376)</f>
        <v>7.44</v>
      </c>
      <c r="F378" s="135" t="str">
        <f>$E$155</f>
        <v>t CO2e</v>
      </c>
    </row>
    <row r="379" spans="3:41" ht="20.25" x14ac:dyDescent="0.25">
      <c r="D379" s="277" t="s">
        <v>1145</v>
      </c>
      <c r="E379" s="134">
        <f>SUM(J367:J376)</f>
        <v>6</v>
      </c>
      <c r="F379" s="135"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6" t="s">
        <v>257</v>
      </c>
      <c r="E385" s="116" t="str" cm="1">
        <f t="array" aca="1" ref="E385" ca="1">Common_InputFunctions.Utility_DisplayFunctionName(J399)</f>
        <v>=Scope3_Equations.VEERG_15_9_1_1__1_EmissionsFromPurchasedGrowMedia</v>
      </c>
    </row>
    <row r="388" spans="4:14" x14ac:dyDescent="0.25">
      <c r="G388" s="116"/>
    </row>
    <row r="389" spans="4:14" x14ac:dyDescent="0.25">
      <c r="D389" s="88" t="s">
        <v>258</v>
      </c>
      <c r="E389" s="1" t="str" cm="1">
        <f t="array" ref="E389">Scope3_Equations.VEERG_15_9_1_1__1_EmissionsFromPurchasedGrowMedia_Variable()</f>
        <v>E</v>
      </c>
    </row>
    <row r="390" spans="4:14" x14ac:dyDescent="0.25">
      <c r="D390" s="88" t="s">
        <v>127</v>
      </c>
      <c r="E390" s="1" t="str" cm="1">
        <f t="array" ref="E390">Scope3_Equations.VEERG_15_9_1_1__1_EmissionsFromPurchasedGrowMedia_Unit()</f>
        <v>t CO2e</v>
      </c>
    </row>
    <row r="392" spans="4:14" x14ac:dyDescent="0.25">
      <c r="D392" s="118" t="str" cm="1">
        <f t="array" ref="D392:E394">_xlfn.CHOOSECOLS(Scope3_Equations.VEERG_15_9_1_1__1_EmissionsFromPurchasedGrowMedia_Arguments(),1,2)</f>
        <v>Q_g</v>
      </c>
      <c r="E392" s="118" t="str">
        <v>total quantity of grow media type g</v>
      </c>
      <c r="F392" s="118" t="str" cm="1">
        <f t="array" ref="F392:G394">_xlfn.CHOOSECOLS(Scope3_Equations.VEERG_15_9_1_1__1_EmissionsFromPurchasedGrowMedia_Arguments(),3,4)</f>
        <v>kg or m3</v>
      </c>
      <c r="G392" s="274" t="str">
        <v>Input</v>
      </c>
    </row>
    <row r="393" spans="4:14" x14ac:dyDescent="0.25">
      <c r="D393" s="118" t="str">
        <v>EF_g</v>
      </c>
      <c r="E393" s="118" t="str">
        <v>emission factor for grow media type g</v>
      </c>
      <c r="F393" s="118" t="str">
        <v>kg CO2e/kg or kg CO2e/m3</v>
      </c>
      <c r="G393" s="126" t="str">
        <v>Constant</v>
      </c>
    </row>
    <row r="394" spans="4:14" x14ac:dyDescent="0.25">
      <c r="D394" s="118" t="str">
        <v>g</v>
      </c>
      <c r="E394" s="118" t="str">
        <v>grow media type</v>
      </c>
      <c r="F394" s="118" t="str">
        <v/>
      </c>
      <c r="G394" s="274" t="str">
        <v>Input</v>
      </c>
    </row>
    <row r="396" spans="4:14" x14ac:dyDescent="0.25">
      <c r="D396" s="36" t="s">
        <v>1222</v>
      </c>
    </row>
    <row r="398" spans="4:14" x14ac:dyDescent="0.25">
      <c r="D398" s="96" t="s">
        <v>1100</v>
      </c>
      <c r="E398" s="96" t="s">
        <v>1084</v>
      </c>
      <c r="F398" s="96" t="s">
        <v>785</v>
      </c>
      <c r="G398" s="122" t="s">
        <v>1223</v>
      </c>
      <c r="H398" s="122" t="s">
        <v>1224</v>
      </c>
      <c r="I398" s="96" t="s">
        <v>1225</v>
      </c>
      <c r="J398" s="122" t="s">
        <v>1226</v>
      </c>
      <c r="K398" s="122" t="s">
        <v>1227</v>
      </c>
      <c r="L398" s="96" t="s">
        <v>1146</v>
      </c>
      <c r="M398" s="96" t="s">
        <v>1147</v>
      </c>
      <c r="N398" s="96" t="s">
        <v>1148</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1228</v>
      </c>
      <c r="H399" s="25" t="s">
        <v>1228</v>
      </c>
      <c r="I399" s="86">
        <v>4</v>
      </c>
      <c r="J399" s="276"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1228</v>
      </c>
      <c r="H400" s="25" t="s">
        <v>1228</v>
      </c>
      <c r="I400" s="86">
        <v>2</v>
      </c>
      <c r="J400" s="276"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1228</v>
      </c>
      <c r="H401" s="25" t="s">
        <v>1228</v>
      </c>
      <c r="I401" s="86"/>
      <c r="J401" s="276"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1228</v>
      </c>
      <c r="H402" s="25" t="s">
        <v>1228</v>
      </c>
      <c r="I402" s="86"/>
      <c r="J402" s="276"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1228</v>
      </c>
      <c r="H403" s="25" t="s">
        <v>1228</v>
      </c>
      <c r="I403" s="86"/>
      <c r="J403" s="276"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1228</v>
      </c>
      <c r="H404" s="25" t="s">
        <v>1228</v>
      </c>
      <c r="I404" s="86"/>
      <c r="J404" s="276"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1228</v>
      </c>
      <c r="H405" s="25" t="s">
        <v>1228</v>
      </c>
      <c r="I405" s="86"/>
      <c r="J405" s="276"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1228</v>
      </c>
      <c r="H406" s="25" t="s">
        <v>1228</v>
      </c>
      <c r="I406" s="86"/>
      <c r="J406" s="276"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1228</v>
      </c>
      <c r="H407" s="25" t="s">
        <v>1228</v>
      </c>
      <c r="I407" s="86"/>
      <c r="J407" s="276"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1228</v>
      </c>
      <c r="H408" s="25" t="s">
        <v>1228</v>
      </c>
      <c r="I408" s="86"/>
      <c r="J408" s="276" cm="1">
        <f t="array" ref="J408">Scope3_Equations.VEERG_15_9_1_1__1_EmissionsFromPurchasedGrowMedia(E408,I408)</f>
        <v>0</v>
      </c>
      <c r="K408" s="25" t="str">
        <f t="shared" si="2"/>
        <v>t CO2e / 0</v>
      </c>
      <c r="L408" s="44"/>
      <c r="M408" s="23"/>
      <c r="N408" s="44"/>
    </row>
    <row r="410" spans="3:41" ht="20.25" x14ac:dyDescent="0.25">
      <c r="D410" s="277" t="s">
        <v>1142</v>
      </c>
      <c r="E410" s="134" t="s">
        <v>1228</v>
      </c>
      <c r="F410" s="135" t="str">
        <f>$E$155</f>
        <v>t CO2e</v>
      </c>
    </row>
    <row r="411" spans="3:41" ht="20.25" x14ac:dyDescent="0.25">
      <c r="D411" s="277" t="s">
        <v>1145</v>
      </c>
      <c r="E411" s="134">
        <f>SUM(J399:J408)</f>
        <v>40.200000000000003</v>
      </c>
      <c r="F411" s="135"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1232</v>
      </c>
    </row>
    <row r="418" spans="4:13" x14ac:dyDescent="0.25">
      <c r="D418" s="116" t="s">
        <v>257</v>
      </c>
      <c r="E418" s="116" t="str" cm="1">
        <f t="array" aca="1" ref="E418" ca="1">Common_InputFunctions.Utility_DisplayFunctionName(H430)</f>
        <v>=Scope3_Equations.VEERG_15_10_1_1__1_OtherPurchasedGoodsAndServices</v>
      </c>
    </row>
    <row r="421" spans="4:13" x14ac:dyDescent="0.25">
      <c r="D421" s="88" t="s">
        <v>258</v>
      </c>
      <c r="E421" s="1" t="str" cm="1">
        <f t="array" ref="E421">Scope3_Equations.VEERG_15_10_1_1__1_OtherPurchasedGoodsAndServices_Variable()</f>
        <v>emissions</v>
      </c>
    </row>
    <row r="422" spans="4:13" x14ac:dyDescent="0.25">
      <c r="D422" s="88" t="s">
        <v>127</v>
      </c>
      <c r="E422" s="15" t="str" cm="1">
        <f t="array" ref="E422">Scope3_Equations.VEERG_15_10_1_1__1_OtherPurchasedGoodsAndServices_Unit()</f>
        <v>t CO2e</v>
      </c>
    </row>
    <row r="424" spans="4:13" x14ac:dyDescent="0.25">
      <c r="D424" s="118" t="str" cm="1">
        <f t="array" ref="D424:E425">_xlfn.CHOOSECOLS(Scope3_Equations.VEERG_15_10_1_1__1_OtherPurchasedGoodsAndServices_Arguments(),1,2)</f>
        <v>activity_data</v>
      </c>
      <c r="E424" s="123" t="str">
        <v>measured activity for the purchased good or service</v>
      </c>
      <c r="F424" s="124"/>
      <c r="G424" s="118" t="str" cm="1">
        <f t="array" ref="G424:H425">_xlfn.CHOOSECOLS(Scope3_Equations.VEERG_15_10_1_1__1_OtherPurchasedGoodsAndServices_Arguments(),3,4)</f>
        <v>varies</v>
      </c>
      <c r="H424" s="274" t="str">
        <v>Input</v>
      </c>
    </row>
    <row r="425" spans="4:13" x14ac:dyDescent="0.25">
      <c r="D425" s="118" t="str">
        <v>emission_factor</v>
      </c>
      <c r="E425" s="123" t="str">
        <v>lifecycle emissions per unit of activity</v>
      </c>
      <c r="F425" s="124"/>
      <c r="G425" s="118" t="str">
        <v>varies</v>
      </c>
      <c r="H425" s="126" t="str">
        <v>Constant</v>
      </c>
    </row>
    <row r="427" spans="4:13" ht="18.75" x14ac:dyDescent="0.25">
      <c r="D427" s="259" t="s">
        <v>1233</v>
      </c>
    </row>
    <row r="429" spans="4:13" x14ac:dyDescent="0.25">
      <c r="D429" s="96" t="s">
        <v>1136</v>
      </c>
      <c r="E429" s="275" t="s">
        <v>1234</v>
      </c>
      <c r="F429" s="275" t="s">
        <v>1235</v>
      </c>
      <c r="G429" s="122" t="s">
        <v>130</v>
      </c>
      <c r="H429" s="122" t="s">
        <v>1142</v>
      </c>
      <c r="I429" s="96" t="s">
        <v>131</v>
      </c>
      <c r="J429" s="122" t="s">
        <v>1145</v>
      </c>
      <c r="K429" s="96" t="s">
        <v>1146</v>
      </c>
      <c r="L429" s="96" t="s">
        <v>1147</v>
      </c>
      <c r="M429" s="96" t="s">
        <v>1148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6" cm="1">
        <f t="array" ref="H430">Scope3_Equations.VEERG_15_10_1_1__1_OtherPurchasedGoodsAndServices(F430,G430*10^-3)</f>
        <v>9.0700000000000003E-2</v>
      </c>
      <c r="I430" s="86">
        <v>1.3</v>
      </c>
      <c r="J430" s="27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6" cm="1">
        <f t="array" ref="H431">Scope3_Equations.VEERG_15_10_1_1__1_OtherPurchasedGoodsAndServices(F431,G431*10^-3)</f>
        <v>7.22E-2</v>
      </c>
      <c r="I431" s="86">
        <v>8</v>
      </c>
      <c r="J431" s="27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6" cm="1">
        <f t="array" ref="H432">Scope3_Equations.VEERG_15_10_1_1__1_OtherPurchasedGoodsAndServices(F432,G432*10^-3)</f>
        <v>8.0399999999999999E-2</v>
      </c>
      <c r="I432" s="86">
        <v>4</v>
      </c>
      <c r="J432" s="27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6" cm="1">
        <f t="array" ref="H433">Scope3_Equations.VEERG_15_10_1_1__1_OtherPurchasedGoodsAndServices(F433,G433*10^-3)</f>
        <v>8.0399999999999999E-2</v>
      </c>
      <c r="I433" s="86">
        <v>3</v>
      </c>
      <c r="J433" s="27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6" cm="1">
        <f t="array" ref="H434">Scope3_Equations.VEERG_15_10_1_1__1_OtherPurchasedGoodsAndServices(F434,G434*10^-3)</f>
        <v>9.0700000000000003E-2</v>
      </c>
      <c r="I434" s="86">
        <v>6</v>
      </c>
      <c r="J434" s="27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6" cm="1">
        <f t="array" ref="H435">Scope3_Equations.VEERG_15_10_1_1__1_OtherPurchasedGoodsAndServices(F435,G435*10^-3)</f>
        <v>9.0700000000000003E-2</v>
      </c>
      <c r="I435" s="86">
        <v>5</v>
      </c>
      <c r="J435" s="27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6" cm="1">
        <f t="array" ref="H436">Scope3_Equations.VEERG_15_10_1_1__1_OtherPurchasedGoodsAndServices(F436,G436*10^-3)</f>
        <v>0</v>
      </c>
      <c r="I436" s="86"/>
      <c r="J436" s="27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6" cm="1">
        <f t="array" ref="H437">Scope3_Equations.VEERG_15_10_1_1__1_OtherPurchasedGoodsAndServices(F437,G437*10^-3)</f>
        <v>0</v>
      </c>
      <c r="I437" s="86"/>
      <c r="J437" s="27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6" cm="1">
        <f t="array" ref="H438">Scope3_Equations.VEERG_15_10_1_1__1_OtherPurchasedGoodsAndServices(F438,G438*10^-3)</f>
        <v>0</v>
      </c>
      <c r="I438" s="86"/>
      <c r="J438" s="27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6" cm="1">
        <f t="array" ref="H439">Scope3_Equations.VEERG_15_10_1_1__1_OtherPurchasedGoodsAndServices(F439,G439*10^-3)</f>
        <v>0</v>
      </c>
      <c r="I439" s="86"/>
      <c r="J439" s="276" cm="1">
        <f t="array" ref="J439">Scope3_Equations.VEERG_15_10_1_1__1_OtherPurchasedGoodsAndServices(F439,IF(I439,I439,G439)*10^-3)</f>
        <v>0</v>
      </c>
      <c r="K439" s="44"/>
      <c r="L439" s="23"/>
      <c r="M439" s="44"/>
    </row>
    <row r="441" spans="4:13" ht="20.25" x14ac:dyDescent="0.25">
      <c r="D441" s="277" t="s">
        <v>1142</v>
      </c>
      <c r="E441" s="134">
        <f>SUM(H430:H439)</f>
        <v>0.50509999999999999</v>
      </c>
      <c r="F441" s="135" t="str">
        <f>$E$155</f>
        <v>t CO2e</v>
      </c>
    </row>
    <row r="442" spans="4:13" ht="20.25" x14ac:dyDescent="0.25">
      <c r="D442" s="277" t="s">
        <v>1145</v>
      </c>
      <c r="E442" s="134">
        <f>SUM(J430:J439)</f>
        <v>2.73</v>
      </c>
      <c r="F442" s="135" t="str">
        <f>$E$155</f>
        <v>t CO2e</v>
      </c>
    </row>
    <row r="445" spans="4:13" ht="18.75" x14ac:dyDescent="0.25">
      <c r="D445" s="259" t="s">
        <v>1236</v>
      </c>
    </row>
    <row r="447" spans="4:13" x14ac:dyDescent="0.25">
      <c r="D447" s="96" t="s">
        <v>1136</v>
      </c>
      <c r="E447" s="275" t="s">
        <v>1234</v>
      </c>
      <c r="F447" s="275" t="s">
        <v>1048</v>
      </c>
      <c r="G447" s="122" t="s">
        <v>1237</v>
      </c>
      <c r="H447" s="122" t="s">
        <v>1142</v>
      </c>
      <c r="I447" s="96" t="s">
        <v>1238</v>
      </c>
      <c r="J447" s="122" t="s">
        <v>1145</v>
      </c>
      <c r="K447" s="96" t="s">
        <v>1146</v>
      </c>
      <c r="L447" s="96" t="s">
        <v>1147</v>
      </c>
      <c r="M447" s="96" t="s">
        <v>1148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6" cm="1">
        <f t="array" ref="H448">Scope3_Equations.VEERG_15_10_1_1__1_OtherPurchasedGoodsAndServices(F448,G448*10^-3)</f>
        <v>5.47E-3</v>
      </c>
      <c r="I448" s="86">
        <v>0.05</v>
      </c>
      <c r="J448" s="27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6" cm="1">
        <f t="array" ref="H449">Scope3_Equations.VEERG_15_10_1_1__1_OtherPurchasedGoodsAndServices(F449,G449*10^-3)</f>
        <v>1.42E-3</v>
      </c>
      <c r="I449" s="86">
        <v>0.01</v>
      </c>
      <c r="J449" s="27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6" cm="1">
        <f t="array" ref="H450">Scope3_Equations.VEERG_15_10_1_1__1_OtherPurchasedGoodsAndServices(F450,G450*10^-3)</f>
        <v>1.4300000000000001E-3</v>
      </c>
      <c r="I450" s="86">
        <v>0.01</v>
      </c>
      <c r="J450" s="27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6" cm="1">
        <f t="array" ref="H451">Scope3_Equations.VEERG_15_10_1_1__1_OtherPurchasedGoodsAndServices(F451,G451*10^-3)</f>
        <v>4.26E-4</v>
      </c>
      <c r="I451" s="86">
        <v>4.0000000000000001E-3</v>
      </c>
      <c r="J451" s="27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6" cm="1">
        <f t="array" ref="H452">Scope3_Equations.VEERG_15_10_1_1__1_OtherPurchasedGoodsAndServices(F452,G452*10^-3)</f>
        <v>5.47E-3</v>
      </c>
      <c r="I452" s="86">
        <v>0.05</v>
      </c>
      <c r="J452" s="27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6" cm="1">
        <f t="array" ref="H453">Scope3_Equations.VEERG_15_10_1_1__1_OtherPurchasedGoodsAndServices(F453,G453*10^-3)</f>
        <v>1.42E-3</v>
      </c>
      <c r="I453" s="86">
        <v>0.01</v>
      </c>
      <c r="J453" s="27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6" cm="1">
        <f t="array" ref="H454">Scope3_Equations.VEERG_15_10_1_1__1_OtherPurchasedGoodsAndServices(F454,G454*10^-3)</f>
        <v>0</v>
      </c>
      <c r="I454" s="86"/>
      <c r="J454" s="27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6" cm="1">
        <f t="array" ref="H455">Scope3_Equations.VEERG_15_10_1_1__1_OtherPurchasedGoodsAndServices(F455,G455*10^-3)</f>
        <v>0</v>
      </c>
      <c r="I455" s="86"/>
      <c r="J455" s="27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6" cm="1">
        <f t="array" ref="H456">Scope3_Equations.VEERG_15_10_1_1__1_OtherPurchasedGoodsAndServices(F456,G456*10^-3)</f>
        <v>0</v>
      </c>
      <c r="I456" s="86"/>
      <c r="J456" s="27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6" cm="1">
        <f t="array" ref="H457">Scope3_Equations.VEERG_15_10_1_1__1_OtherPurchasedGoodsAndServices(F457,G457*10^-3)</f>
        <v>0</v>
      </c>
      <c r="I457" s="86"/>
      <c r="J457" s="276" cm="1">
        <f t="array" ref="J457">Scope3_Equations.VEERG_15_10_1_1__1_OtherPurchasedGoodsAndServices(F457,IF(I457,I457,G457)*10^-3)</f>
        <v>0</v>
      </c>
      <c r="K457" s="44"/>
      <c r="L457" s="23"/>
      <c r="M457" s="44"/>
    </row>
    <row r="459" spans="4:13" ht="20.25" x14ac:dyDescent="0.25">
      <c r="D459" s="277" t="s">
        <v>1142</v>
      </c>
      <c r="E459" s="134">
        <f>SUM(H448:H457)</f>
        <v>1.5636000000000001E-2</v>
      </c>
      <c r="F459" s="135" t="str">
        <f>$E$155</f>
        <v>t CO2e</v>
      </c>
    </row>
    <row r="460" spans="4:13" ht="20.25" x14ac:dyDescent="0.25">
      <c r="D460" s="277" t="s">
        <v>1145</v>
      </c>
      <c r="E460" s="134">
        <f>SUM(J448:J457)</f>
        <v>1.3400000000000002E-2</v>
      </c>
      <c r="F460" s="135" t="str">
        <f>$E$155</f>
        <v>t CO2e</v>
      </c>
    </row>
    <row r="463" spans="4:13" ht="18.75" x14ac:dyDescent="0.25">
      <c r="D463" s="259" t="s">
        <v>1105</v>
      </c>
    </row>
    <row r="465" spans="4:12" x14ac:dyDescent="0.25">
      <c r="D465" s="96" t="s">
        <v>718</v>
      </c>
      <c r="E465" s="96" t="s">
        <v>1239</v>
      </c>
      <c r="F465" s="122" t="s">
        <v>1237</v>
      </c>
      <c r="G465" s="122" t="s">
        <v>1142</v>
      </c>
      <c r="H465" s="96" t="s">
        <v>1238</v>
      </c>
      <c r="I465" s="122" t="s">
        <v>1145</v>
      </c>
      <c r="J465" s="96" t="s">
        <v>1146</v>
      </c>
      <c r="K465" s="96" t="s">
        <v>1147</v>
      </c>
      <c r="L465" s="96" t="s">
        <v>1148</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6" cm="1">
        <f t="array" ref="G466">Scope3_Equations.VEERG_15_10_1_1__1_OtherPurchasedGoodsAndServices(E466,F466*10^-3)</f>
        <v>0.1195</v>
      </c>
      <c r="H466" s="86">
        <v>0.2</v>
      </c>
      <c r="I466" s="276"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6" cm="1">
        <f t="array" ref="G467">Scope3_Equations.VEERG_15_10_1_1__1_OtherPurchasedGoodsAndServices(E467,F467*10^-3)</f>
        <v>0.1086</v>
      </c>
      <c r="H467" s="86"/>
      <c r="I467" s="276"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6" cm="1">
        <f t="array" ref="G468">Scope3_Equations.VEERG_15_10_1_1__1_OtherPurchasedGoodsAndServices(E468,F468*10^-3)</f>
        <v>0.189</v>
      </c>
      <c r="H468" s="86">
        <v>0.2</v>
      </c>
      <c r="I468" s="276"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6" cm="1">
        <f t="array" ref="G469">Scope3_Equations.VEERG_15_10_1_1__1_OtherPurchasedGoodsAndServices(E469,F469*10^-3)</f>
        <v>0.18560000000000001</v>
      </c>
      <c r="H469" s="86"/>
      <c r="I469" s="276"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6" cm="1">
        <f t="array" ref="G470">Scope3_Equations.VEERG_15_10_1_1__1_OtherPurchasedGoodsAndServices(E470,F470*10^-3)</f>
        <v>0.2412</v>
      </c>
      <c r="H470" s="86">
        <v>0.2</v>
      </c>
      <c r="I470" s="276" cm="1">
        <f t="array" ref="I470">Scope3_Equations.VEERG_15_10_1_1__1_OtherPurchasedGoodsAndServices(E470,IF(H470,H470,F470)*10^-3)</f>
        <v>0.18000000000000002</v>
      </c>
      <c r="J470" s="44"/>
      <c r="K470" s="23"/>
      <c r="L470" s="44"/>
    </row>
    <row r="472" spans="4:12" ht="20.25" x14ac:dyDescent="0.25">
      <c r="D472" s="277" t="s">
        <v>1142</v>
      </c>
      <c r="E472" s="134">
        <f>SUM(G466:G470)</f>
        <v>0.84389999999999998</v>
      </c>
      <c r="F472" s="135" t="str">
        <f>$E$155</f>
        <v>t CO2e</v>
      </c>
    </row>
    <row r="473" spans="4:12" ht="20.25" x14ac:dyDescent="0.25">
      <c r="D473" s="277" t="s">
        <v>1145</v>
      </c>
      <c r="E473" s="134">
        <f>SUM(I466:I470)</f>
        <v>0.71420000000000006</v>
      </c>
      <c r="F473" s="135" t="str">
        <f>$E$155</f>
        <v>t CO2e</v>
      </c>
    </row>
    <row r="476" spans="4:12" ht="18.75" x14ac:dyDescent="0.25">
      <c r="D476" s="259" t="s">
        <v>1240</v>
      </c>
    </row>
    <row r="478" spans="4:12" x14ac:dyDescent="0.25">
      <c r="D478" s="96" t="s">
        <v>718</v>
      </c>
      <c r="E478" s="96" t="s">
        <v>1239</v>
      </c>
      <c r="F478" s="122" t="s">
        <v>1237</v>
      </c>
      <c r="G478" s="122" t="s">
        <v>1142</v>
      </c>
      <c r="H478" s="96" t="s">
        <v>1238</v>
      </c>
      <c r="I478" s="122" t="s">
        <v>1145</v>
      </c>
      <c r="J478" s="96" t="s">
        <v>1146</v>
      </c>
      <c r="K478" s="96" t="s">
        <v>1147</v>
      </c>
      <c r="L478" s="96" t="s">
        <v>1148</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6" cm="1">
        <f t="array" ref="G479">Scope3_Equations.VEERG_15_10_1_1__1_OtherPurchasedGoodsAndServices(E479,F479*10^-3)</f>
        <v>4.2399999999999998E-3</v>
      </c>
      <c r="H479" s="86">
        <v>0.2</v>
      </c>
      <c r="I479" s="276"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6" cm="1">
        <f t="array" ref="G480">Scope3_Equations.VEERG_15_10_1_1__1_OtherPurchasedGoodsAndServices(E480,F480*10^-3)</f>
        <v>5.8599999999999998E-3</v>
      </c>
      <c r="H480" s="86"/>
      <c r="I480" s="276"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6" cm="1">
        <f t="array" ref="G481">Scope3_Equations.VEERG_15_10_1_1__1_OtherPurchasedGoodsAndServices(E481,F481*10^-3)</f>
        <v>2.9430000000000005</v>
      </c>
      <c r="H481" s="86">
        <v>0.2</v>
      </c>
      <c r="I481" s="276" cm="1">
        <f t="array" ref="I481">Scope3_Equations.VEERG_15_10_1_1__1_OtherPurchasedGoodsAndServices(E481,IF(H481,H481,F481)*10^-3)</f>
        <v>6.0000000000000005E-2</v>
      </c>
      <c r="J481" s="44"/>
      <c r="K481" s="23"/>
      <c r="L481" s="44"/>
    </row>
    <row r="483" spans="4:14" ht="20.25" x14ac:dyDescent="0.25">
      <c r="D483" s="277" t="s">
        <v>1142</v>
      </c>
      <c r="E483" s="134">
        <f>SUM(G479:G481)</f>
        <v>2.9531000000000005</v>
      </c>
      <c r="F483" s="135" t="str">
        <f>$E$155</f>
        <v>t CO2e</v>
      </c>
    </row>
    <row r="484" spans="4:14" ht="20.25" x14ac:dyDescent="0.25">
      <c r="D484" s="277" t="s">
        <v>1145</v>
      </c>
      <c r="E484" s="134">
        <f>SUM(I479:I481)</f>
        <v>8.5860000000000006E-2</v>
      </c>
      <c r="F484" s="135" t="str">
        <f>$E$155</f>
        <v>t CO2e</v>
      </c>
    </row>
    <row r="487" spans="4:14" ht="18.75" x14ac:dyDescent="0.25">
      <c r="D487" s="259" t="s">
        <v>1241</v>
      </c>
    </row>
    <row r="489" spans="4:14" x14ac:dyDescent="0.25">
      <c r="D489" s="96" t="s">
        <v>718</v>
      </c>
      <c r="E489" s="96" t="s">
        <v>877</v>
      </c>
      <c r="F489" s="96" t="s">
        <v>785</v>
      </c>
      <c r="G489" s="122" t="s">
        <v>1223</v>
      </c>
      <c r="H489" s="122" t="s">
        <v>1224</v>
      </c>
      <c r="I489" s="96" t="s">
        <v>1225</v>
      </c>
      <c r="J489" s="96" t="s">
        <v>1242</v>
      </c>
      <c r="K489" s="122" t="s">
        <v>1226</v>
      </c>
      <c r="L489" s="96" t="s">
        <v>1146</v>
      </c>
      <c r="M489" s="96" t="s">
        <v>1147</v>
      </c>
      <c r="N489" s="96" t="s">
        <v>1148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1228</v>
      </c>
      <c r="H490" s="25" t="s">
        <v>1228</v>
      </c>
      <c r="I490" s="86">
        <v>4</v>
      </c>
      <c r="J490" s="23" t="s">
        <v>1243</v>
      </c>
      <c r="K490" s="27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1228</v>
      </c>
      <c r="H491" s="25" t="s">
        <v>1228</v>
      </c>
      <c r="I491" s="86">
        <v>2</v>
      </c>
      <c r="J491" s="23" t="s">
        <v>1243</v>
      </c>
      <c r="K491" s="27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1228</v>
      </c>
      <c r="H492" s="25" t="s">
        <v>1228</v>
      </c>
      <c r="I492" s="86"/>
      <c r="J492" s="23"/>
      <c r="K492" s="27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1228</v>
      </c>
      <c r="H493" s="25" t="s">
        <v>1228</v>
      </c>
      <c r="I493" s="86"/>
      <c r="J493" s="23"/>
      <c r="K493" s="27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1228</v>
      </c>
      <c r="H494" s="25" t="s">
        <v>1228</v>
      </c>
      <c r="I494" s="86"/>
      <c r="J494" s="23"/>
      <c r="K494" s="27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1228</v>
      </c>
      <c r="H495" s="25" t="s">
        <v>1228</v>
      </c>
      <c r="I495" s="86"/>
      <c r="J495" s="23"/>
      <c r="K495" s="27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1228</v>
      </c>
      <c r="H496" s="25" t="s">
        <v>1228</v>
      </c>
      <c r="I496" s="86"/>
      <c r="J496" s="23"/>
      <c r="K496" s="27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1228</v>
      </c>
      <c r="H497" s="25" t="s">
        <v>1228</v>
      </c>
      <c r="I497" s="86"/>
      <c r="J497" s="23"/>
      <c r="K497" s="27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1228</v>
      </c>
      <c r="H498" s="25" t="s">
        <v>1228</v>
      </c>
      <c r="I498" s="86"/>
      <c r="J498" s="23"/>
      <c r="K498" s="27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1228</v>
      </c>
      <c r="H499" s="25" t="s">
        <v>1228</v>
      </c>
      <c r="I499" s="86"/>
      <c r="J499" s="23"/>
      <c r="K499" s="276" cm="1">
        <f t="array" ref="K499">Scope3_Equations.VEERG_15_10_1_1__1_OtherPurchasedGoodsAndServices(E499,IF(J499="kg / amount unit", I499*10^-3, I499))</f>
        <v>0</v>
      </c>
      <c r="L499" s="44"/>
      <c r="M499" s="23"/>
      <c r="N499" s="44"/>
    </row>
    <row r="501" spans="3:41" ht="20.25" x14ac:dyDescent="0.25">
      <c r="D501" s="277" t="s">
        <v>1142</v>
      </c>
      <c r="E501" s="134" t="s">
        <v>1228</v>
      </c>
      <c r="F501" s="135" t="str">
        <f>$E$155</f>
        <v>t CO2e</v>
      </c>
    </row>
    <row r="502" spans="3:41" ht="20.25" x14ac:dyDescent="0.25">
      <c r="D502" s="277" t="s">
        <v>1145</v>
      </c>
      <c r="E502" s="134">
        <f>SUM(K490:K499)</f>
        <v>4000</v>
      </c>
      <c r="F502" s="135"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6" t="s">
        <v>257</v>
      </c>
      <c r="E508" s="116" t="str">
        <f ca="1">Common_InputFunctions.Utility_DisplayFunctionName(VEERG_15_11_1_1__1_TotalUpstreamEmissionsFromFuel_Result)</f>
        <v>=Scope3_Equations.VEERG_15_11_1_1__1_TotalUpstreamEmissionsFromFuel</v>
      </c>
    </row>
    <row r="512" spans="3:41" x14ac:dyDescent="0.25">
      <c r="D512" s="88" t="s">
        <v>258</v>
      </c>
      <c r="E512" s="1" t="str" cm="1">
        <f t="array" ref="E512">Scope3_Equations.VEERG_15_11_1_1__1_TotalUpstreamEmissionsFromFuel_Variable()</f>
        <v>E</v>
      </c>
    </row>
    <row r="513" spans="3:41" x14ac:dyDescent="0.25">
      <c r="D513" s="88" t="s">
        <v>127</v>
      </c>
      <c r="E513" s="15" t="str" cm="1">
        <f t="array" ref="E513">Scope3_Equations.VEERG_15_11_1_1__1_TotalUpstreamEmissionsFromFuel_Unit()</f>
        <v>t CO2e</v>
      </c>
    </row>
    <row r="515" spans="3:41" x14ac:dyDescent="0.25">
      <c r="D515" s="118" t="str" cm="1">
        <f t="array" ref="D515:E516">_xlfn.CHOOSECOLS(Scope3_Equations.VEERG_15_11_1_1__1_TotalUpstreamEmissionsFromFuel_Arguments(),1,2)</f>
        <v>E_WTTtransq</v>
      </c>
      <c r="E515" s="123" t="str">
        <v>upstream emissions from scope 1 transport fuel use</v>
      </c>
      <c r="F515" s="124"/>
      <c r="G515" s="118" t="str" cm="1">
        <f t="array" ref="G515:H516">_xlfn.CHOOSECOLS(Scope3_Equations.VEERG_15_11_1_1__1_TotalUpstreamEmissionsFromFuel_Arguments(),3,4)</f>
        <v>t CO2e</v>
      </c>
      <c r="H515" s="126" t="str">
        <v>Calculated by 15.11.1.1 (2)</v>
      </c>
      <c r="I515" s="118">
        <f>VEERG_8_1_1_1__1_FuelCombustionTransport_Result</f>
        <v>20.5016</v>
      </c>
    </row>
    <row r="516" spans="3:41" x14ac:dyDescent="0.25">
      <c r="D516" s="118" t="str">
        <v>E_WTTSCq</v>
      </c>
      <c r="E516" s="123" t="str">
        <v>upstream emissions from scope 1 stationary combustion fuel use</v>
      </c>
      <c r="F516" s="124"/>
      <c r="G516" s="118" t="str">
        <v>t CO2e</v>
      </c>
      <c r="H516" s="126" t="str">
        <v>Calculated by 15.11.1.1 (3)</v>
      </c>
      <c r="I516" s="118">
        <f>VEERG_8_2_1_1__1_FuelCombustionStationary_Result</f>
        <v>6.2923999999999998</v>
      </c>
    </row>
    <row r="518" spans="3:41" ht="20.25" x14ac:dyDescent="0.25">
      <c r="D518" s="277" t="s">
        <v>1244</v>
      </c>
      <c r="E518" s="134" cm="1">
        <f t="array" ref="E518">Scope3_Equations.VEERG_15_11_1_1__1_TotalUpstreamEmissionsFromFuel(I515,I516)</f>
        <v>26.794</v>
      </c>
      <c r="F518" s="135"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6" t="s">
        <v>257</v>
      </c>
      <c r="E523" s="116" t="str">
        <f ca="1">Common_InputFunctions.Utility_DisplayFunctionName(VEERG_15_12_1_1__1_UpstreamPurchasedElectricityLocationBased_Result)</f>
        <v>=Scope3_Equations.VEERG_15_12_1_1__1_UpstreamPurchasedElectricityLocationBased</v>
      </c>
    </row>
    <row r="526" spans="3:41" x14ac:dyDescent="0.25">
      <c r="D526" s="88" t="s">
        <v>258</v>
      </c>
      <c r="E526" s="1" t="str" cm="1">
        <f t="array" ref="E526">Scope3_Equations.VEERG_15_12_1_1__1_UpstreamPurchasedElectricityLocationBased_Variable()</f>
        <v>E_3elec</v>
      </c>
    </row>
    <row r="527" spans="3:41" x14ac:dyDescent="0.25">
      <c r="D527" s="88" t="s">
        <v>127</v>
      </c>
      <c r="E527" s="1" t="str" cm="1">
        <f t="array" ref="E527">Scope3_Equations.VEERG_15_12_1_1__1_UpstreamPurchasedElectricityLocationBased_Unit()</f>
        <v>t CO2e</v>
      </c>
    </row>
    <row r="529" spans="3:41" x14ac:dyDescent="0.25">
      <c r="D529" s="118" t="str" cm="1">
        <f t="array" ref="D529:E531">_xlfn.CHOOSECOLS(Scope3_Equations.VEERG_15_12_1_1__1_UpstreamPurchasedElectricityLocationBased_Arguments(),1,2)</f>
        <v>Q_elec</v>
      </c>
      <c r="E529" s="118" t="str">
        <v>amount of electricity purchased from the grid</v>
      </c>
      <c r="F529" s="118"/>
      <c r="G529" s="118" t="str" cm="1">
        <f t="array" ref="G529:H531">_xlfn.CHOOSECOLS(Scope3_Equations.VEERG_15_12_1_1__1_UpstreamPurchasedElectricityLocationBased_Arguments(),3,4)</f>
        <v>kWh</v>
      </c>
      <c r="H529" s="274" t="str">
        <v>Input</v>
      </c>
      <c r="I529" s="123">
        <f>X_Cell_Electricity_Location_AmountPurchasedInkWh</f>
        <v>30000</v>
      </c>
      <c r="J529" s="124"/>
    </row>
    <row r="530" spans="3:41" x14ac:dyDescent="0.25">
      <c r="D530" s="118" t="str">
        <v>EF_3elec</v>
      </c>
      <c r="E530" s="118" t="str">
        <v>scope 3 emission factor for purchased electricity</v>
      </c>
      <c r="F530" s="118"/>
      <c r="G530" s="118" t="str">
        <v>kg CO2e/kWh</v>
      </c>
      <c r="H530" s="126" t="str">
        <v>Constant</v>
      </c>
      <c r="I530" s="123" cm="1">
        <f t="array" ref="I530">Common_InputFunctions.Utility_LookupValueInTableNumber(I531,Table_SourceData_ElectricityEFs[State, Territory or grid description],Table_SourceData_ElectricityEFs[Scope 3 Emission Factors (kg CO2-e/kWh)])</f>
        <v>0.09</v>
      </c>
      <c r="J530" s="124"/>
    </row>
    <row r="531" spans="3:41" x14ac:dyDescent="0.25">
      <c r="D531" s="118" t="str">
        <v>g</v>
      </c>
      <c r="E531" s="123" t="str">
        <v>grid electricity was purchased from</v>
      </c>
      <c r="F531" s="124"/>
      <c r="G531" s="118" t="str">
        <v/>
      </c>
      <c r="H531" s="274" t="str">
        <v>Input</v>
      </c>
      <c r="I531" s="123" t="str">
        <f>X_Cell_Electricity_Location_GridElectricityPurchasedFrom</f>
        <v>Western Australia - North Western Interconnected System (NWIS)</v>
      </c>
      <c r="J531" s="124"/>
    </row>
    <row r="533" spans="3:41" ht="20.25" x14ac:dyDescent="0.25">
      <c r="D533" s="277" t="s">
        <v>1245</v>
      </c>
      <c r="E533" s="134" cm="1">
        <f t="array" ref="E533">Scope3_Equations.VEERG_15_12_1_1__1_UpstreamPurchasedElectricityLocationBased(I529,I530)</f>
        <v>2.7</v>
      </c>
      <c r="F533" s="135"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6" t="s">
        <v>257</v>
      </c>
      <c r="E540" s="116"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258</v>
      </c>
      <c r="E544" s="1" t="str" cm="1">
        <f t="array" ref="E544">Scope3_Equations.VEERG_15_12_1_2__1_UpstreamPurchasedElectricityMarketBased_Variable()</f>
        <v>E_3elec</v>
      </c>
    </row>
    <row r="545" spans="3:41" x14ac:dyDescent="0.25">
      <c r="D545" s="88" t="s">
        <v>127</v>
      </c>
      <c r="E545" s="1" t="str" cm="1">
        <f t="array" ref="E545">Scope3_Equations.VEERG_15_12_1_2__1_UpstreamPurchasedElectricityMarketBased_Unit()</f>
        <v>t CO2e</v>
      </c>
    </row>
    <row r="547" spans="3:41" x14ac:dyDescent="0.25">
      <c r="D547" s="118" t="str" cm="1">
        <f t="array" ref="D547:E553">_xlfn.CHOOSECOLS(Scope3_Equations.VEERG_15_12_1_2__1_UpstreamPurchasedElectricityMarketBased_Arguments(),1,2)</f>
        <v>Q_elec</v>
      </c>
      <c r="E547" s="123" t="str">
        <v>amount of electricity purchased from the grid</v>
      </c>
      <c r="F547" s="124"/>
      <c r="G547" s="118" t="str" cm="1">
        <f t="array" ref="G547:H553">_xlfn.CHOOSECOLS(Scope3_Equations.VEERG_15_12_1_2__1_UpstreamPurchasedElectricityMarketBased_Arguments(),3,4)</f>
        <v>kWh</v>
      </c>
      <c r="H547" s="274" t="str">
        <v>Input</v>
      </c>
      <c r="I547" s="278">
        <f>X_Cell_Electricity_Market_AmountPurchasedExcludingGreenPower</f>
        <v>30000</v>
      </c>
    </row>
    <row r="548" spans="3:41" x14ac:dyDescent="0.25">
      <c r="D548" s="118" t="str">
        <v>RPP</v>
      </c>
      <c r="E548" s="123" t="str">
        <v>renewable power percentage under LRET for the applicable period</v>
      </c>
      <c r="F548" s="124"/>
      <c r="G548" s="118" t="str">
        <v>fraction</v>
      </c>
      <c r="H548" s="274" t="str">
        <v>Input</v>
      </c>
      <c r="I548" s="205">
        <f>X_Cell_Electricity_Market_RenewablePowerPercentage</f>
        <v>0.1</v>
      </c>
    </row>
    <row r="549" spans="3:41" x14ac:dyDescent="0.25">
      <c r="D549" s="118" t="str">
        <v>JRPP</v>
      </c>
      <c r="E549" s="123" t="str">
        <v>jurisdictional renewable power percentage for the applicable period</v>
      </c>
      <c r="F549" s="124"/>
      <c r="G549" s="118" t="str">
        <v>fraction</v>
      </c>
      <c r="H549" s="274" t="str">
        <v>Input</v>
      </c>
      <c r="I549" s="205">
        <f>X_Cell_Electricity_Market_JurisdictionalRenewablePowerPercentage</f>
        <v>0.1</v>
      </c>
    </row>
    <row r="550" spans="3:41" x14ac:dyDescent="0.25">
      <c r="D550" s="118" t="str">
        <v>REC_surrendered</v>
      </c>
      <c r="E550" s="123" t="str">
        <v>eligible renewable energy certificates voluntarily surrendered</v>
      </c>
      <c r="F550" s="124"/>
      <c r="G550" s="118" t="str">
        <v>MWh</v>
      </c>
      <c r="H550" s="274" t="str">
        <v>Input</v>
      </c>
      <c r="I550" s="118">
        <f>(X_Cell_Electricity_Market_AmountPurchasedGreenPower*10^-3)+X_Cell_TotalElegibleVoluntarilySurrenderedRECs</f>
        <v>10</v>
      </c>
    </row>
    <row r="551" spans="3:41" x14ac:dyDescent="0.25">
      <c r="D551" s="118" t="str">
        <v>REC_onsite</v>
      </c>
      <c r="E551" s="123" t="str">
        <v>eligible renewable energy certificates issued for onsite generated electricity</v>
      </c>
      <c r="F551" s="124"/>
      <c r="G551" s="118" t="str">
        <v>MWh</v>
      </c>
      <c r="H551" s="274" t="str">
        <v>Input</v>
      </c>
      <c r="I551" s="118">
        <f>X_Cell_TotalElegibleRECsForElectricityProducedOnSite</f>
        <v>0</v>
      </c>
    </row>
    <row r="552" spans="3:41" x14ac:dyDescent="0.25">
      <c r="D552" s="118" t="str">
        <v>EF_RMF3elec</v>
      </c>
      <c r="E552" s="123" t="str">
        <v>scope 3 residual mix emission factor for electricity</v>
      </c>
      <c r="F552" s="124"/>
      <c r="G552" s="118" t="str">
        <v>kg CO2e/kWh</v>
      </c>
      <c r="H552" s="126" t="str">
        <v>Constant</v>
      </c>
      <c r="I552" s="118" cm="1">
        <f t="array" ref="I552">Table_SourceData_ElectricityEFsMarketBased[Scope 3 EF (kg CO2-e/kWh)]</f>
        <v>0.1</v>
      </c>
    </row>
    <row r="553" spans="3:41" x14ac:dyDescent="0.25">
      <c r="D553" s="118" t="str">
        <v>i</v>
      </c>
      <c r="E553" s="123" t="str">
        <v>state</v>
      </c>
      <c r="F553" s="124"/>
      <c r="G553" s="118" t="str">
        <v/>
      </c>
      <c r="H553" s="274" t="str">
        <v>Input</v>
      </c>
      <c r="I553" s="118" t="str">
        <f>X_Cell_Site_State</f>
        <v>Western Australia</v>
      </c>
    </row>
    <row r="555" spans="3:41" ht="20.25" x14ac:dyDescent="0.25">
      <c r="D555" s="277" t="s">
        <v>1245</v>
      </c>
      <c r="E555" s="134" cm="1">
        <f t="array" ref="E555">Scope3_Equations.VEERG_15_12_1_2__1_UpstreamPurchasedElectricityMarketBasedVariation(I547,I548,I549,I550,I551,I552)</f>
        <v>1.4000000000000001</v>
      </c>
      <c r="F555" s="135"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6" t="s">
        <v>257</v>
      </c>
      <c r="E561" s="116" t="str" cm="1">
        <f t="array" aca="1" ref="E561" ca="1">Common_InputFunctions.Utility_DisplayFunctionName(E573)</f>
        <v>=Scope3_Equations.VEERG_15_13_1_1__1_EmissionsFromManureSentOffSite</v>
      </c>
    </row>
    <row r="564" spans="4:18" x14ac:dyDescent="0.25">
      <c r="D564" s="88" t="s">
        <v>258</v>
      </c>
      <c r="E564" s="1" t="str" cm="1">
        <f t="array" ref="E564">Scope3_Equations.VEERG_15_13_1_1__1_EmissionsFromManureSentOffSite_Variable()</f>
        <v>E</v>
      </c>
    </row>
    <row r="565" spans="4:18" x14ac:dyDescent="0.25">
      <c r="D565" s="88" t="s">
        <v>127</v>
      </c>
      <c r="E565" s="15" t="str" cm="1">
        <f t="array" ref="E565">Scope3_Equations.VEERG_15_13_1_1__1_EmissionsFromManureSentOffSite_Unit()</f>
        <v>t N2O</v>
      </c>
    </row>
    <row r="567" spans="4:18" x14ac:dyDescent="0.25">
      <c r="D567" s="35" t="s">
        <v>144</v>
      </c>
      <c r="L567" s="35" t="s">
        <v>145</v>
      </c>
    </row>
    <row r="569" spans="4:18" x14ac:dyDescent="0.25">
      <c r="D569" s="118" t="str" cm="1">
        <f t="array" ref="D569:E571">_xlfn.CHOOSECOLS(Scope3_Equations.VEERG_15_13_1_1__1_EmissionsFromManureSentOffSite_Arguments(),1,2)</f>
        <v>E_N2O</v>
      </c>
      <c r="E569" s="123" t="str">
        <v>direct nitrous oxide emissions from application of manure to soils outside of scope 1 boundary</v>
      </c>
      <c r="F569" s="131"/>
      <c r="G569" s="124"/>
      <c r="H569" s="118" t="str" cm="1">
        <f t="array" ref="H569:I571">_xlfn.CHOOSECOLS(Scope3_Equations.VEERG_15_13_1_1__1_EmissionsFromManureSentOffSite_Arguments(),3,4)</f>
        <v>t N2O</v>
      </c>
      <c r="I569" s="126" t="str">
        <v>Calculated</v>
      </c>
      <c r="J569" s="118">
        <f>VEERG_5_2_1_1__1_OrganicFertiliserApplicationN2OEmissions_Result_Method1</f>
        <v>7.8571428571428577E-3</v>
      </c>
      <c r="L569" s="118" t="str" cm="1">
        <f t="array" ref="L569:M571">_xlfn.CHOOSECOLS(Scope3_Equations.VEERG_15_13_1_1__1_EmissionsFromManureSentOffSite_Arguments(),1,2)</f>
        <v>E_N2O</v>
      </c>
      <c r="M569" s="123" t="str">
        <v>direct nitrous oxide emissions from application of manure to soils outside of scope 1 boundary</v>
      </c>
      <c r="N569" s="131"/>
      <c r="O569" s="124"/>
      <c r="P569" s="118" t="str" cm="1">
        <f t="array" ref="P569:Q571">_xlfn.CHOOSECOLS(Scope3_Equations.VEERG_15_13_1_1__1_EmissionsFromManureSentOffSite_Arguments(),3,4)</f>
        <v>t N2O</v>
      </c>
      <c r="Q569" s="126" t="str">
        <v>Calculated</v>
      </c>
      <c r="R569" s="118">
        <f>VEERG_5_2_1_1__1_OrganicFertiliserApplicationN2OEmissions_Result_Method2</f>
        <v>1.5714285714285715E-2</v>
      </c>
    </row>
    <row r="570" spans="4:18" x14ac:dyDescent="0.25">
      <c r="D570" s="118" t="str">
        <v>E_ad</v>
      </c>
      <c r="E570" s="123" t="str">
        <v>nitrous oxide emissions from atmospheric deposition of manure to soils</v>
      </c>
      <c r="F570" s="131"/>
      <c r="G570" s="124"/>
      <c r="H570" s="118" t="str">
        <v>t N2O</v>
      </c>
      <c r="I570" s="126" t="str">
        <v>Calculated</v>
      </c>
      <c r="J570" s="118">
        <f>VEERG_5_4_1_3__1_OrganicFertiliserAtmosphericDepositionN2OEmissions_Result_Method1</f>
        <v>2.31E-3</v>
      </c>
      <c r="L570" s="118" t="str">
        <v>E_ad</v>
      </c>
      <c r="M570" s="123" t="str">
        <v>nitrous oxide emissions from atmospheric deposition of manure to soils</v>
      </c>
      <c r="N570" s="131"/>
      <c r="O570" s="124"/>
      <c r="P570" s="118" t="str">
        <v>t N2O</v>
      </c>
      <c r="Q570" s="126" t="str">
        <v>Calculated</v>
      </c>
      <c r="R570" s="118">
        <f>VEERG_5_4_1_3__1_OrganicFertiliserAtmosphericDepositionN2OEmissions_Result_Method2</f>
        <v>4.62E-3</v>
      </c>
    </row>
    <row r="571" spans="4:18" x14ac:dyDescent="0.25">
      <c r="D571" s="118" t="str">
        <v>E_leach</v>
      </c>
      <c r="E571" s="123" t="str">
        <v>nitrous oxide emissions from nitrogen leaching and runoff of manure to soils</v>
      </c>
      <c r="F571" s="131"/>
      <c r="G571" s="124"/>
      <c r="H571" s="118" t="str">
        <v>t N2O</v>
      </c>
      <c r="I571" s="126" t="str">
        <v>Calculated</v>
      </c>
      <c r="J571" s="118">
        <f>VEERG_5_5_1_1__1_FertiliserLeachingAndRunoffN2OEmissions_Result_Method1</f>
        <v>4.1485714285714277E-3</v>
      </c>
      <c r="L571" s="118" t="str">
        <v>E_leach</v>
      </c>
      <c r="M571" s="123" t="str">
        <v>nitrous oxide emissions from nitrogen leaching and runoff of manure to soils</v>
      </c>
      <c r="N571" s="131"/>
      <c r="O571" s="124"/>
      <c r="P571" s="118" t="str">
        <v>t N2O</v>
      </c>
      <c r="Q571" s="126" t="str">
        <v>Calculated</v>
      </c>
      <c r="R571" s="118">
        <f>VEERG_5_5_1_1__1_FertiliserLeachingAndRunoffN2OEmissions_Result_Method2</f>
        <v>8.2971428571428554E-3</v>
      </c>
    </row>
    <row r="573" spans="4:18" ht="20.25" x14ac:dyDescent="0.25">
      <c r="D573" s="277" t="s">
        <v>1245</v>
      </c>
      <c r="E573" s="134" cm="1">
        <f t="array" ref="E573">Scope3_Equations.VEERG_15_13_1_1__1_EmissionsFromManureSentOffSite(J569,J570,J571)</f>
        <v>1.4315714285714286E-2</v>
      </c>
      <c r="F573" s="135" t="str">
        <f>$E$565</f>
        <v>t N2O</v>
      </c>
      <c r="L573" s="277" t="s">
        <v>1245</v>
      </c>
      <c r="M573" s="134" cm="1">
        <f t="array" ref="M573">Scope3_Equations.VEERG_15_13_1_1__1_EmissionsFromManureSentOffSite(R569,R570,R571)</f>
        <v>2.8631428571428572E-2</v>
      </c>
      <c r="N573" s="135" t="str">
        <f>$E$565</f>
        <v>t N2O</v>
      </c>
    </row>
    <row r="575" spans="4:18" x14ac:dyDescent="0.25">
      <c r="D575" s="130" t="str" cm="1">
        <f t="array" ref="D575:E576">Common_Equations.Common_ConvertN2OToCO2e_Arguments()</f>
        <v>EN2O</v>
      </c>
      <c r="E575" s="136" t="str">
        <v>Nitrous oxide emissions (t N2O)</v>
      </c>
      <c r="F575" s="137"/>
      <c r="G575" s="25">
        <f>E573</f>
        <v>1.4315714285714286E-2</v>
      </c>
      <c r="L575" s="130" t="str" cm="1">
        <f t="array" ref="L575:M576">Common_Equations.Common_ConvertN2OToCO2e_Arguments()</f>
        <v>EN2O</v>
      </c>
      <c r="M575" s="136" t="str">
        <v>Nitrous oxide emissions (t N2O)</v>
      </c>
      <c r="N575" s="137"/>
      <c r="O575" s="25">
        <f>M573</f>
        <v>2.8631428571428572E-2</v>
      </c>
    </row>
    <row r="576" spans="4:18" x14ac:dyDescent="0.25">
      <c r="D576" s="130" t="str">
        <v>GWPN2O</v>
      </c>
      <c r="E576" s="136" t="str">
        <v>Global warming potential for nitrous oxide (t CO2-e / t N2O)</v>
      </c>
      <c r="F576" s="137"/>
      <c r="G576" s="25">
        <f>Common_InputFunctions.Utility_LookupValueInTableNumber("N2O",Table_GWPData[Gas],Table_GWPData[CO2-e factor])</f>
        <v>265</v>
      </c>
      <c r="L576" s="130" t="str">
        <v>GWPN2O</v>
      </c>
      <c r="M576" s="136" t="str">
        <v>Global warming potential for nitrous oxide (t CO2-e / t N2O)</v>
      </c>
      <c r="N576" s="137"/>
      <c r="O576" s="25">
        <f>Common_InputFunctions.Utility_LookupValueInTableNumber("N2O",Table_GWPData[Gas],Table_GWPData[CO2-e factor])</f>
        <v>265</v>
      </c>
    </row>
    <row r="578" spans="3:41" ht="18.75" x14ac:dyDescent="0.25">
      <c r="D578" s="100" t="s">
        <v>407</v>
      </c>
      <c r="E578" s="100" cm="1">
        <f t="array" ref="E578">Common_Equations.Common_ConvertN2OToCO2e(G575,G576)</f>
        <v>3.7936642857142857</v>
      </c>
      <c r="F578" s="138" t="str" cm="1">
        <f t="array" ref="F578">Common_Equations.Common_ConvertN2OToCO2e_Unit()</f>
        <v>t CO2e</v>
      </c>
      <c r="L578" s="100" t="s">
        <v>407</v>
      </c>
      <c r="M578" s="100" cm="1">
        <f t="array" ref="M578">Common_Equations.Common_ConvertN2OToCO2e(O575,O576)</f>
        <v>7.5873285714285714</v>
      </c>
      <c r="N578" s="138"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258</v>
      </c>
      <c r="E585" s="1" t="str" cm="1">
        <f t="array" ref="E585">Scope3_Equations.VEERG_15_13_1_3__1_EmissionsFromSolidWasteTreatmentFacility_Variable()</f>
        <v>E</v>
      </c>
    </row>
    <row r="586" spans="3:41" x14ac:dyDescent="0.25">
      <c r="D586" s="88" t="s">
        <v>127</v>
      </c>
      <c r="E586" s="15" t="str" cm="1">
        <f t="array" ref="E586">Scope3_Equations.VEERG_15_13_1_3__1_EmissionsFromSolidWasteTreatmentFacility_Unit()</f>
        <v>t CO2e</v>
      </c>
    </row>
    <row r="588" spans="3:41" ht="20.25" x14ac:dyDescent="0.25">
      <c r="D588" s="277" t="s">
        <v>1245</v>
      </c>
      <c r="E588" s="134">
        <f>VEERG_10_1_1_1__1_EmissionsFromWasteManagement_Scope3_Result_Method1</f>
        <v>441.15000000000003</v>
      </c>
      <c r="F588" s="135"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6" t="s">
        <v>257</v>
      </c>
      <c r="E594" s="116" t="str" cm="1">
        <f t="array" aca="1" ref="E594" ca="1">Common_InputFunctions.Utility_DisplayFunctionName(J609)</f>
        <v>=Scope3_Equations.VEERG_15_14_1_1__1_EmbeddedEmissionsFromUpstreamFreight</v>
      </c>
    </row>
    <row r="598" spans="4:13" x14ac:dyDescent="0.25">
      <c r="D598" s="88" t="s">
        <v>258</v>
      </c>
      <c r="E598" s="1" t="str" cm="1">
        <f t="array" ref="E598">Scope3_Equations.VEERG_15_14_1_1__1_EmbeddedEmissionsFromUpstreamFreight_Variable()</f>
        <v>E</v>
      </c>
    </row>
    <row r="599" spans="4:13" x14ac:dyDescent="0.25">
      <c r="D599" s="88" t="s">
        <v>127</v>
      </c>
      <c r="E599" s="15" t="str" cm="1">
        <f t="array" ref="E599">Scope3_Equations.VEERG_15_14_1_1__1_EmbeddedEmissionsFromUpstreamFreight_Unit()</f>
        <v>t CO2e</v>
      </c>
    </row>
    <row r="601" spans="4:13" x14ac:dyDescent="0.25">
      <c r="D601" s="118" t="str" cm="1">
        <f t="array" ref="D601:E604">_xlfn.CHOOSECOLS(Scope3_Equations.VEERG_15_14_1_1__1_EmbeddedEmissionsFromUpstreamFreight_Arguments(),1,2)</f>
        <v>W_f</v>
      </c>
      <c r="E601" s="123" t="str">
        <v>total mass of goods transported per freight type f</v>
      </c>
      <c r="F601" s="124"/>
      <c r="G601" s="118" t="str" cm="1">
        <f t="array" ref="G601:H604">_xlfn.CHOOSECOLS(Scope3_Equations.VEERG_15_14_1_1__1_EmbeddedEmissionsFromUpstreamFreight_Arguments(),3,4)</f>
        <v>t</v>
      </c>
      <c r="H601" s="274" t="str">
        <v>Input</v>
      </c>
    </row>
    <row r="602" spans="4:13" x14ac:dyDescent="0.25">
      <c r="D602" s="118" t="str">
        <v>D_f</v>
      </c>
      <c r="E602" s="123" t="str">
        <v>total distance transported per freight type f</v>
      </c>
      <c r="F602" s="124"/>
      <c r="G602" s="118" t="str">
        <v>km</v>
      </c>
      <c r="H602" s="274" t="str">
        <v>Input</v>
      </c>
    </row>
    <row r="603" spans="4:13" x14ac:dyDescent="0.25">
      <c r="D603" s="118" t="str">
        <v>EF_f</v>
      </c>
      <c r="E603" s="123" t="str">
        <v>emission factor for freight type f</v>
      </c>
      <c r="F603" s="124"/>
      <c r="G603" s="118" t="str">
        <v>t CO2e/(t km)</v>
      </c>
      <c r="H603" s="126" t="str">
        <v>Constant</v>
      </c>
    </row>
    <row r="604" spans="4:13" x14ac:dyDescent="0.25">
      <c r="D604" s="118" t="str">
        <v>f</v>
      </c>
      <c r="E604" s="123" t="str">
        <v>freight type</v>
      </c>
      <c r="F604" s="124"/>
      <c r="G604" s="118" t="str">
        <v/>
      </c>
      <c r="H604" s="274" t="str">
        <v>Input</v>
      </c>
    </row>
    <row r="606" spans="4:13" ht="18.75" x14ac:dyDescent="0.25">
      <c r="D606" s="259" t="s">
        <v>1112</v>
      </c>
    </row>
    <row r="608" spans="4:13" ht="17.25" x14ac:dyDescent="0.25">
      <c r="D608" s="96" t="s">
        <v>1246</v>
      </c>
      <c r="E608" s="96" t="s">
        <v>1247</v>
      </c>
      <c r="F608" s="96" t="s">
        <v>1248</v>
      </c>
      <c r="G608" s="122" t="s">
        <v>1249</v>
      </c>
      <c r="H608" s="122" t="s">
        <v>1142</v>
      </c>
      <c r="I608" s="96" t="s">
        <v>1189</v>
      </c>
      <c r="J608" s="122" t="s">
        <v>1145</v>
      </c>
      <c r="K608" s="96" t="s">
        <v>1146</v>
      </c>
      <c r="L608" s="96" t="s">
        <v>1147</v>
      </c>
      <c r="M608" s="96" t="s">
        <v>1148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1228</v>
      </c>
      <c r="H609" s="25" t="s">
        <v>1228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1228</v>
      </c>
      <c r="H610" s="25" t="s">
        <v>1228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1228</v>
      </c>
      <c r="H611" s="25" t="s">
        <v>1228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1228</v>
      </c>
      <c r="H612" s="25" t="s">
        <v>1228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1228</v>
      </c>
      <c r="H613" s="25" t="s">
        <v>1228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1228</v>
      </c>
      <c r="H614" s="25" t="s">
        <v>1228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1228</v>
      </c>
      <c r="H615" s="25" t="s">
        <v>1228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1228</v>
      </c>
      <c r="H616" s="25" t="s">
        <v>1228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1228</v>
      </c>
      <c r="H617" s="25" t="s">
        <v>1228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1228</v>
      </c>
      <c r="H618" s="25" t="s">
        <v>1228</v>
      </c>
      <c r="I618" s="86"/>
      <c r="J618" s="25" cm="1">
        <f t="array" ref="J618">Scope3_Equations.VEERG_15_14_1_1__1_EmbeddedEmissionsFromUpstreamFreight(E618,F618,I618)</f>
        <v>0</v>
      </c>
      <c r="K618" s="44"/>
      <c r="L618" s="23"/>
      <c r="M618" s="44"/>
    </row>
    <row r="620" spans="4:13" x14ac:dyDescent="0.25">
      <c r="D620" s="140" t="s">
        <v>1250</v>
      </c>
      <c r="E620" s="100" t="s">
        <v>1228</v>
      </c>
      <c r="F620" s="138" t="str">
        <f>$E$104</f>
        <v>t CO2e</v>
      </c>
    </row>
    <row r="621" spans="4:13" x14ac:dyDescent="0.25">
      <c r="D621" s="140" t="s">
        <v>1251</v>
      </c>
      <c r="E621" s="100">
        <f>SUM(J609:J618)</f>
        <v>5146700</v>
      </c>
      <c r="F621" s="138" t="str">
        <f>$E$104</f>
        <v>t CO2e</v>
      </c>
    </row>
    <row r="624" spans="4:13" ht="18.75" x14ac:dyDescent="0.25">
      <c r="D624" s="259" t="s">
        <v>1122</v>
      </c>
    </row>
    <row r="626" spans="4:13" ht="17.25" x14ac:dyDescent="0.25">
      <c r="D626" s="96" t="s">
        <v>1246</v>
      </c>
      <c r="E626" s="96" t="s">
        <v>1247</v>
      </c>
      <c r="F626" s="96" t="s">
        <v>1248</v>
      </c>
      <c r="G626" s="122" t="s">
        <v>1249</v>
      </c>
      <c r="H626" s="122" t="s">
        <v>1142</v>
      </c>
      <c r="I626" s="96" t="s">
        <v>1189</v>
      </c>
      <c r="J626" s="122" t="s">
        <v>1145</v>
      </c>
      <c r="K626" s="96" t="s">
        <v>1146</v>
      </c>
      <c r="L626" s="96" t="s">
        <v>1147</v>
      </c>
      <c r="M626" s="96" t="s">
        <v>1148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1228</v>
      </c>
      <c r="H627" s="25" t="s">
        <v>1228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1228</v>
      </c>
      <c r="H628" s="25" t="s">
        <v>1228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1228</v>
      </c>
      <c r="H629" s="25" t="s">
        <v>1228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1228</v>
      </c>
      <c r="H630" s="25" t="s">
        <v>1228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1228</v>
      </c>
      <c r="H631" s="25" t="s">
        <v>1228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1228</v>
      </c>
      <c r="H632" s="25" t="s">
        <v>1228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1228</v>
      </c>
      <c r="H633" s="25" t="s">
        <v>1228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1228</v>
      </c>
      <c r="H634" s="25" t="s">
        <v>1228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1228</v>
      </c>
      <c r="H635" s="25" t="s">
        <v>1228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1228</v>
      </c>
      <c r="H636" s="25" t="s">
        <v>1228</v>
      </c>
      <c r="I636" s="86"/>
      <c r="J636" s="25" cm="1">
        <f t="array" ref="J636">Scope3_Equations.VEERG_15_14_1_1__1_EmbeddedEmissionsFromUpstreamFreight(E636,F636,I636)</f>
        <v>0</v>
      </c>
      <c r="K636" s="44"/>
      <c r="L636" s="23"/>
      <c r="M636" s="44"/>
    </row>
    <row r="638" spans="4:13" x14ac:dyDescent="0.25">
      <c r="D638" s="140" t="s">
        <v>1252</v>
      </c>
      <c r="E638" s="100" t="s">
        <v>1228</v>
      </c>
      <c r="F638" s="138" t="str">
        <f>$E$104</f>
        <v>t CO2e</v>
      </c>
    </row>
    <row r="639" spans="4:13" x14ac:dyDescent="0.25">
      <c r="D639" s="140" t="s">
        <v>1253</v>
      </c>
      <c r="E639" s="100">
        <f>SUM(J627:J636)</f>
        <v>432640</v>
      </c>
      <c r="F639" s="138" t="str">
        <f>$E$104</f>
        <v>t CO2e</v>
      </c>
    </row>
    <row r="641" spans="4:6" ht="20.25" x14ac:dyDescent="0.25">
      <c r="D641" s="133" t="s">
        <v>1142</v>
      </c>
      <c r="E641" s="134" t="s">
        <v>1228</v>
      </c>
      <c r="F641" s="135" t="str">
        <f>$E$104</f>
        <v>t CO2e</v>
      </c>
    </row>
    <row r="642" spans="4:6" ht="20.25" x14ac:dyDescent="0.25">
      <c r="D642" s="133" t="s">
        <v>1145</v>
      </c>
      <c r="E642" s="134">
        <f>VEERG_15_14_1_1__1_EmbeddedEmissionsFromUpstreamFreight_Incoming_Result_Method2+VEERG_15_14_1_1__1_EmbeddedEmissionsFromUpstreamFreight_Outgoing_Result_Method2</f>
        <v>5579340</v>
      </c>
      <c r="F642" s="135" t="str">
        <f>$E$104</f>
        <v>t CO2e</v>
      </c>
    </row>
  </sheetData>
  <dataValidations count="2">
    <dataValidation type="list" allowBlank="1" showInputMessage="1" showErrorMessage="1" sqref="J490:J499" xr:uid="{93C54C0C-F9F1-4510-83AA-5E8B424E38C7}">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E222D871-CED1-4D43-9FAD-E3E9CCE5963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88A59-78FB-4DC7-A5AD-55C537EA623F}">
  <sheetPr>
    <tabColor theme="9" tint="-0.249977111117893"/>
  </sheetPr>
  <dimension ref="A1:U160"/>
  <sheetViews>
    <sheetView showGridLines="0" topLeftCell="C61"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2" width="5.28515625" style="258" customWidth="1"/>
    <col min="13" max="13" width="5.28515625" style="1" customWidth="1"/>
    <col min="14" max="20" width="35" style="1" customWidth="1"/>
    <col min="21" max="21" width="5.28515625" style="1" customWidth="1"/>
    <col min="22" max="16384" width="9.140625" style="258"/>
  </cols>
  <sheetData>
    <row r="1" spans="1:21" ht="30" customHeight="1" x14ac:dyDescent="0.35">
      <c r="A1" s="16" t="e" vm="1">
        <v>#VALUE!</v>
      </c>
      <c r="C1" s="31" t="s">
        <v>1254</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6" t="s">
        <v>257</v>
      </c>
      <c r="E7" s="116" t="str">
        <f ca="1">Common_InputFunctions.Utility_DisplayFunctionName(VEERG_5_2_1_1__1_OrganicFertiliserApplicationN2OEmissions_Result_Method1)</f>
        <v>=Fertiliser_Equations_OrganicN2O.VEERG_5_2_1_1__1_OrganicFertiliserApplicationN2OEmissions</v>
      </c>
      <c r="N7" s="116" t="s">
        <v>257</v>
      </c>
      <c r="O7" s="116"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Fertiliser_Equations_OrganicN2O.VEERG_5_2_1_1__1_OrganicFertiliserApplicationN2OEmissions_Variable()</f>
        <v>E_N2O</v>
      </c>
      <c r="N10" s="88" t="s">
        <v>258</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8" t="s">
        <v>127</v>
      </c>
      <c r="E11" s="15" t="str" cm="1">
        <f t="array" ref="E11">Fertiliser_Equations_OrganicN2O.VEERG_5_2_1_1__1_OrganicFertiliserApplicationN2OEmissions_Unit()</f>
        <v>t N2O</v>
      </c>
      <c r="N11" s="88" t="s">
        <v>127</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7">_xlfn.CHOOSECOLS(Fertiliser_Equations_OrganicN2O.VEERG_5_2_1_1__1_OrganicFertiliserApplicationN2OEmissions_Arguments(), 1, 2)</f>
        <v>MNSoil_jf</v>
      </c>
      <c r="E13" s="123" t="str">
        <v>mass of nitrogen in organic fertiliser type f applied to production system j</v>
      </c>
      <c r="F13" s="131"/>
      <c r="G13" s="124"/>
      <c r="H13" s="118" t="str" cm="1">
        <f t="array" ref="H13:I17">_xlfn.CHOOSECOLS(Fertiliser_Equations_OrganicN2O.VEERG_5_2_1_1__1_OrganicFertiliserApplicationN2OEmissions_Arguments(), 3,4)</f>
        <v>kg N</v>
      </c>
      <c r="I13" s="126" t="str">
        <v>Calculated from 5.2.1.1 (2)</v>
      </c>
      <c r="J13" s="118">
        <f>X_Cell_ManureSentOffsite_MassNitrogenManure_Method1</f>
        <v>1000</v>
      </c>
      <c r="N13" s="118" t="str" cm="1">
        <f t="array" ref="N13:O17">_xlfn.CHOOSECOLS(Fertiliser_Equations_OrganicN2O.VEERG_5_2_1_1__1_OrganicFertiliserApplicationN2OEmissions_Arguments(), 1, 2)</f>
        <v>MNSoil_jf</v>
      </c>
      <c r="O13" s="123" t="str">
        <v>mass of nitrogen in organic fertiliser type f applied to production system j</v>
      </c>
      <c r="P13" s="131"/>
      <c r="Q13" s="124"/>
      <c r="R13" s="118" t="str" cm="1">
        <f t="array" ref="R13:S17">_xlfn.CHOOSECOLS(Fertiliser_Equations_OrganicN2O.VEERG_5_2_1_1__1_OrganicFertiliserApplicationN2OEmissions_Arguments(), 3,4)</f>
        <v>kg N</v>
      </c>
      <c r="S13" s="126" t="str">
        <v>Calculated from 5.2.1.1 (2)</v>
      </c>
      <c r="T13" s="118">
        <f>X_Cell_ManureSentOffsite_MassNitrogenManure_Method2</f>
        <v>2000</v>
      </c>
    </row>
    <row r="14" spans="1:21" ht="20.100000000000001" customHeight="1" x14ac:dyDescent="0.25">
      <c r="A14" s="5" t="str">
        <f>HYPERLINK("#'Input - Dairy cattle purchases'!A1", "Dairy cattle purchases")</f>
        <v>Dairy cattle purchases</v>
      </c>
      <c r="D14" s="118" t="str">
        <v>EF_N2Oi</v>
      </c>
      <c r="E14" s="123" t="str">
        <v>emission factor for direct nitrous oxide emissions from organic fertiliser applied to soils and aquatic systems in climate zone i</v>
      </c>
      <c r="F14" s="131"/>
      <c r="G14" s="124"/>
      <c r="H14" s="118" t="str">
        <v>kg N2O-N/kg N</v>
      </c>
      <c r="I14" s="126" t="str">
        <v>Lookup</v>
      </c>
      <c r="J14" s="118">
        <f>Common_InputFunctions.Utility_LookupValueInTableNumber(J17, Table_SourceData_Common_EFOrganicFertCropResidues[Climate Zone],Table_SourceData_Common_EFOrganicFertCropResidues[EFNi &amp; EFN2Oi])</f>
        <v>5.0000000000000001E-3</v>
      </c>
      <c r="N14" s="118" t="str">
        <v>EF_N2Oi</v>
      </c>
      <c r="O14" s="123" t="str">
        <v>emission factor for direct nitrous oxide emissions from organic fertiliser applied to soils and aquatic systems in climate zone i</v>
      </c>
      <c r="P14" s="131"/>
      <c r="Q14" s="124"/>
      <c r="R14" s="118" t="str">
        <v>kg N2O-N/kg N</v>
      </c>
      <c r="S14" s="126" t="str">
        <v>Lookup</v>
      </c>
      <c r="T14" s="118"/>
    </row>
    <row r="15" spans="1:21" ht="20.100000000000001" customHeight="1" x14ac:dyDescent="0.25">
      <c r="A15" s="5" t="str">
        <f>HYPERLINK("#'Input - Pasture'!A1", "Pasture")</f>
        <v>Pasture</v>
      </c>
      <c r="D15" s="118" t="str">
        <v>C_N2O</v>
      </c>
      <c r="E15" s="123" t="str">
        <v>factor to convert elemental mass of nitrous oxide to molecular mass</v>
      </c>
      <c r="F15" s="131"/>
      <c r="G15" s="124"/>
      <c r="H15" s="118" t="str">
        <v/>
      </c>
      <c r="I15" s="126" t="str">
        <v>Constant</v>
      </c>
      <c r="J15" s="118">
        <f>Common_InputFunctions.Utility_LookupValueInTableNumber("N2O",Table_GasToMolecularConversionFactor[Gas],Table_GasToMolecularConversionFactor[Conversion factor combined])</f>
        <v>1.5714285714285714</v>
      </c>
      <c r="N15" s="118" t="str">
        <v>C_N2O</v>
      </c>
      <c r="O15" s="123" t="str">
        <v>factor to convert elemental mass of nitrous oxide to molecular mass</v>
      </c>
      <c r="P15" s="131"/>
      <c r="Q15" s="124"/>
      <c r="R15" s="118" t="str">
        <v/>
      </c>
      <c r="S15" s="126" t="str">
        <v>Constant</v>
      </c>
      <c r="T15" s="118"/>
    </row>
    <row r="16" spans="1:21" ht="20.100000000000001" customHeight="1" x14ac:dyDescent="0.25">
      <c r="A16" s="5" t="str">
        <f>HYPERLINK("#'Input - Fert Prod System'!A1", "Fert Prod System")</f>
        <v>Fert Prod System</v>
      </c>
      <c r="D16" s="118" t="str">
        <v>j</v>
      </c>
      <c r="E16" s="123" t="str">
        <v>Production system</v>
      </c>
      <c r="F16" s="131"/>
      <c r="G16" s="124"/>
      <c r="H16" s="118" t="str">
        <v/>
      </c>
      <c r="I16" s="274" t="str">
        <v>Input</v>
      </c>
      <c r="J16" s="118" t="str">
        <f>X_Cell_ManureSentOffsite_ManureProductionSystem</f>
        <v>Crop</v>
      </c>
      <c r="N16" s="118" t="str">
        <v>j</v>
      </c>
      <c r="O16" s="123" t="str">
        <v>Production system</v>
      </c>
      <c r="P16" s="131"/>
      <c r="Q16" s="124"/>
      <c r="R16" s="118" t="str">
        <v/>
      </c>
      <c r="S16" s="274" t="str">
        <v>Input</v>
      </c>
      <c r="T16" s="118"/>
    </row>
    <row r="17" spans="1:20" ht="20.100000000000001" customHeight="1" x14ac:dyDescent="0.25">
      <c r="A17" s="5" t="str">
        <f>HYPERLINK("#'Input - Fertiliser'!A1", "Fertiliser")</f>
        <v>Fertiliser</v>
      </c>
      <c r="D17" s="118" t="str">
        <v>i</v>
      </c>
      <c r="E17" s="123" t="str">
        <v>Wet or dry climate zone</v>
      </c>
      <c r="F17" s="131"/>
      <c r="G17" s="124"/>
      <c r="H17" s="118" t="str">
        <v/>
      </c>
      <c r="I17" s="274" t="str">
        <v>Input</v>
      </c>
      <c r="J17" s="118" t="str">
        <f>X_Cell_Site_WetOrDryClimateZone</f>
        <v>Dry climate zone</v>
      </c>
      <c r="N17" s="118" t="str">
        <v>i</v>
      </c>
      <c r="O17" s="123" t="str">
        <v>Wet or dry climate zone</v>
      </c>
      <c r="P17" s="131"/>
      <c r="Q17" s="124"/>
      <c r="R17" s="118" t="str">
        <v/>
      </c>
      <c r="S17" s="274" t="str">
        <v>Input</v>
      </c>
      <c r="T17" s="118"/>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3" t="s">
        <v>640</v>
      </c>
      <c r="E19" s="134" cm="1">
        <f t="array" ref="E19">Fertiliser_Equations_OrganicN2O.VEERG_5_2_1_1__1_OrganicFertiliserApplicationN2OEmissions(J13,J14,J15)</f>
        <v>7.8571428571428577E-3</v>
      </c>
      <c r="F19" s="135" t="str">
        <f>$E$11</f>
        <v>t N2O</v>
      </c>
      <c r="N19" s="133" t="s">
        <v>640</v>
      </c>
      <c r="O19" s="134" cm="1">
        <f t="array" ref="O19">Fertiliser_Equations_OrganicN2O.VEERG_5_2_1_1__1_OrganicFertiliserApplicationN2OEmissions(T13,J14,J15)</f>
        <v>1.5714285714285715E-2</v>
      </c>
      <c r="P19" s="135"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16" t="s">
        <v>257</v>
      </c>
      <c r="E26" s="116" t="str" cm="1">
        <f t="array" aca="1" ref="E26" ca="1">Common_InputFunctions.Utility_DisplayFunctionName(E35)</f>
        <v>=Fertiliser_Equations_AtmosphericDeposition.VEERG_5_4_1_3__2_MassOfNitrogenVolatilisedFromOrganicFertiliser</v>
      </c>
      <c r="N26" s="116" t="s">
        <v>257</v>
      </c>
      <c r="O26" s="116"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8" t="s">
        <v>258</v>
      </c>
      <c r="E29" s="1" t="str" cm="1">
        <f t="array" ref="E29">Fertiliser_Equations_AtmosphericDeposition.VEERG_5_4_1_3__2_MassOfNitrogenVolatilisedFromOrganicFertiliser_Variable()</f>
        <v>M_volorganicjf</v>
      </c>
      <c r="N29" s="88" t="s">
        <v>258</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8" t="s">
        <v>127</v>
      </c>
      <c r="E30" s="15" t="str" cm="1">
        <f t="array" ref="E30">Fertiliser_Equations_AtmosphericDeposition.VEERG_5_4_1_3__2_MassOfNitrogenVolatilisedFromOrganicFertiliser_Unit()</f>
        <v>kg N</v>
      </c>
      <c r="N30" s="88" t="s">
        <v>127</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18" t="str" cm="1">
        <f t="array" ref="D32:E33">_xlfn.CHOOSECOLS(Fertiliser_Equations_AtmosphericDeposition.VEERG_5_4_1_3__2_MassOfNitrogenVolatilisedFromOrganicFertiliser_Arguments(), 1, 2)</f>
        <v>MNSoil_jf</v>
      </c>
      <c r="E32" s="118" t="str">
        <v>mass of nitrogen in organic fertiliser type f applied to production system j</v>
      </c>
      <c r="F32" s="118"/>
      <c r="G32" s="118" t="str" cm="1">
        <f t="array" ref="G32:H33">_xlfn.CHOOSECOLS(Fertiliser_Equations_AtmosphericDeposition.VEERG_5_4_1_3__2_MassOfNitrogenVolatilisedFromOrganicFertiliser_Arguments(), 3,4)</f>
        <v>kg N</v>
      </c>
      <c r="H32" s="126" t="str">
        <v>Calculated from 5.2.1.1 (2)</v>
      </c>
      <c r="I32" s="118">
        <f>X_Cell_ManureSentOffsite_MassNitrogenManure_Method1</f>
        <v>1000</v>
      </c>
      <c r="N32" s="118" t="str" cm="1">
        <f t="array" ref="N32:O33">_xlfn.CHOOSECOLS(Fertiliser_Equations_AtmosphericDeposition.VEERG_5_4_1_3__2_MassOfNitrogenVolatilisedFromOrganicFertiliser_Arguments(), 1, 2)</f>
        <v>MNSoil_jf</v>
      </c>
      <c r="O32" s="118" t="str">
        <v>mass of nitrogen in organic fertiliser type f applied to production system j</v>
      </c>
      <c r="P32" s="118"/>
      <c r="Q32" s="118" t="str" cm="1">
        <f t="array" ref="Q32:R33">_xlfn.CHOOSECOLS(Fertiliser_Equations_AtmosphericDeposition.VEERG_5_4_1_3__2_MassOfNitrogenVolatilisedFromOrganicFertiliser_Arguments(), 3,4)</f>
        <v>kg N</v>
      </c>
      <c r="R32" s="126" t="str">
        <v>Calculated from 5.2.1.1 (2)</v>
      </c>
      <c r="S32" s="118">
        <f>X_Cell_ManureSentOffsite_MassNitrogenManure_Method2</f>
        <v>2000</v>
      </c>
    </row>
    <row r="33" spans="1:19" ht="20.100000000000001" customHeight="1" x14ac:dyDescent="0.25">
      <c r="A33" s="5" t="str">
        <f>HYPERLINK("#'6.2.1.1-2 Pasture residue N2O'!A1", "6.2.1.1-2 Pasture residue N2O")</f>
        <v>6.2.1.1-2 Pasture residue N2O</v>
      </c>
      <c r="D33" s="118" t="str">
        <v>FracGASM_soil</v>
      </c>
      <c r="E33" s="118" t="str">
        <v>fraction of organic fertiliser N that volatilises</v>
      </c>
      <c r="F33" s="118"/>
      <c r="G33" s="118" t="str">
        <v>(kg NH3-N + NOx-N)/kg N</v>
      </c>
      <c r="H33" s="126" t="str">
        <v>Constant</v>
      </c>
      <c r="I33" s="118">
        <f>Fertiliser_FracGASMSoil_Data</f>
        <v>0.21</v>
      </c>
      <c r="N33" s="118" t="str">
        <v>FracGASM_soil</v>
      </c>
      <c r="O33" s="118" t="str">
        <v>fraction of organic fertiliser N that volatilises</v>
      </c>
      <c r="P33" s="118"/>
      <c r="Q33" s="118" t="str">
        <v>(kg NH3-N + NOx-N)/kg N</v>
      </c>
      <c r="R33" s="126" t="str">
        <v>Constant</v>
      </c>
      <c r="S33" s="118"/>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0" t="s">
        <v>1255</v>
      </c>
      <c r="E35" s="100" cm="1">
        <f t="array" ref="E35">Fertiliser_Equations_AtmosphericDeposition.VEERG_5_4_1_3__2_MassOfNitrogenVolatilisedFromOrganicFertiliser(I32,I33)</f>
        <v>210</v>
      </c>
      <c r="F35" s="138" t="str">
        <f>E30</f>
        <v>kg N</v>
      </c>
      <c r="N35" s="140" t="s">
        <v>1255</v>
      </c>
      <c r="O35" s="100" cm="1">
        <f t="array" ref="O35">Fertiliser_Equations_AtmosphericDeposition.VEERG_5_4_1_3__2_MassOfNitrogenVolatilisedFromOrganicFertiliser(S32,I33)</f>
        <v>420</v>
      </c>
      <c r="P35" s="138"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17" t="str">
        <f>HYPERLINK("#'Calcs - Manure sent off-site'!A1", "Calcs - Manure sent off-site")</f>
        <v>Calcs - Manure sent off-site</v>
      </c>
    </row>
    <row r="40" spans="1:19" ht="20.100000000000001" customHeight="1" x14ac:dyDescent="0.25">
      <c r="A40" s="5" t="str">
        <f>HYPERLINK("#'4.3.1.1-2 Methane'!A1", "4.3.1.1-2 Methane")</f>
        <v>4.3.1.1-2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HYPERLINK("#'4.3.1.3-4 Direct N20'!A1", "4.3.1.3-4 Direct N20")</f>
        <v>4.3.1.3-4 Direct N20</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HYPERLINK("#'4.3.1.5 Atmos deposition'!A1", "4.3.1.5 Atmos deposition")</f>
        <v>4.3.1.5 Atmos deposition</v>
      </c>
      <c r="D42" s="116" t="s">
        <v>257</v>
      </c>
      <c r="E42" s="116" t="str">
        <f ca="1">Common_InputFunctions.Utility_DisplayFunctionName(VEERG_5_4_1_3__1_OrganicFertiliserAtmosphericDepositionN2OEmissions_Result_Method1)</f>
        <v>=Fertiliser_Equations_AtmosphericDeposition.VEERG_5_4_1_3__1_OrganicFertiliserAtmosphericDepositionN2OEmissions</v>
      </c>
      <c r="N42" s="116" t="s">
        <v>257</v>
      </c>
      <c r="O42" s="116"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HYPERLINK("#'4.3.1.6-7 Leaching and runoff'!A1", "4.3.1.6-7 Leaching and runoff")</f>
        <v>4.3.1.6-7 Leaching and runoff</v>
      </c>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88" t="s">
        <v>258</v>
      </c>
      <c r="E45" s="1" t="str" cm="1">
        <f t="array" ref="E45">Fertiliser_Equations_AtmosphericDeposition.VEERG_5_4_1_3__1_OrganicFertiliserAtmosphericDepositionN2OEmissions_Variable()</f>
        <v>E_adorganic</v>
      </c>
      <c r="N45" s="88" t="s">
        <v>258</v>
      </c>
      <c r="O45" s="1" t="str" cm="1">
        <f t="array" ref="O45">Fertiliser_Equations_AtmosphericDeposition.VEERG_5_4_1_3__1_OrganicFertiliserAtmosphericDepositionN2OEmissions_Variable()</f>
        <v>E_adorganic</v>
      </c>
    </row>
    <row r="46" spans="1:19" ht="20.100000000000001" customHeight="1" x14ac:dyDescent="0.25">
      <c r="A46" s="5" t="str">
        <f>HYPERLINK("#'4.3.1.10-11 Soil Atmos Dep'!A1", "4.3.1.10-11 Soil Atmos Dep")</f>
        <v>4.3.1.10-11 Soil Atmos Dep</v>
      </c>
      <c r="D46" s="88" t="s">
        <v>127</v>
      </c>
      <c r="E46" s="15" t="str" cm="1">
        <f t="array" ref="E46">Fertiliser_Equations_AtmosphericDeposition.VEERG_5_4_1_3__1_OrganicFertiliserAtmosphericDepositionN2OEmissions_Unit()</f>
        <v>t N2O</v>
      </c>
      <c r="N46" s="88" t="s">
        <v>127</v>
      </c>
      <c r="O46" s="15" t="str" cm="1">
        <f t="array" ref="O46">Fertiliser_Equations_AtmosphericDeposition.VEERG_5_4_1_3__1_OrganicFertiliserAtmosphericDepositionN2OEmissions_Unit()</f>
        <v>t N2O</v>
      </c>
    </row>
    <row r="47" spans="1:19" ht="20.100000000000001" customHeight="1" x14ac:dyDescent="0.25">
      <c r="A47" s="5" t="str">
        <f>HYPERLINK("#'4.3.1.12-13 Soil leach runoff'!A1", "4.3.1.12-13 Soil leach runoff")</f>
        <v>4.3.1.12-13 Soil leach runoff</v>
      </c>
    </row>
    <row r="48" spans="1:19" ht="20.100000000000001" customHeight="1" x14ac:dyDescent="0.25">
      <c r="A48" s="5" t="str">
        <f>HYPERLINK("#'3.3.1.1-2 Enteric Methane'!A1", "3.3.1.1-2 Enteric Methane")</f>
        <v>3.3.1.1-2 Enteric Methane</v>
      </c>
      <c r="D48" s="118" t="str" cm="1">
        <f t="array" ref="D48:E53">_xlfn.CHOOSECOLS(Fertiliser_Equations_AtmosphericDeposition.VEERG_5_4_1_3__1_OrganicFertiliserAtmosphericDepositionN2OEmissions_Arguments(), 1, 2)</f>
        <v>M_volorganicjf</v>
      </c>
      <c r="E48" s="123" t="str">
        <v>mass of nitrogen volatilised from organic fertiliser applied to production system</v>
      </c>
      <c r="F48" s="124"/>
      <c r="G48" s="118" t="str" cm="1">
        <f t="array" ref="G48:H53">_xlfn.CHOOSECOLS(Fertiliser_Equations_AtmosphericDeposition.VEERG_5_4_1_3__1_OrganicFertiliserAtmosphericDepositionN2OEmissions_Arguments(), 3,4)</f>
        <v>kg N</v>
      </c>
      <c r="H48" s="126" t="str">
        <v>Calculated from 5.4.1.3 (2)</v>
      </c>
      <c r="I48" s="118">
        <f>E35</f>
        <v>210</v>
      </c>
      <c r="N48" s="118" t="str" cm="1">
        <f t="array" ref="N48:O53">_xlfn.CHOOSECOLS(Fertiliser_Equations_AtmosphericDeposition.VEERG_5_4_1_3__1_OrganicFertiliserAtmosphericDepositionN2OEmissions_Arguments(), 1, 2)</f>
        <v>M_volorganicjf</v>
      </c>
      <c r="O48" s="123" t="str">
        <v>mass of nitrogen volatilised from organic fertiliser applied to production system</v>
      </c>
      <c r="P48" s="124"/>
      <c r="Q48" s="118" t="str" cm="1">
        <f t="array" ref="Q48:R53">_xlfn.CHOOSECOLS(Fertiliser_Equations_AtmosphericDeposition.VEERG_5_4_1_3__1_OrganicFertiliserAtmosphericDepositionN2OEmissions_Arguments(), 3,4)</f>
        <v>kg N</v>
      </c>
      <c r="R48" s="126" t="str">
        <v>Calculated from 5.4.1.3 (2)</v>
      </c>
      <c r="S48" s="118">
        <f>O35</f>
        <v>420</v>
      </c>
    </row>
    <row r="49" spans="1:19" ht="20.100000000000001" customHeight="1" x14ac:dyDescent="0.25">
      <c r="A49" s="5" t="str">
        <f>HYPERLINK("#'10.1.1-2 Solid waste treatment'!A1", "10.1.1-2 Solid waste treatment")</f>
        <v>10.1.1-2 Solid waste treatment</v>
      </c>
      <c r="D49" s="118" t="str">
        <v>EF_N2Oj</v>
      </c>
      <c r="E49" s="123" t="str">
        <v>emission factor for atmospheric deposition in production system j</v>
      </c>
      <c r="F49" s="124"/>
      <c r="G49" s="118" t="str">
        <v>kg N2O-N/kg N</v>
      </c>
      <c r="H49" s="126" t="str">
        <v>Constant</v>
      </c>
      <c r="I49" s="11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8" t="str">
        <v>EF_N2Oj</v>
      </c>
      <c r="O49" s="123" t="str">
        <v>emission factor for atmospheric deposition in production system j</v>
      </c>
      <c r="P49" s="124"/>
      <c r="Q49" s="118" t="str">
        <v>kg N2O-N/kg N</v>
      </c>
      <c r="R49" s="126" t="str">
        <v>Constant</v>
      </c>
      <c r="S49" s="118"/>
    </row>
    <row r="50" spans="1:19" ht="20.100000000000001" customHeight="1" x14ac:dyDescent="0.25">
      <c r="A50"/>
      <c r="D50" s="118" t="str">
        <v>C_N2O</v>
      </c>
      <c r="E50" s="123" t="str">
        <v>factor to convert elemental mass of nitrous oxide to molecular mass</v>
      </c>
      <c r="F50" s="124"/>
      <c r="G50" s="118" t="str">
        <v/>
      </c>
      <c r="H50" s="126" t="str">
        <v>Constant</v>
      </c>
      <c r="I50" s="130">
        <f>Common_InputFunctions.Utility_LookupValueInTableNumber("N2O",Table_GasToMolecularConversionFactor[Gas],Table_GasToMolecularConversionFactor[Conversion factor combined])</f>
        <v>1.5714285714285714</v>
      </c>
      <c r="N50" s="118" t="str">
        <v>C_N2O</v>
      </c>
      <c r="O50" s="123" t="str">
        <v>factor to convert elemental mass of nitrous oxide to molecular mass</v>
      </c>
      <c r="P50" s="124"/>
      <c r="Q50" s="118" t="str">
        <v/>
      </c>
      <c r="R50" s="126" t="str">
        <v>Constant</v>
      </c>
      <c r="S50" s="130"/>
    </row>
    <row r="51" spans="1:19" ht="20.100000000000001" customHeight="1" x14ac:dyDescent="0.25">
      <c r="A51"/>
      <c r="D51" s="118" t="str">
        <v>j</v>
      </c>
      <c r="E51" s="123" t="str">
        <v>Production system</v>
      </c>
      <c r="F51" s="124"/>
      <c r="G51" s="118" t="str">
        <v/>
      </c>
      <c r="H51" s="274" t="str">
        <v>Input</v>
      </c>
      <c r="I51" s="118" t="str">
        <f>X_Cell_ManureSentOffsite_ManureProductionSystem</f>
        <v>Crop</v>
      </c>
      <c r="N51" s="118" t="str">
        <v>j</v>
      </c>
      <c r="O51" s="123" t="str">
        <v>Production system</v>
      </c>
      <c r="P51" s="124"/>
      <c r="Q51" s="118" t="str">
        <v/>
      </c>
      <c r="R51" s="274" t="str">
        <v>Input</v>
      </c>
      <c r="S51" s="118"/>
    </row>
    <row r="52" spans="1:19" ht="20.100000000000001" customHeight="1" x14ac:dyDescent="0.25">
      <c r="A52" s="99" t="s">
        <v>1</v>
      </c>
      <c r="D52" s="118" t="str">
        <v>ir</v>
      </c>
      <c r="E52" s="123" t="str">
        <v>irrigation method</v>
      </c>
      <c r="F52" s="124"/>
      <c r="G52" s="118" t="str">
        <v/>
      </c>
      <c r="H52" s="274" t="str">
        <v>Input</v>
      </c>
      <c r="I52" s="118" t="str">
        <f>X_Cell_ManureSentOffsite_ManureIrrigationMethod</f>
        <v>Sprinkler irrigation</v>
      </c>
      <c r="N52" s="118" t="str">
        <v>ir</v>
      </c>
      <c r="O52" s="123" t="str">
        <v>irrigation method</v>
      </c>
      <c r="P52" s="124"/>
      <c r="Q52" s="118" t="str">
        <v/>
      </c>
      <c r="R52" s="274" t="str">
        <v>Input</v>
      </c>
      <c r="S52" s="118"/>
    </row>
    <row r="53" spans="1:19" ht="20.100000000000001" customHeight="1" x14ac:dyDescent="0.25">
      <c r="A53" s="5" t="str">
        <f>HYPERLINK("#'Constants - Dairy'!A1", "Constants - Dairy")</f>
        <v>Constants - Dairy</v>
      </c>
      <c r="D53" s="118" t="str">
        <v>r</v>
      </c>
      <c r="E53" s="123" t="str">
        <v>rainfall region</v>
      </c>
      <c r="F53" s="124"/>
      <c r="G53" s="118" t="str">
        <v/>
      </c>
      <c r="H53" s="274" t="str">
        <v>Input</v>
      </c>
      <c r="I53" s="118" t="str">
        <f>X_Cell_Site_RainfallZone</f>
        <v>High rainfall</v>
      </c>
      <c r="N53" s="118" t="str">
        <v>r</v>
      </c>
      <c r="O53" s="123" t="str">
        <v>rainfall region</v>
      </c>
      <c r="P53" s="124"/>
      <c r="Q53" s="118" t="str">
        <v/>
      </c>
      <c r="R53" s="274" t="str">
        <v>Input</v>
      </c>
      <c r="S53" s="118"/>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33" t="s">
        <v>678</v>
      </c>
      <c r="E55" s="134" cm="1">
        <f t="array" ref="E55">Fertiliser_Equations_AtmosphericDeposition.VEERG_5_4_1_3__1_OrganicFertiliserAtmosphericDepositionN2OEmissions(I48,I49,I50)</f>
        <v>2.31E-3</v>
      </c>
      <c r="F55" s="135" t="str">
        <f>$E$46</f>
        <v>t N2O</v>
      </c>
      <c r="N55" s="133" t="s">
        <v>678</v>
      </c>
      <c r="O55" s="134" cm="1">
        <f t="array" ref="O55">Fertiliser_Equations_AtmosphericDeposition.VEERG_5_4_1_3__1_OrganicFertiliserAtmosphericDepositionN2OEmissions(S48,I49,I50)</f>
        <v>4.62E-3</v>
      </c>
      <c r="P55" s="135"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16" t="s">
        <v>257</v>
      </c>
      <c r="E61" s="116" t="str" cm="1">
        <f t="array" aca="1" ref="E61" ca="1">Common_InputFunctions.Utility_DisplayFunctionName(E74)</f>
        <v>=Fertiliser_Equations_LeachingAndRunoff.VEERG_5_5_1_1__3_MassOfNitrogenLeachedFromOrganicFertiliser</v>
      </c>
      <c r="N61" s="116" t="s">
        <v>257</v>
      </c>
      <c r="O61" s="116"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8" t="s">
        <v>258</v>
      </c>
      <c r="E64" s="1" t="str" cm="1">
        <f t="array" ref="E64">Fertiliser_Equations_LeachingAndRunoff.VEERG_5_5_1_1__3_MassOfNitrogenLeachedFromOrganicFertiliser_Variable()</f>
        <v>M_leachorganicj</v>
      </c>
      <c r="N64" s="88" t="s">
        <v>258</v>
      </c>
      <c r="O64" s="1" t="str" cm="1">
        <f t="array" ref="O64">Fertiliser_Equations_LeachingAndRunoff.VEERG_5_5_1_1__3_MassOfNitrogenLeachedFromOrganicFertiliser_Variable()</f>
        <v>M_leachorganicj</v>
      </c>
    </row>
    <row r="65" spans="1:19" ht="20.100000000000001" customHeight="1" x14ac:dyDescent="0.25">
      <c r="A65"/>
      <c r="D65" s="88" t="s">
        <v>127</v>
      </c>
      <c r="E65" s="15" t="str" cm="1">
        <f t="array" ref="E65">Fertiliser_Equations_LeachingAndRunoff.VEERG_5_5_1_1__3_MassOfNitrogenLeachedFromOrganicFertiliser_Unit()</f>
        <v>kg N</v>
      </c>
      <c r="N65" s="88" t="s">
        <v>127</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18" t="str" cm="1">
        <f t="array" ref="D67:E72">_xlfn.CHOOSECOLS(Fertiliser_Equations_LeachingAndRunoff.VEERG_5_5_1_1__3_MassOfNitrogenLeachedFromOrganicFertiliser_Arguments(), 1, 2)</f>
        <v>MNSoil_jf</v>
      </c>
      <c r="E67" s="123" t="str">
        <v>mass of nitrogen in organic fertiliser</v>
      </c>
      <c r="F67" s="124"/>
      <c r="G67" s="118" t="str" cm="1">
        <f t="array" ref="G67:H72">_xlfn.CHOOSECOLS(Fertiliser_Equations_LeachingAndRunoff.VEERG_5_5_1_1__3_MassOfNitrogenLeachedFromOrganicFertiliser_Arguments(), 3,4)</f>
        <v>kg N</v>
      </c>
      <c r="H67" s="126" t="str">
        <v>Calculated from 5.2.1.1 (2)</v>
      </c>
      <c r="I67" s="118">
        <f>X_Cell_ManureSentOffsite_MassNitrogenManure_Method1</f>
        <v>1000</v>
      </c>
      <c r="N67" s="118" t="str" cm="1">
        <f t="array" ref="N67:O72">_xlfn.CHOOSECOLS(Fertiliser_Equations_LeachingAndRunoff.VEERG_5_5_1_1__3_MassOfNitrogenLeachedFromOrganicFertiliser_Arguments(), 1, 2)</f>
        <v>MNSoil_jf</v>
      </c>
      <c r="O67" s="123" t="str">
        <v>mass of nitrogen in organic fertiliser</v>
      </c>
      <c r="P67" s="124"/>
      <c r="Q67" s="118" t="str" cm="1">
        <f t="array" ref="Q67:R72">_xlfn.CHOOSECOLS(Fertiliser_Equations_LeachingAndRunoff.VEERG_5_5_1_1__3_MassOfNitrogenLeachedFromOrganicFertiliser_Arguments(), 3,4)</f>
        <v>kg N</v>
      </c>
      <c r="R67" s="126" t="str">
        <v>Calculated from 5.2.1.1 (2)</v>
      </c>
      <c r="S67" s="118">
        <f>X_Cell_ManureSentOffsite_MassNitrogenManure_Method2</f>
        <v>2000</v>
      </c>
    </row>
    <row r="68" spans="1:19" ht="20.100000000000001" customHeight="1" x14ac:dyDescent="0.25">
      <c r="A68"/>
      <c r="D68" s="118" t="str">
        <v>FracWETj</v>
      </c>
      <c r="E68" s="123" t="str">
        <v>fraction of N available for leaching and runoff</v>
      </c>
      <c r="F68" s="124"/>
      <c r="G68" s="118" t="str">
        <v>fraction</v>
      </c>
      <c r="H68" s="126" t="str">
        <v>Constant</v>
      </c>
      <c r="I68" s="118">
        <f>Common_InputFunctions.CommonCropping_GetFracWET(I70,I72,#REF!,#REF!,Table_SourceData_FracWETIrrigation[Irrigation type i],Table_SourceData_FracWETIrrigation[FracWET])</f>
        <v>1</v>
      </c>
      <c r="N68" s="118" t="str">
        <v>FracWETj</v>
      </c>
      <c r="O68" s="123" t="str">
        <v>fraction of N available for leaching and runoff</v>
      </c>
      <c r="P68" s="124"/>
      <c r="Q68" s="118" t="str">
        <v>fraction</v>
      </c>
      <c r="R68" s="126" t="str">
        <v>Constant</v>
      </c>
      <c r="S68" s="118"/>
    </row>
    <row r="69" spans="1:19" ht="20.100000000000001" customHeight="1" x14ac:dyDescent="0.25">
      <c r="A69"/>
      <c r="D69" s="118" t="str">
        <v>FracLEACH</v>
      </c>
      <c r="E69" s="123" t="str">
        <v>fraction of N that is lost through leaching and runoff</v>
      </c>
      <c r="F69" s="124"/>
      <c r="G69" s="118" t="str">
        <v>fraction</v>
      </c>
      <c r="H69" s="126" t="str">
        <v>Constant</v>
      </c>
      <c r="I69" s="118">
        <f>Fertiliser_FracLEACH_Data</f>
        <v>0.24</v>
      </c>
      <c r="N69" s="118" t="str">
        <v>FracLEACH</v>
      </c>
      <c r="O69" s="123" t="str">
        <v>fraction of N that is lost through leaching and runoff</v>
      </c>
      <c r="P69" s="124"/>
      <c r="Q69" s="118" t="str">
        <v>fraction</v>
      </c>
      <c r="R69" s="126" t="str">
        <v>Constant</v>
      </c>
      <c r="S69" s="118"/>
    </row>
    <row r="70" spans="1:19" ht="20.100000000000001" customHeight="1" x14ac:dyDescent="0.25">
      <c r="A70"/>
      <c r="D70" s="118" t="str">
        <v>z</v>
      </c>
      <c r="E70" s="123" t="str">
        <v>location in leaching zone</v>
      </c>
      <c r="F70" s="124"/>
      <c r="G70" s="118" t="str">
        <v/>
      </c>
      <c r="H70" s="274" t="str">
        <v>Input</v>
      </c>
      <c r="I70" s="118" t="str">
        <f>X_Cell_Site_LeachingZone</f>
        <v>NO - Not in leaching zone</v>
      </c>
      <c r="N70" s="118" t="str">
        <v>z</v>
      </c>
      <c r="O70" s="123" t="str">
        <v>location in leaching zone</v>
      </c>
      <c r="P70" s="124"/>
      <c r="Q70" s="118" t="str">
        <v/>
      </c>
      <c r="R70" s="274" t="str">
        <v>Input</v>
      </c>
      <c r="S70" s="118"/>
    </row>
    <row r="71" spans="1:19" ht="20.100000000000001" customHeight="1" x14ac:dyDescent="0.25">
      <c r="A71"/>
      <c r="D71" s="118" t="str">
        <v>j</v>
      </c>
      <c r="E71" s="123" t="str">
        <v>production system</v>
      </c>
      <c r="F71" s="124"/>
      <c r="G71" s="118" t="str">
        <v/>
      </c>
      <c r="H71" s="274" t="str">
        <v>Input</v>
      </c>
      <c r="I71" s="118" t="str">
        <f>X_Cell_ManureSentOffsite_ManureProductionSystem</f>
        <v>Crop</v>
      </c>
      <c r="N71" s="118" t="str">
        <v>j</v>
      </c>
      <c r="O71" s="123" t="str">
        <v>production system</v>
      </c>
      <c r="P71" s="124"/>
      <c r="Q71" s="118" t="str">
        <v/>
      </c>
      <c r="R71" s="274" t="str">
        <v>Input</v>
      </c>
      <c r="S71" s="118"/>
    </row>
    <row r="72" spans="1:19" ht="20.100000000000001" customHeight="1" x14ac:dyDescent="0.25">
      <c r="A72"/>
      <c r="D72" s="118" t="str">
        <v>ir</v>
      </c>
      <c r="E72" s="123" t="str">
        <v>irrigation method</v>
      </c>
      <c r="F72" s="124"/>
      <c r="G72" s="118" t="str">
        <v/>
      </c>
      <c r="H72" s="274" t="str">
        <v>Input</v>
      </c>
      <c r="I72" s="118" t="str">
        <f>X_Cell_ManureSentOffsite_ManureIrrigationMethod</f>
        <v>Sprinkler irrigation</v>
      </c>
      <c r="N72" s="118" t="str">
        <v>ir</v>
      </c>
      <c r="O72" s="123" t="str">
        <v>irrigation method</v>
      </c>
      <c r="P72" s="124"/>
      <c r="Q72" s="118" t="str">
        <v/>
      </c>
      <c r="R72" s="274" t="str">
        <v>Input</v>
      </c>
      <c r="S72" s="118"/>
    </row>
    <row r="73" spans="1:19" ht="20.100000000000001" customHeight="1" x14ac:dyDescent="0.25">
      <c r="A73"/>
    </row>
    <row r="74" spans="1:19" ht="20.100000000000001" customHeight="1" x14ac:dyDescent="0.25">
      <c r="A74"/>
      <c r="D74" s="140" t="s">
        <v>1256</v>
      </c>
      <c r="E74" s="100" cm="1">
        <f t="array" ref="E74">Fertiliser_Equations_LeachingAndRunoff.VEERG_5_5_1_1__3_MassOfNitrogenLeachedFromOrganicFertiliser(I67,I68,I69)</f>
        <v>240</v>
      </c>
      <c r="F74" s="138" t="str">
        <f>$E$65</f>
        <v>kg N</v>
      </c>
      <c r="N74" s="140" t="s">
        <v>1256</v>
      </c>
      <c r="O74" s="100" cm="1">
        <f t="array" ref="O74">Fertiliser_Equations_LeachingAndRunoff.VEERG_5_5_1_1__3_MassOfNitrogenLeachedFromOrganicFertiliser(S67,I68,I69)</f>
        <v>480</v>
      </c>
      <c r="P74" s="13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6" t="s">
        <v>257</v>
      </c>
      <c r="E79" s="116" t="str">
        <f ca="1">Common_InputFunctions.Utility_DisplayFunctionName(VEERG_5_5_1_1__1_FertiliserLeachingAndRunoffN2OEmissions_Result_Method1)</f>
        <v>=Fertiliser_Equations_LeachingAndRunoff.VEERG_5_5_1_1__1_FertiliserLeachingAndRunoffN2OEmissions</v>
      </c>
      <c r="N79" s="116" t="s">
        <v>257</v>
      </c>
      <c r="O79" s="116"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258</v>
      </c>
      <c r="E82" s="1" t="str" cm="1">
        <f t="array" ref="E82">Fertiliser_Equations_LeachingAndRunoff.VEERG_5_5_1_1__1_FertiliserLeachingAndRunoffN2OEmissions_Variable()</f>
        <v>E_fertleach</v>
      </c>
      <c r="N82" s="88" t="s">
        <v>258</v>
      </c>
      <c r="O82" s="1" t="str" cm="1">
        <f t="array" ref="O82">Fertiliser_Equations_LeachingAndRunoff.VEERG_5_5_1_1__1_FertiliserLeachingAndRunoffN2OEmissions_Variable()</f>
        <v>E_fertleach</v>
      </c>
    </row>
    <row r="83" spans="1:20" x14ac:dyDescent="0.25">
      <c r="A83"/>
      <c r="D83" s="88" t="s">
        <v>127</v>
      </c>
      <c r="E83" s="15" t="str" cm="1">
        <f t="array" ref="E83">Fertiliser_Equations_LeachingAndRunoff.VEERG_5_5_1_1__1_FertiliserLeachingAndRunoffN2OEmissions_Unit()</f>
        <v>t N2O</v>
      </c>
      <c r="N83" s="88" t="s">
        <v>127</v>
      </c>
      <c r="O83" s="15" t="str" cm="1">
        <f t="array" ref="O83">Fertiliser_Equations_LeachingAndRunoff.VEERG_5_5_1_1__1_FertiliserLeachingAndRunoffN2OEmissions_Unit()</f>
        <v>t N2O</v>
      </c>
    </row>
    <row r="84" spans="1:20" x14ac:dyDescent="0.25">
      <c r="A84"/>
    </row>
    <row r="85" spans="1:20" x14ac:dyDescent="0.25">
      <c r="A85"/>
      <c r="D85" s="118" t="str" cm="1">
        <f t="array" ref="D85:E88">_xlfn.CHOOSECOLS(Fertiliser_Equations_LeachingAndRunoff.VEERG_5_5_1_1__1_FertiliserLeachingAndRunoffN2OEmissions_Arguments(), 1, 2)</f>
        <v>M_leachinorganicj</v>
      </c>
      <c r="E85" s="123" t="str">
        <v>mass of nitrogen lost through leaching and runoff from inorganic fertiliser application in production system j</v>
      </c>
      <c r="F85" s="131"/>
      <c r="G85" s="124"/>
      <c r="H85" s="118" t="str" cm="1">
        <f t="array" ref="H85:I88">_xlfn.CHOOSECOLS(Fertiliser_Equations_LeachingAndRunoff.VEERG_5_5_1_1__1_FertiliserLeachingAndRunoffN2OEmissions_Arguments(), 3,4)</f>
        <v>kg N</v>
      </c>
      <c r="I85" s="126" t="str">
        <v>Calculated from 5.5.1.1 (2)</v>
      </c>
      <c r="J85" s="118">
        <v>0</v>
      </c>
      <c r="N85" s="118" t="str" cm="1">
        <f t="array" ref="N85:O88">_xlfn.CHOOSECOLS(Fertiliser_Equations_LeachingAndRunoff.VEERG_5_5_1_1__1_FertiliserLeachingAndRunoffN2OEmissions_Arguments(), 1, 2)</f>
        <v>M_leachinorganicj</v>
      </c>
      <c r="O85" s="123" t="str">
        <v>mass of nitrogen lost through leaching and runoff from inorganic fertiliser application in production system j</v>
      </c>
      <c r="P85" s="131"/>
      <c r="Q85" s="124"/>
      <c r="R85" s="118" t="str" cm="1">
        <f t="array" ref="R85:S88">_xlfn.CHOOSECOLS(Fertiliser_Equations_LeachingAndRunoff.VEERG_5_5_1_1__1_FertiliserLeachingAndRunoffN2OEmissions_Arguments(), 3,4)</f>
        <v>kg N</v>
      </c>
      <c r="S85" s="126" t="str">
        <v>Calculated from 5.5.1.1 (2)</v>
      </c>
      <c r="T85" s="118"/>
    </row>
    <row r="86" spans="1:20" x14ac:dyDescent="0.25">
      <c r="A86"/>
      <c r="D86" s="118" t="str">
        <v>M_leachorganicj</v>
      </c>
      <c r="E86" s="123" t="str">
        <v>mass of nitrogen lost through leaching and runoff from organic fertiliser application</v>
      </c>
      <c r="F86" s="131"/>
      <c r="G86" s="124"/>
      <c r="H86" s="118" t="str">
        <v>kg N</v>
      </c>
      <c r="I86" s="126" t="str">
        <v>Calculated from 5.5.1.1 (3)</v>
      </c>
      <c r="J86" s="118">
        <f>E74</f>
        <v>240</v>
      </c>
      <c r="N86" s="118" t="str">
        <v>M_leachorganicj</v>
      </c>
      <c r="O86" s="123" t="str">
        <v>mass of nitrogen lost through leaching and runoff from organic fertiliser application</v>
      </c>
      <c r="P86" s="131"/>
      <c r="Q86" s="124"/>
      <c r="R86" s="118" t="str">
        <v>kg N</v>
      </c>
      <c r="S86" s="126" t="str">
        <v>Calculated from 5.5.1.1 (3)</v>
      </c>
      <c r="T86" s="118">
        <f>O74</f>
        <v>480</v>
      </c>
    </row>
    <row r="87" spans="1:20" x14ac:dyDescent="0.25">
      <c r="A87"/>
      <c r="D87" s="118" t="str">
        <v>EF_leach</v>
      </c>
      <c r="E87" s="123" t="str">
        <v>emission factor for nitrogen leaching and runoff</v>
      </c>
      <c r="F87" s="131"/>
      <c r="G87" s="124"/>
      <c r="H87" s="118" t="str">
        <v>kg N2O-N/kg N</v>
      </c>
      <c r="I87" s="126" t="str">
        <v>Constant</v>
      </c>
      <c r="J87" s="118">
        <f>Fertiliser_EFLeach_Data</f>
        <v>1.0999999999999999E-2</v>
      </c>
      <c r="N87" s="118" t="str">
        <v>EF_leach</v>
      </c>
      <c r="O87" s="123" t="str">
        <v>emission factor for nitrogen leaching and runoff</v>
      </c>
      <c r="P87" s="131"/>
      <c r="Q87" s="124"/>
      <c r="R87" s="118" t="str">
        <v>kg N2O-N/kg N</v>
      </c>
      <c r="S87" s="126" t="str">
        <v>Constant</v>
      </c>
      <c r="T87" s="118"/>
    </row>
    <row r="88" spans="1:20" x14ac:dyDescent="0.25">
      <c r="A88"/>
      <c r="D88" s="118" t="str">
        <v>C_N2O</v>
      </c>
      <c r="E88" s="123" t="str">
        <v>factor to convert elemental mass of nitrous oxide to molecular mass</v>
      </c>
      <c r="F88" s="131"/>
      <c r="G88" s="124"/>
      <c r="H88" s="118" t="str">
        <v/>
      </c>
      <c r="I88" s="126" t="str">
        <v>Constant</v>
      </c>
      <c r="J88" s="130">
        <f>Common_InputFunctions.Utility_LookupValueInTableNumber("N2O",Table_GasToMolecularConversionFactor[Gas],Table_GasToMolecularConversionFactor[Conversion factor combined])</f>
        <v>1.5714285714285714</v>
      </c>
      <c r="N88" s="118" t="str">
        <v>C_N2O</v>
      </c>
      <c r="O88" s="123" t="str">
        <v>factor to convert elemental mass of nitrous oxide to molecular mass</v>
      </c>
      <c r="P88" s="131"/>
      <c r="Q88" s="124"/>
      <c r="R88" s="118" t="str">
        <v/>
      </c>
      <c r="S88" s="126" t="str">
        <v>Constant</v>
      </c>
      <c r="T88" s="130"/>
    </row>
    <row r="89" spans="1:20" x14ac:dyDescent="0.25">
      <c r="A89"/>
    </row>
    <row r="90" spans="1:20" ht="23.25" x14ac:dyDescent="0.25">
      <c r="A90"/>
      <c r="D90" s="133" t="s">
        <v>695</v>
      </c>
      <c r="E90" s="134" cm="1">
        <f t="array" ref="E90">Fertiliser_Equations_LeachingAndRunoff.VEERG_5_5_1_1__1_FertiliserLeachingAndRunoffN2OEmissions(J85,J86,J87,J88)</f>
        <v>4.1485714285714277E-3</v>
      </c>
      <c r="F90" s="135" t="str">
        <f>$E$83</f>
        <v>t N2O</v>
      </c>
      <c r="N90" s="133" t="s">
        <v>695</v>
      </c>
      <c r="O90" s="134" cm="1">
        <f t="array" ref="O90">Fertiliser_Equations_LeachingAndRunoff.VEERG_5_5_1_1__1_FertiliserLeachingAndRunoffN2OEmissions(J85,T86,J87,J88)</f>
        <v>8.2971428571428554E-3</v>
      </c>
      <c r="P90" s="13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FCC60-3D88-428F-9C19-C5AA05CB5DD3}">
  <dimension ref="A1:V288"/>
  <sheetViews>
    <sheetView showGridLines="0" topLeftCell="H1"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489</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490</v>
      </c>
      <c r="G5" s="2" t="s">
        <v>491</v>
      </c>
      <c r="J5" s="2" t="s">
        <v>492</v>
      </c>
      <c r="L5" s="2" t="s">
        <v>493</v>
      </c>
      <c r="M5" s="1"/>
    </row>
    <row r="6" spans="1:21" ht="20.100000000000001" customHeight="1" x14ac:dyDescent="0.25">
      <c r="L6" s="1" t="s">
        <v>494</v>
      </c>
      <c r="M6" s="1"/>
    </row>
    <row r="7" spans="1:21" ht="20.100000000000001" customHeight="1" x14ac:dyDescent="0.25">
      <c r="D7" s="145" t="s">
        <v>302</v>
      </c>
      <c r="E7" s="30" t="s">
        <v>495</v>
      </c>
      <c r="G7" s="30" t="s">
        <v>182</v>
      </c>
      <c r="J7" s="30" t="s">
        <v>69</v>
      </c>
      <c r="L7" s="30" t="s">
        <v>496</v>
      </c>
      <c r="M7" s="1"/>
    </row>
    <row r="8" spans="1:21" ht="20.100000000000001" customHeight="1" x14ac:dyDescent="0.25">
      <c r="A8" s="7" t="s">
        <v>0</v>
      </c>
      <c r="D8" s="30" t="str">
        <f>'Constants - Common Livestock'!$E$10</f>
        <v>Anaerobic lagoon</v>
      </c>
      <c r="E8" s="30" t="str">
        <f>'Constants - Common Livestock'!$F$10</f>
        <v>Anaerobic lagoon (m=1)</v>
      </c>
      <c r="G8" s="30" t="str">
        <f>'Constants - Common'!$F$187</f>
        <v>Pasture</v>
      </c>
      <c r="J8" s="30" t="s">
        <v>497</v>
      </c>
      <c r="L8" s="30" t="s">
        <v>208</v>
      </c>
      <c r="M8" s="1"/>
    </row>
    <row r="9" spans="1:21" ht="20.100000000000001" customHeight="1" x14ac:dyDescent="0.25">
      <c r="A9" s="5" t="str">
        <f>HYPERLINK("#'Input - Enterprise'!A1", "Enterprise")</f>
        <v>Enterprise</v>
      </c>
      <c r="D9" s="30" t="str">
        <f>'Constants - Common Livestock'!$E$13</f>
        <v>Sump and dispersal system</v>
      </c>
      <c r="E9" s="30" t="str">
        <f>'Constants - Common Livestock'!$F$13</f>
        <v>Sump and dispersal system (m=3a)</v>
      </c>
      <c r="G9" s="1" t="str">
        <f>'Constants - Common'!$F$188</f>
        <v>Crop</v>
      </c>
      <c r="J9" s="30" t="s">
        <v>498</v>
      </c>
      <c r="L9" s="30" t="s">
        <v>209</v>
      </c>
      <c r="M9" s="1"/>
    </row>
    <row r="10" spans="1:21" ht="20.100000000000001" customHeight="1" x14ac:dyDescent="0.25">
      <c r="A10" s="5" t="str">
        <f>HYPERLINK("#'Input - Site'!A1", "Site")</f>
        <v>Site</v>
      </c>
      <c r="D10" s="30" t="str">
        <f>'Constants - Common Livestock'!$E$14</f>
        <v>Drains to paddock</v>
      </c>
      <c r="E10" s="30" t="str">
        <f>'Constants - Common Livestock'!$F$14</f>
        <v>Drains to paddock (m=3b)</v>
      </c>
      <c r="J10" s="1" t="s">
        <v>255</v>
      </c>
      <c r="L10" s="30" t="s">
        <v>210</v>
      </c>
      <c r="M10" s="1"/>
    </row>
    <row r="11" spans="1:21" ht="20.100000000000001" customHeight="1" x14ac:dyDescent="0.25">
      <c r="A11" s="5" t="str">
        <f>HYPERLINK("#'Input - Dairy'!A1", "Dairy")</f>
        <v>Dairy</v>
      </c>
      <c r="D11" s="30" t="str">
        <f>'Constants - Common Livestock'!$E$15</f>
        <v>Solid storage</v>
      </c>
      <c r="E11" s="30" t="str">
        <f>'Constants - Common Livestock'!$F$15</f>
        <v>Solid storage (m=4)</v>
      </c>
      <c r="J11" s="1" t="s">
        <v>499</v>
      </c>
      <c r="L11" s="30" t="s">
        <v>211</v>
      </c>
      <c r="M11" s="1"/>
    </row>
    <row r="12" spans="1:21" ht="20.100000000000001" customHeight="1" x14ac:dyDescent="0.25">
      <c r="A12" s="5" t="str">
        <f>HYPERLINK("#'Input - Dairy (Enteric)'!A1", "Dairy (Enteric)")</f>
        <v>Dairy (Enteric)</v>
      </c>
      <c r="J12" s="1" t="s">
        <v>500</v>
      </c>
      <c r="L12" s="30" t="s">
        <v>212</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30" t="s">
        <v>206</v>
      </c>
      <c r="E21" s="30" t="s">
        <v>208</v>
      </c>
      <c r="F21" s="30" t="s">
        <v>501</v>
      </c>
      <c r="G21" s="30" t="s">
        <v>502</v>
      </c>
      <c r="M21" s="1"/>
    </row>
    <row r="22" spans="1:13" ht="20.100000000000001" customHeight="1" x14ac:dyDescent="0.25">
      <c r="A22" s="5" t="str">
        <f>HYPERLINK("#'Input - Manure sent off-site'!A1", "Manure sent off-site")</f>
        <v>Manure sent off-site</v>
      </c>
      <c r="D22" s="30" t="str" cm="1">
        <f t="array" ref="D22">Common_InputFunctions.Utility_DisplayArrayInTable(SourceData_Dairy.SourceData_Dairy_LiveweightCowsAndHeifers_Data(), Table_SourceData_Dairy_WjCowsHeifers[[#Headers],[Breed]], 0)</f>
        <v>Medium Friesian</v>
      </c>
      <c r="E22" s="30" cm="1">
        <f t="array" ref="E22">Common_InputFunctions.Utility_DisplayArrayInTable(SourceData_Dairy.SourceData_Dairy_LiveweightCowsAndHeifers_Data(), Table_SourceData_Dairy_WjCowsHeifers[[#Headers],[Breed]], 0)</f>
        <v>550</v>
      </c>
      <c r="F22" s="30" cm="1">
        <f t="array" ref="F22">Common_InputFunctions.Utility_DisplayArrayInTable(SourceData_Dairy.SourceData_Dairy_LiveweightCowsAndHeifers_Data(), Table_SourceData_Dairy_WjCowsHeifers[[#Headers],[Breed]], 0)</f>
        <v>380</v>
      </c>
      <c r="G22" s="30"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30" t="str" cm="1">
        <f t="array" ref="D23">Common_InputFunctions.Utility_DisplayArrayInTable(SourceData_Dairy.SourceData_Dairy_LiveweightCowsAndHeifers_Data(), Table_SourceData_Dairy_WjCowsHeifers[[#Headers],[Breed]], 0)</f>
        <v>Large Friesian</v>
      </c>
      <c r="E23" s="30" cm="1">
        <f t="array" ref="E23">Common_InputFunctions.Utility_DisplayArrayInTable(SourceData_Dairy.SourceData_Dairy_LiveweightCowsAndHeifers_Data(), Table_SourceData_Dairy_WjCowsHeifers[[#Headers],[Breed]], 0)</f>
        <v>600</v>
      </c>
      <c r="F23" s="30" cm="1">
        <f t="array" ref="F23">Common_InputFunctions.Utility_DisplayArrayInTable(SourceData_Dairy.SourceData_Dairy_LiveweightCowsAndHeifers_Data(), Table_SourceData_Dairy_WjCowsHeifers[[#Headers],[Breed]], 0)</f>
        <v>415</v>
      </c>
      <c r="G23" s="30"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0" t="str" cm="1">
        <f t="array" ref="D24">Common_InputFunctions.Utility_DisplayArrayInTable(SourceData_Dairy.SourceData_Dairy_LiveweightCowsAndHeifers_Data(), Table_SourceData_Dairy_WjCowsHeifers[[#Headers],[Breed]], 0)</f>
        <v>Holstein-Friesian</v>
      </c>
      <c r="E24" s="30" cm="1">
        <f t="array" ref="E24">Common_InputFunctions.Utility_DisplayArrayInTable(SourceData_Dairy.SourceData_Dairy_LiveweightCowsAndHeifers_Data(), Table_SourceData_Dairy_WjCowsHeifers[[#Headers],[Breed]], 0)</f>
        <v>650</v>
      </c>
      <c r="F24" s="30" cm="1">
        <f t="array" ref="F24">Common_InputFunctions.Utility_DisplayArrayInTable(SourceData_Dairy.SourceData_Dairy_LiveweightCowsAndHeifers_Data(), Table_SourceData_Dairy_WjCowsHeifers[[#Headers],[Breed]], 0)</f>
        <v>450</v>
      </c>
      <c r="G24" s="30"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0" t="str" cm="1">
        <f t="array" ref="D25">Common_InputFunctions.Utility_DisplayArrayInTable(SourceData_Dairy.SourceData_Dairy_LiveweightCowsAndHeifers_Data(), Table_SourceData_Dairy_WjCowsHeifers[[#Headers],[Breed]], 0)</f>
        <v>Friesian crossbred</v>
      </c>
      <c r="E25" s="30" cm="1">
        <f t="array" ref="E25">Common_InputFunctions.Utility_DisplayArrayInTable(SourceData_Dairy.SourceData_Dairy_LiveweightCowsAndHeifers_Data(), Table_SourceData_Dairy_WjCowsHeifers[[#Headers],[Breed]], 0)</f>
        <v>500</v>
      </c>
      <c r="F25" s="30" cm="1">
        <f t="array" ref="F25">Common_InputFunctions.Utility_DisplayArrayInTable(SourceData_Dairy.SourceData_Dairy_LiveweightCowsAndHeifers_Data(), Table_SourceData_Dairy_WjCowsHeifers[[#Headers],[Breed]], 0)</f>
        <v>350</v>
      </c>
      <c r="G25" s="30"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30" t="str" cm="1">
        <f t="array" ref="D26">Common_InputFunctions.Utility_DisplayArrayInTable(SourceData_Dairy.SourceData_Dairy_LiveweightCowsAndHeifers_Data(), Table_SourceData_Dairy_WjCowsHeifers[[#Headers],[Breed]], 0)</f>
        <v>Jersey</v>
      </c>
      <c r="E26" s="30" cm="1">
        <f t="array" ref="E26">Common_InputFunctions.Utility_DisplayArrayInTable(SourceData_Dairy.SourceData_Dairy_LiveweightCowsAndHeifers_Data(), Table_SourceData_Dairy_WjCowsHeifers[[#Headers],[Breed]], 0)</f>
        <v>400</v>
      </c>
      <c r="F26" s="30" cm="1">
        <f t="array" ref="F26">Common_InputFunctions.Utility_DisplayArrayInTable(SourceData_Dairy.SourceData_Dairy_LiveweightCowsAndHeifers_Data(), Table_SourceData_Dairy_WjCowsHeifers[[#Headers],[Breed]], 0)</f>
        <v>275</v>
      </c>
      <c r="G26" s="30"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30" t="str" cm="1">
        <f t="array" ref="D27">Common_InputFunctions.Utility_DisplayArrayInTable(SourceData_Dairy.SourceData_Dairy_LiveweightCowsAndHeifers_Data(), Table_SourceData_Dairy_WjCowsHeifers[[#Headers],[Breed]], 0)</f>
        <v>Jersey crossbred</v>
      </c>
      <c r="E27" s="30" cm="1">
        <f t="array" ref="E27">Common_InputFunctions.Utility_DisplayArrayInTable(SourceData_Dairy.SourceData_Dairy_LiveweightCowsAndHeifers_Data(), Table_SourceData_Dairy_WjCowsHeifers[[#Headers],[Breed]], 0)</f>
        <v>450</v>
      </c>
      <c r="F27" s="30" cm="1">
        <f t="array" ref="F27">Common_InputFunctions.Utility_DisplayArrayInTable(SourceData_Dairy.SourceData_Dairy_LiveweightCowsAndHeifers_Data(), Table_SourceData_Dairy_WjCowsHeifers[[#Headers],[Breed]], 0)</f>
        <v>315</v>
      </c>
      <c r="G27" s="30"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30" t="str" cm="1">
        <f t="array" ref="D28">Common_InputFunctions.Utility_DisplayArrayInTable(SourceData_Dairy.SourceData_Dairy_LiveweightCowsAndHeifers_Data(), Table_SourceData_Dairy_WjCowsHeifers[[#Headers],[Breed]], 0)</f>
        <v>Ayrshire</v>
      </c>
      <c r="E28" s="30" cm="1">
        <f t="array" ref="E28">Common_InputFunctions.Utility_DisplayArrayInTable(SourceData_Dairy.SourceData_Dairy_LiveweightCowsAndHeifers_Data(), Table_SourceData_Dairy_WjCowsHeifers[[#Headers],[Breed]], 0)</f>
        <v>540</v>
      </c>
      <c r="F28" s="30" cm="1">
        <f t="array" ref="F28">Common_InputFunctions.Utility_DisplayArrayInTable(SourceData_Dairy.SourceData_Dairy_LiveweightCowsAndHeifers_Data(), Table_SourceData_Dairy_WjCowsHeifers[[#Headers],[Breed]], 0)</f>
        <v>375</v>
      </c>
      <c r="G28" s="30"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30" t="str" cm="1">
        <f t="array" ref="D29">Common_InputFunctions.Utility_DisplayArrayInTable(SourceData_Dairy.SourceData_Dairy_LiveweightCowsAndHeifers_Data(), Table_SourceData_Dairy_WjCowsHeifers[[#Headers],[Breed]], 0)</f>
        <v>Guernsey</v>
      </c>
      <c r="E29" s="30" cm="1">
        <f t="array" ref="E29">Common_InputFunctions.Utility_DisplayArrayInTable(SourceData_Dairy.SourceData_Dairy_LiveweightCowsAndHeifers_Data(), Table_SourceData_Dairy_WjCowsHeifers[[#Headers],[Breed]], 0)</f>
        <v>480</v>
      </c>
      <c r="F29" s="30" cm="1">
        <f t="array" ref="F29">Common_InputFunctions.Utility_DisplayArrayInTable(SourceData_Dairy.SourceData_Dairy_LiveweightCowsAndHeifers_Data(), Table_SourceData_Dairy_WjCowsHeifers[[#Headers],[Breed]], 0)</f>
        <v>335</v>
      </c>
      <c r="G29" s="30"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30" t="str" cm="1">
        <f t="array" ref="D30">Common_InputFunctions.Utility_DisplayArrayInTable(SourceData_Dairy.SourceData_Dairy_LiveweightCowsAndHeifers_Data(), Table_SourceData_Dairy_WjCowsHeifers[[#Headers],[Breed]], 0)</f>
        <v>Brown Swiss</v>
      </c>
      <c r="E30" s="30" cm="1">
        <f t="array" ref="E30">Common_InputFunctions.Utility_DisplayArrayInTable(SourceData_Dairy.SourceData_Dairy_LiveweightCowsAndHeifers_Data(), Table_SourceData_Dairy_WjCowsHeifers[[#Headers],[Breed]], 0)</f>
        <v>600</v>
      </c>
      <c r="F30" s="30" cm="1">
        <f t="array" ref="F30">Common_InputFunctions.Utility_DisplayArrayInTable(SourceData_Dairy.SourceData_Dairy_LiveweightCowsAndHeifers_Data(), Table_SourceData_Dairy_WjCowsHeifers[[#Headers],[Breed]], 0)</f>
        <v>415</v>
      </c>
      <c r="G30" s="30"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30" t="str" cm="1">
        <f t="array" ref="D31">Common_InputFunctions.Utility_DisplayArrayInTable(SourceData_Dairy.SourceData_Dairy_LiveweightCowsAndHeifers_Data(), Table_SourceData_Dairy_WjCowsHeifers[[#Headers],[Breed]], 0)</f>
        <v>Illawarra/Aussie Red</v>
      </c>
      <c r="E31" s="30" cm="1">
        <f t="array" ref="E31">Common_InputFunctions.Utility_DisplayArrayInTable(SourceData_Dairy.SourceData_Dairy_LiveweightCowsAndHeifers_Data(), Table_SourceData_Dairy_WjCowsHeifers[[#Headers],[Breed]], 0)</f>
        <v>550</v>
      </c>
      <c r="F31" s="30" cm="1">
        <f t="array" ref="F31">Common_InputFunctions.Utility_DisplayArrayInTable(SourceData_Dairy.SourceData_Dairy_LiveweightCowsAndHeifers_Data(), Table_SourceData_Dairy_WjCowsHeifers[[#Headers],[Breed]], 0)</f>
        <v>375</v>
      </c>
      <c r="G31" s="30"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30" t="s">
        <v>206</v>
      </c>
      <c r="E38" s="30" t="s">
        <v>503</v>
      </c>
      <c r="F38" s="30" t="s">
        <v>504</v>
      </c>
      <c r="M38" s="1"/>
    </row>
    <row r="39" spans="1:13" ht="20.100000000000001" customHeight="1" x14ac:dyDescent="0.25">
      <c r="A39" s="5" t="str">
        <f>HYPERLINK("#'Calcs - Manure sent off-site'!A1", "Calcs - Manure sent off-site")</f>
        <v>Calcs - Manure sent off-site</v>
      </c>
      <c r="D39" s="30" t="str" cm="1">
        <f t="array" ref="D39">Common_InputFunctions.Utility_DisplayArrayInTable(SourceData_Dairy.SourceData_Dairy_LiveweightBulls_Data(), Table_SourceData_Dairy_WjBulls[[#Headers],[Breed]], 0)</f>
        <v>All breeds</v>
      </c>
      <c r="E39" s="30" cm="1">
        <f t="array" ref="E39">Common_InputFunctions.Utility_DisplayArrayInTable(SourceData_Dairy.SourceData_Dairy_LiveweightBulls_Data(), Table_SourceData_Dairy_WjBulls[[#Headers],[Breed]], 0)</f>
        <v>600</v>
      </c>
      <c r="F39" s="30"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HYPERLINK("#'4.3.1.1-2 Methane'!A1", "4.3.1.1-2 Methane")</f>
        <v>4.3.1.1-2 Methane</v>
      </c>
      <c r="M40" s="1"/>
    </row>
    <row r="41" spans="1:13" ht="20.100000000000001" customHeight="1" x14ac:dyDescent="0.25">
      <c r="A41" s="5" t="str">
        <f>HYPERLINK("#'4.3.1.3-4 Direct N20'!A1", "4.3.1.3-4 Direct N20")</f>
        <v>4.3.1.3-4 Direct N20</v>
      </c>
      <c r="M41" s="1"/>
    </row>
    <row r="42" spans="1:13" ht="20.100000000000001" customHeight="1" x14ac:dyDescent="0.25">
      <c r="A42" s="5" t="str">
        <f>HYPERLINK("#'4.3.1.5 Atmos deposition'!A1", "4.3.1.5 Atmos deposition")</f>
        <v>4.3.1.5 Atmos deposition</v>
      </c>
      <c r="D42" s="2" t="str" cm="1">
        <f t="array" ref="D42">SourceData_Dairy.SourceData_Dairy_LiveweightGain_Title()</f>
        <v>Table A.1.3.3: Dairy cattle - Liveweight gain (kg) (LWGj)</v>
      </c>
      <c r="M42" s="1"/>
    </row>
    <row r="43" spans="1:13" ht="20.100000000000001" customHeight="1" x14ac:dyDescent="0.25">
      <c r="A43" s="5" t="str">
        <f>HYPERLINK("#'4.3.1.6-7 Leaching and runoff'!A1", "4.3.1.6-7 Leaching and runoff")</f>
        <v>4.3.1.6-7 Leaching and runoff</v>
      </c>
      <c r="D43" s="27" t="str" cm="1">
        <f t="array" ref="D43">SourceData_Dairy.SourceData_Dairy_LiveweightGain_Source()</f>
        <v>VEERG 2026: Table A.1.3.3</v>
      </c>
      <c r="M43" s="1"/>
    </row>
    <row r="44" spans="1:13" ht="20.100000000000001" customHeight="1" x14ac:dyDescent="0.25">
      <c r="A44" s="5" t="str">
        <f>HYPERLINK("#'4.3.1.8 Manure applied to soils'!A1", "4.3.1.8 Manure applied to soils")</f>
        <v>4.3.1.8 Manure applied to soils</v>
      </c>
      <c r="D44" s="1" t="str" cm="1">
        <f t="array" ref="D44">SourceData_Dairy.SourceData_Dairy_LiveweightGain_Variable()</f>
        <v>LWGj</v>
      </c>
      <c r="M44" s="1"/>
    </row>
    <row r="45" spans="1:13" ht="20.100000000000001" customHeight="1" x14ac:dyDescent="0.25">
      <c r="A45" s="5" t="str">
        <f>HYPERLINK("#'4.3.1.9 Soil direct N2O'!A1", "4.3.1.9 Soil direct N2O")</f>
        <v>4.3.1.9 Soil direct N2O</v>
      </c>
      <c r="D45" s="15" t="str" cm="1">
        <f t="array" ref="D45">SourceData_Dairy.SourceData_Dairy_LiveweightGain_Unit()</f>
        <v>kg</v>
      </c>
      <c r="M45" s="1"/>
    </row>
    <row r="46" spans="1:13" ht="20.100000000000001" customHeight="1" x14ac:dyDescent="0.25">
      <c r="A46" s="5" t="str">
        <f>HYPERLINK("#'4.3.1.10-11 Soil Atmos Dep'!A1", "4.3.1.10-11 Soil Atmos Dep")</f>
        <v>4.3.1.10-11 Soil Atmos Dep</v>
      </c>
      <c r="D46" s="30" t="s">
        <v>208</v>
      </c>
      <c r="E46" s="30" t="s">
        <v>501</v>
      </c>
      <c r="F46" s="30" t="s">
        <v>502</v>
      </c>
      <c r="G46" s="30" t="s">
        <v>503</v>
      </c>
      <c r="H46" s="30" t="s">
        <v>504</v>
      </c>
      <c r="M46" s="1"/>
    </row>
    <row r="47" spans="1:13" ht="20.100000000000001" customHeight="1" x14ac:dyDescent="0.25">
      <c r="A47" s="5" t="str">
        <f>HYPERLINK("#'4.3.1.12-13 Soil leach runoff'!A1", "4.3.1.12-13 Soil leach runoff")</f>
        <v>4.3.1.12-13 Soil leach runoff</v>
      </c>
      <c r="D47" s="30" cm="1">
        <f t="array" ref="D47">Common_InputFunctions.Utility_DisplayArrayInTable(SourceData_Dairy.SourceData_Dairy_LiveweightGain_Data(), Table_SourceData_Dairy_LWGj[[#Headers],[Milking cows]], 0)</f>
        <v>1.6E-2</v>
      </c>
      <c r="E47" s="30" cm="1">
        <f t="array" ref="E47">Common_InputFunctions.Utility_DisplayArrayInTable(SourceData_Dairy.SourceData_Dairy_LiveweightGain_Data(), Table_SourceData_Dairy_LWGj[[#Headers],[Milking cows]], 0)</f>
        <v>0.6</v>
      </c>
      <c r="F47" s="30" cm="1">
        <f t="array" ref="F47">Common_InputFunctions.Utility_DisplayArrayInTable(SourceData_Dairy.SourceData_Dairy_LiveweightGain_Data(), Table_SourceData_Dairy_LWGj[[#Headers],[Milking cows]], 0)</f>
        <v>0.56999999999999995</v>
      </c>
      <c r="G47" s="30" cm="1">
        <f t="array" ref="G47">Common_InputFunctions.Utility_DisplayArrayInTable(SourceData_Dairy.SourceData_Dairy_LiveweightGain_Data(), Table_SourceData_Dairy_LWGj[[#Headers],[Milking cows]], 0)</f>
        <v>0.1</v>
      </c>
      <c r="H47" s="30"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HYPERLINK("#'3.3.1.1-2 Enteric Methane'!A1", "3.3.1.1-2 Enteric Methane")</f>
        <v>3.3.1.1-2 Enteric Methane</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46"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47" t="s">
        <v>208</v>
      </c>
      <c r="E54" s="147" t="s">
        <v>501</v>
      </c>
      <c r="F54" s="147" t="s">
        <v>502</v>
      </c>
      <c r="G54" s="147" t="s">
        <v>503</v>
      </c>
      <c r="H54" s="147" t="s">
        <v>504</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30" t="s">
        <v>505</v>
      </c>
      <c r="E62" s="30" t="s">
        <v>506</v>
      </c>
      <c r="F62" s="30" t="s">
        <v>507</v>
      </c>
      <c r="G62" s="30" t="s">
        <v>508</v>
      </c>
      <c r="M62" s="1"/>
    </row>
    <row r="63" spans="1:13" ht="20.100000000000001" customHeight="1" x14ac:dyDescent="0.25">
      <c r="D63" s="30" t="str" cm="1">
        <f t="array" ref="D63">Common_InputFunctions.Utility_DisplayArrayInTable(SourceData_Dairy.SourceData_Dairy_PreWeanedCalves_Data(), Table_SourceData_Dairy_DataPreWeaned[[#Headers],[Animal class j]], -1)</f>
        <v>Heifers&lt;1</v>
      </c>
      <c r="E63" s="30" cm="1">
        <f t="array" ref="E63">Common_InputFunctions.Utility_DisplayArrayInTable(SourceData_Dairy.SourceData_Dairy_PreWeanedCalves_Data(), Table_SourceData_Dairy_DataPreWeaned[[#Headers],[Animal class j]], -1)</f>
        <v>1.7600000000000001E-2</v>
      </c>
      <c r="F63" s="30" cm="1">
        <f t="array" ref="F63">Common_InputFunctions.Utility_DisplayArrayInTable(SourceData_Dairy.SourceData_Dairy_PreWeanedCalves_Data(), Table_SourceData_Dairy_DataPreWeaned[[#Headers],[Animal class j]], -1)</f>
        <v>0.26850000000000002</v>
      </c>
      <c r="G63" s="30"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0" t="str" cm="1">
        <f t="array" ref="D64">Common_InputFunctions.Utility_DisplayArrayInTable(SourceData_Dairy.SourceData_Dairy_PreWeanedCalves_Data(), Table_SourceData_Dairy_DataPreWeaned[[#Headers],[Animal class j]], -1)</f>
        <v>Bulls&lt;1</v>
      </c>
      <c r="E64" s="30" cm="1">
        <f t="array" ref="E64">Common_InputFunctions.Utility_DisplayArrayInTable(SourceData_Dairy.SourceData_Dairy_PreWeanedCalves_Data(), Table_SourceData_Dairy_DataPreWeaned[[#Headers],[Animal class j]], -1)</f>
        <v>2.0400000000000001E-2</v>
      </c>
      <c r="F64" s="30" cm="1">
        <f t="array" ref="F64">Common_InputFunctions.Utility_DisplayArrayInTable(SourceData_Dairy.SourceData_Dairy_PreWeanedCalves_Data(), Table_SourceData_Dairy_DataPreWeaned[[#Headers],[Animal class j]], -1)</f>
        <v>0.30030000000000001</v>
      </c>
      <c r="G64" s="30"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6" t="str" cm="1">
        <f t="array" ref="D71">SourceData_Dairy.SourceData_Dairy_MCF_Variation()</f>
        <v>VARIATION OF SOURCE: Added 'NIR reference' column to aid lookup</v>
      </c>
      <c r="M71" s="1"/>
      <c r="V71" s="1"/>
    </row>
    <row r="72" spans="4:22" ht="20.100000000000001" customHeight="1" x14ac:dyDescent="0.25">
      <c r="D72" s="30" t="s">
        <v>509</v>
      </c>
      <c r="E72" s="30" t="s">
        <v>510</v>
      </c>
      <c r="F72" s="30" t="s">
        <v>511</v>
      </c>
      <c r="G72" s="30" t="s">
        <v>512</v>
      </c>
      <c r="H72" s="30" t="s">
        <v>513</v>
      </c>
      <c r="I72" s="30" t="s">
        <v>514</v>
      </c>
      <c r="J72" s="30" t="s">
        <v>515</v>
      </c>
      <c r="K72" s="30" t="s">
        <v>516</v>
      </c>
      <c r="L72" s="30" t="s">
        <v>517</v>
      </c>
      <c r="M72" s="30" t="s">
        <v>518</v>
      </c>
      <c r="V72" s="1"/>
    </row>
    <row r="73" spans="4:22" ht="20.100000000000001" customHeight="1" x14ac:dyDescent="0.25">
      <c r="D73" s="30" t="str" cm="1">
        <f t="array" ref="D73">Common_InputFunctions.Utility_DisplayArrayInTable(SourceData_Dairy.SourceData_Dairy_MCF_Data(), Table_SourceData_Dairy_MCFjm[[#Headers],[MMS m]], 0)</f>
        <v>Pasture</v>
      </c>
      <c r="E73" s="30" cm="1">
        <f t="array" ref="E73">Common_InputFunctions.Utility_DisplayArrayInTable(SourceData_Dairy.SourceData_Dairy_MCF_Data(), Table_SourceData_Dairy_MCFjm[[#Headers],[MMS m]], 0)</f>
        <v>0.01</v>
      </c>
      <c r="F73" s="30" cm="1">
        <f t="array" ref="F73">Common_InputFunctions.Utility_DisplayArrayInTable(SourceData_Dairy.SourceData_Dairy_MCF_Data(), Table_SourceData_Dairy_MCFjm[[#Headers],[MMS m]], 0)</f>
        <v>0.01</v>
      </c>
      <c r="G73" s="30" cm="1">
        <f t="array" ref="G73">Common_InputFunctions.Utility_DisplayArrayInTable(SourceData_Dairy.SourceData_Dairy_MCF_Data(), Table_SourceData_Dairy_MCFjm[[#Headers],[MMS m]], 0)</f>
        <v>0.02</v>
      </c>
      <c r="H73" s="30" cm="1">
        <f t="array" ref="H73">Common_InputFunctions.Utility_DisplayArrayInTable(SourceData_Dairy.SourceData_Dairy_MCF_Data(), Table_SourceData_Dairy_MCFjm[[#Headers],[MMS m]], 0)</f>
        <v>0.01</v>
      </c>
      <c r="I73" s="30" cm="1">
        <f t="array" ref="I73">Common_InputFunctions.Utility_DisplayArrayInTable(SourceData_Dairy.SourceData_Dairy_MCF_Data(), Table_SourceData_Dairy_MCFjm[[#Headers],[MMS m]], 0)</f>
        <v>0.01</v>
      </c>
      <c r="J73" s="30" cm="1">
        <f t="array" ref="J73">Common_InputFunctions.Utility_DisplayArrayInTable(SourceData_Dairy.SourceData_Dairy_MCF_Data(), Table_SourceData_Dairy_MCFjm[[#Headers],[MMS m]], 0)</f>
        <v>0.01</v>
      </c>
      <c r="K73" s="30" cm="1">
        <f t="array" ref="K73">Common_InputFunctions.Utility_DisplayArrayInTable(SourceData_Dairy.SourceData_Dairy_MCF_Data(), Table_SourceData_Dairy_MCFjm[[#Headers],[MMS m]], 0)</f>
        <v>0.01</v>
      </c>
      <c r="L73" s="30" cm="1">
        <f t="array" ref="L73">Common_InputFunctions.Utility_DisplayArrayInTable(SourceData_Dairy.SourceData_Dairy_MCF_Data(), Table_SourceData_Dairy_MCFjm[[#Headers],[MMS m]], 0)</f>
        <v>0.01</v>
      </c>
      <c r="M73" s="30"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0" cm="1">
        <f t="array" ref="E74">Common_InputFunctions.Utility_DisplayArrayInTable(SourceData_Dairy.SourceData_Dairy_MCF_Data(), Table_SourceData_Dairy_MCFjm[[#Headers],[MMS m]], 0)</f>
        <v>0.72</v>
      </c>
      <c r="F74" s="30" cm="1">
        <f t="array" ref="F74">Common_InputFunctions.Utility_DisplayArrayInTable(SourceData_Dairy.SourceData_Dairy_MCF_Data(), Table_SourceData_Dairy_MCFjm[[#Headers],[MMS m]], 0)</f>
        <v>0.76</v>
      </c>
      <c r="G74" s="30" cm="1">
        <f t="array" ref="G74">Common_InputFunctions.Utility_DisplayArrayInTable(SourceData_Dairy.SourceData_Dairy_MCF_Data(), Table_SourceData_Dairy_MCFjm[[#Headers],[MMS m]], 0)</f>
        <v>0.8</v>
      </c>
      <c r="H74" s="30" cm="1">
        <f t="array" ref="H74">Common_InputFunctions.Utility_DisplayArrayInTable(SourceData_Dairy.SourceData_Dairy_MCF_Data(), Table_SourceData_Dairy_MCFjm[[#Headers],[MMS m]], 0)</f>
        <v>0.78</v>
      </c>
      <c r="I74" s="30" cm="1">
        <f t="array" ref="I74">Common_InputFunctions.Utility_DisplayArrayInTable(SourceData_Dairy.SourceData_Dairy_MCF_Data(), Table_SourceData_Dairy_MCFjm[[#Headers],[MMS m]], 0)</f>
        <v>0.74</v>
      </c>
      <c r="J74" s="30" cm="1">
        <f t="array" ref="J74">Common_InputFunctions.Utility_DisplayArrayInTable(SourceData_Dairy.SourceData_Dairy_MCF_Data(), Table_SourceData_Dairy_MCFjm[[#Headers],[MMS m]], 0)</f>
        <v>0.69</v>
      </c>
      <c r="K74" s="30" cm="1">
        <f t="array" ref="K74">Common_InputFunctions.Utility_DisplayArrayInTable(SourceData_Dairy.SourceData_Dairy_MCF_Data(), Table_SourceData_Dairy_MCFjm[[#Headers],[MMS m]], 0)</f>
        <v>0.73</v>
      </c>
      <c r="L74" s="30" cm="1">
        <f t="array" ref="L74">Common_InputFunctions.Utility_DisplayArrayInTable(SourceData_Dairy.SourceData_Dairy_MCF_Data(), Table_SourceData_Dairy_MCFjm[[#Headers],[MMS m]], 0)</f>
        <v>0.76</v>
      </c>
      <c r="M74" s="30"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0" cm="1">
        <f t="array" ref="E75">Common_InputFunctions.Utility_DisplayArrayInTable(SourceData_Dairy.SourceData_Dairy_MCF_Data(), Table_SourceData_Dairy_MCFjm[[#Headers],[MMS m]], 0)</f>
        <v>5.0000000000000001E-3</v>
      </c>
      <c r="F75" s="30" cm="1">
        <f t="array" ref="F75">Common_InputFunctions.Utility_DisplayArrayInTable(SourceData_Dairy.SourceData_Dairy_MCF_Data(), Table_SourceData_Dairy_MCFjm[[#Headers],[MMS m]], 0)</f>
        <v>5.0000000000000001E-3</v>
      </c>
      <c r="G75" s="30" cm="1">
        <f t="array" ref="G75">Common_InputFunctions.Utility_DisplayArrayInTable(SourceData_Dairy.SourceData_Dairy_MCF_Data(), Table_SourceData_Dairy_MCFjm[[#Headers],[MMS m]], 0)</f>
        <v>0.01</v>
      </c>
      <c r="H75" s="30" cm="1">
        <f t="array" ref="H75">Common_InputFunctions.Utility_DisplayArrayInTable(SourceData_Dairy.SourceData_Dairy_MCF_Data(), Table_SourceData_Dairy_MCFjm[[#Headers],[MMS m]], 0)</f>
        <v>5.0000000000000001E-3</v>
      </c>
      <c r="I75" s="30" cm="1">
        <f t="array" ref="I75">Common_InputFunctions.Utility_DisplayArrayInTable(SourceData_Dairy.SourceData_Dairy_MCF_Data(), Table_SourceData_Dairy_MCFjm[[#Headers],[MMS m]], 0)</f>
        <v>5.0000000000000001E-3</v>
      </c>
      <c r="J75" s="30" cm="1">
        <f t="array" ref="J75">Common_InputFunctions.Utility_DisplayArrayInTable(SourceData_Dairy.SourceData_Dairy_MCF_Data(), Table_SourceData_Dairy_MCFjm[[#Headers],[MMS m]], 0)</f>
        <v>1E-3</v>
      </c>
      <c r="K75" s="30" cm="1">
        <f t="array" ref="K75">Common_InputFunctions.Utility_DisplayArrayInTable(SourceData_Dairy.SourceData_Dairy_MCF_Data(), Table_SourceData_Dairy_MCFjm[[#Headers],[MMS m]], 0)</f>
        <v>5.0000000000000001E-3</v>
      </c>
      <c r="L75" s="30" cm="1">
        <f t="array" ref="L75">Common_InputFunctions.Utility_DisplayArrayInTable(SourceData_Dairy.SourceData_Dairy_MCF_Data(), Table_SourceData_Dairy_MCFjm[[#Headers],[MMS m]], 0)</f>
        <v>5.0000000000000001E-3</v>
      </c>
      <c r="M75" s="30"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0" cm="1">
        <f t="array" ref="E76">Common_InputFunctions.Utility_DisplayArrayInTable(SourceData_Dairy.SourceData_Dairy_MCF_Data(), Table_SourceData_Dairy_MCFjm[[#Headers],[MMS m]], 0)</f>
        <v>0.15</v>
      </c>
      <c r="F76" s="30" cm="1">
        <f t="array" ref="F76">Common_InputFunctions.Utility_DisplayArrayInTable(SourceData_Dairy.SourceData_Dairy_MCF_Data(), Table_SourceData_Dairy_MCFjm[[#Headers],[MMS m]], 0)</f>
        <v>0.18</v>
      </c>
      <c r="G76" s="30" cm="1">
        <f t="array" ref="G76">Common_InputFunctions.Utility_DisplayArrayInTable(SourceData_Dairy.SourceData_Dairy_MCF_Data(), Table_SourceData_Dairy_MCFjm[[#Headers],[MMS m]], 0)</f>
        <v>0.5</v>
      </c>
      <c r="H76" s="30" cm="1">
        <f t="array" ref="H76">Common_InputFunctions.Utility_DisplayArrayInTable(SourceData_Dairy.SourceData_Dairy_MCF_Data(), Table_SourceData_Dairy_MCFjm[[#Headers],[MMS m]], 0)</f>
        <v>0.24</v>
      </c>
      <c r="I76" s="30" cm="1">
        <f t="array" ref="I76">Common_InputFunctions.Utility_DisplayArrayInTable(SourceData_Dairy.SourceData_Dairy_MCF_Data(), Table_SourceData_Dairy_MCFjm[[#Headers],[MMS m]], 0)</f>
        <v>0.17</v>
      </c>
      <c r="J76" s="30" cm="1">
        <f t="array" ref="J76">Common_InputFunctions.Utility_DisplayArrayInTable(SourceData_Dairy.SourceData_Dairy_MCF_Data(), Table_SourceData_Dairy_MCFjm[[#Headers],[MMS m]], 0)</f>
        <v>0.13</v>
      </c>
      <c r="K76" s="30" cm="1">
        <f t="array" ref="K76">Common_InputFunctions.Utility_DisplayArrayInTable(SourceData_Dairy.SourceData_Dairy_MCF_Data(), Table_SourceData_Dairy_MCFjm[[#Headers],[MMS m]], 0)</f>
        <v>0.17</v>
      </c>
      <c r="L76" s="30" cm="1">
        <f t="array" ref="L76">Common_InputFunctions.Utility_DisplayArrayInTable(SourceData_Dairy.SourceData_Dairy_MCF_Data(), Table_SourceData_Dairy_MCFjm[[#Headers],[MMS m]], 0)</f>
        <v>0.18</v>
      </c>
      <c r="M76" s="30"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0" cm="1">
        <f t="array" ref="E77">Common_InputFunctions.Utility_DisplayArrayInTable(SourceData_Dairy.SourceData_Dairy_MCF_Data(), Table_SourceData_Dairy_MCFjm[[#Headers],[MMS m]], 0)</f>
        <v>0.02</v>
      </c>
      <c r="F77" s="30" cm="1">
        <f t="array" ref="F77">Common_InputFunctions.Utility_DisplayArrayInTable(SourceData_Dairy.SourceData_Dairy_MCF_Data(), Table_SourceData_Dairy_MCFjm[[#Headers],[MMS m]], 0)</f>
        <v>0.02</v>
      </c>
      <c r="G77" s="30" cm="1">
        <f t="array" ref="G77">Common_InputFunctions.Utility_DisplayArrayInTable(SourceData_Dairy.SourceData_Dairy_MCF_Data(), Table_SourceData_Dairy_MCFjm[[#Headers],[MMS m]], 0)</f>
        <v>0.02</v>
      </c>
      <c r="H77" s="30" cm="1">
        <f t="array" ref="H77">Common_InputFunctions.Utility_DisplayArrayInTable(SourceData_Dairy.SourceData_Dairy_MCF_Data(), Table_SourceData_Dairy_MCFjm[[#Headers],[MMS m]], 0)</f>
        <v>0.02</v>
      </c>
      <c r="I77" s="30" cm="1">
        <f t="array" ref="I77">Common_InputFunctions.Utility_DisplayArrayInTable(SourceData_Dairy.SourceData_Dairy_MCF_Data(), Table_SourceData_Dairy_MCFjm[[#Headers],[MMS m]], 0)</f>
        <v>0.02</v>
      </c>
      <c r="J77" s="30" cm="1">
        <f t="array" ref="J77">Common_InputFunctions.Utility_DisplayArrayInTable(SourceData_Dairy.SourceData_Dairy_MCF_Data(), Table_SourceData_Dairy_MCFjm[[#Headers],[MMS m]], 0)</f>
        <v>0.02</v>
      </c>
      <c r="K77" s="30" cm="1">
        <f t="array" ref="K77">Common_InputFunctions.Utility_DisplayArrayInTable(SourceData_Dairy.SourceData_Dairy_MCF_Data(), Table_SourceData_Dairy_MCFjm[[#Headers],[MMS m]], 0)</f>
        <v>0.02</v>
      </c>
      <c r="L77" s="30" cm="1">
        <f t="array" ref="L77">Common_InputFunctions.Utility_DisplayArrayInTable(SourceData_Dairy.SourceData_Dairy_MCF_Data(), Table_SourceData_Dairy_MCFjm[[#Headers],[MMS m]], 0)</f>
        <v>0.02</v>
      </c>
      <c r="M77" s="30"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0" cm="1">
        <f t="array" ref="E78">Common_InputFunctions.Utility_DisplayArrayInTable(SourceData_Dairy.SourceData_Dairy_MCF_Data(), Table_SourceData_Dairy_MCFjm[[#Headers],[MMS m]], 0)</f>
        <v>0</v>
      </c>
      <c r="F78" s="30" cm="1">
        <f t="array" ref="F78">Common_InputFunctions.Utility_DisplayArrayInTable(SourceData_Dairy.SourceData_Dairy_MCF_Data(), Table_SourceData_Dairy_MCFjm[[#Headers],[MMS m]], 0)</f>
        <v>0</v>
      </c>
      <c r="G78" s="30" cm="1">
        <f t="array" ref="G78">Common_InputFunctions.Utility_DisplayArrayInTable(SourceData_Dairy.SourceData_Dairy_MCF_Data(), Table_SourceData_Dairy_MCFjm[[#Headers],[MMS m]], 0)</f>
        <v>0</v>
      </c>
      <c r="H78" s="30" cm="1">
        <f t="array" ref="H78">Common_InputFunctions.Utility_DisplayArrayInTable(SourceData_Dairy.SourceData_Dairy_MCF_Data(), Table_SourceData_Dairy_MCFjm[[#Headers],[MMS m]], 0)</f>
        <v>0</v>
      </c>
      <c r="I78" s="30" cm="1">
        <f t="array" ref="I78">Common_InputFunctions.Utility_DisplayArrayInTable(SourceData_Dairy.SourceData_Dairy_MCF_Data(), Table_SourceData_Dairy_MCFjm[[#Headers],[MMS m]], 0)</f>
        <v>0</v>
      </c>
      <c r="J78" s="30" cm="1">
        <f t="array" ref="J78">Common_InputFunctions.Utility_DisplayArrayInTable(SourceData_Dairy.SourceData_Dairy_MCF_Data(), Table_SourceData_Dairy_MCFjm[[#Headers],[MMS m]], 0)</f>
        <v>0</v>
      </c>
      <c r="K78" s="30" cm="1">
        <f t="array" ref="K78">Common_InputFunctions.Utility_DisplayArrayInTable(SourceData_Dairy.SourceData_Dairy_MCF_Data(), Table_SourceData_Dairy_MCFjm[[#Headers],[MMS m]], 0)</f>
        <v>0</v>
      </c>
      <c r="L78" s="30" cm="1">
        <f t="array" ref="L78">Common_InputFunctions.Utility_DisplayArrayInTable(SourceData_Dairy.SourceData_Dairy_MCF_Data(), Table_SourceData_Dairy_MCFjm[[#Headers],[MMS m]], 0)</f>
        <v>0</v>
      </c>
      <c r="M78" s="30"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6" t="str" cm="1">
        <f t="array" ref="D85">SourceData_Dairy.SourceData_Dairy_NitrousOxideEFsAndFracGASM_Variation()</f>
        <v>VARIATION OF SOURCE: Added 'NIR reference' column to aid lookup</v>
      </c>
      <c r="M85" s="1"/>
      <c r="V85" s="1"/>
    </row>
    <row r="86" spans="4:22" ht="20.100000000000001" customHeight="1" x14ac:dyDescent="0.25">
      <c r="D86" s="30" t="s">
        <v>509</v>
      </c>
      <c r="E86" s="30" t="s">
        <v>519</v>
      </c>
      <c r="F86" s="30" t="s">
        <v>520</v>
      </c>
      <c r="G86" s="30" t="s">
        <v>518</v>
      </c>
      <c r="M86" s="1"/>
      <c r="V86" s="1"/>
    </row>
    <row r="87" spans="4:22" ht="20.100000000000001" customHeight="1" x14ac:dyDescent="0.25">
      <c r="D87" s="30" t="str" cm="1">
        <f t="array" ref="D87">Common_InputFunctions.Utility_DisplayArrayInTable(SourceData_Dairy.SourceData_Dairy_NitrousOxideEFsAndFracGASM_Data(), Table_SourceData_Dairy_EFmFracGASM[[#Headers],[MMS m]], 0)</f>
        <v>M=14 Pasture</v>
      </c>
      <c r="E87" s="30" cm="1">
        <f t="array" ref="E87">Common_InputFunctions.Utility_DisplayArrayInTable(SourceData_Dairy.SourceData_Dairy_NitrousOxideEFsAndFracGASM_Data(), Table_SourceData_Dairy_EFmFracGASM[[#Headers],[MMS m]], 0)</f>
        <v>0</v>
      </c>
      <c r="F87" s="30" cm="1">
        <f t="array" ref="F87">Common_InputFunctions.Utility_DisplayArrayInTable(SourceData_Dairy.SourceData_Dairy_NitrousOxideEFsAndFracGASM_Data(), Table_SourceData_Dairy_EFmFracGASM[[#Headers],[MMS m]], 0)</f>
        <v>0</v>
      </c>
      <c r="G87" s="30"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0" cm="1">
        <f t="array" ref="E88">Common_InputFunctions.Utility_DisplayArrayInTable(SourceData_Dairy.SourceData_Dairy_NitrousOxideEFsAndFracGASM_Data(), Table_SourceData_Dairy_EFmFracGASM[[#Headers],[MMS m]], 0)</f>
        <v>0</v>
      </c>
      <c r="F88" s="30" cm="1">
        <f t="array" ref="F88">Common_InputFunctions.Utility_DisplayArrayInTable(SourceData_Dairy.SourceData_Dairy_NitrousOxideEFsAndFracGASM_Data(), Table_SourceData_Dairy_EFmFracGASM[[#Headers],[MMS m]], 0)</f>
        <v>0.35</v>
      </c>
      <c r="G88" s="30"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0" cm="1">
        <f t="array" ref="E89">Common_InputFunctions.Utility_DisplayArrayInTable(SourceData_Dairy.SourceData_Dairy_NitrousOxideEFsAndFracGASM_Data(), Table_SourceData_Dairy_EFmFracGASM[[#Headers],[MMS m]], 0)</f>
        <v>0</v>
      </c>
      <c r="F89" s="30" cm="1">
        <f t="array" ref="F89">Common_InputFunctions.Utility_DisplayArrayInTable(SourceData_Dairy.SourceData_Dairy_NitrousOxideEFsAndFracGASM_Data(), Table_SourceData_Dairy_EFmFracGASM[[#Headers],[MMS m]], 0)</f>
        <v>7.0000000000000007E-2</v>
      </c>
      <c r="G89" s="30"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0" cm="1">
        <f t="array" ref="E90">Common_InputFunctions.Utility_DisplayArrayInTable(SourceData_Dairy.SourceData_Dairy_NitrousOxideEFsAndFracGASM_Data(), Table_SourceData_Dairy_EFmFracGASM[[#Headers],[MMS m]], 0)</f>
        <v>0</v>
      </c>
      <c r="F90" s="30" cm="1">
        <f t="array" ref="F90">Common_InputFunctions.Utility_DisplayArrayInTable(SourceData_Dairy.SourceData_Dairy_NitrousOxideEFsAndFracGASM_Data(), Table_SourceData_Dairy_EFmFracGASM[[#Headers],[MMS m]], 0)</f>
        <v>0.2</v>
      </c>
      <c r="G90" s="30"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0" cm="1">
        <f t="array" ref="E91">Common_InputFunctions.Utility_DisplayArrayInTable(SourceData_Dairy.SourceData_Dairy_NitrousOxideEFsAndFracGASM_Data(), Table_SourceData_Dairy_EFmFracGASM[[#Headers],[MMS m]], 0)</f>
        <v>5.0000000000000001E-3</v>
      </c>
      <c r="F91" s="30" cm="1">
        <f t="array" ref="F91">Common_InputFunctions.Utility_DisplayArrayInTable(SourceData_Dairy.SourceData_Dairy_NitrousOxideEFsAndFracGASM_Data(), Table_SourceData_Dairy_EFmFracGASM[[#Headers],[MMS m]], 0)</f>
        <v>0.3</v>
      </c>
      <c r="G91" s="30"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30" t="s">
        <v>505</v>
      </c>
      <c r="E98" s="30" t="s">
        <v>521</v>
      </c>
      <c r="M98" s="1"/>
    </row>
    <row r="99" spans="4:13" ht="20.100000000000001" customHeight="1" x14ac:dyDescent="0.25">
      <c r="D99" s="30" t="str" cm="1">
        <f t="array" ref="D99">Common_InputFunctions.Utility_DisplayArrayInTable(SourceData_Dairy.SourceData_Dairy_MethaneProductionPreWeanedCalves_Data(), Table_SourceData_Dairy_MPWENTERIC[[#Headers],[Animal class j]], 0)</f>
        <v>Heifers &lt; 1 year</v>
      </c>
      <c r="E99" s="30"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0"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30" t="s">
        <v>505</v>
      </c>
      <c r="E107" s="30" t="s">
        <v>522</v>
      </c>
      <c r="M107" s="1"/>
    </row>
    <row r="108" spans="4:13" ht="20.100000000000001" customHeight="1" x14ac:dyDescent="0.25">
      <c r="D108" s="30" t="str" cm="1">
        <f t="array" ref="D108">Common_InputFunctions.Utility_DisplayArrayInTable(SourceData_Dairy.SourceData_Dairy_IncreasedMetabolicRateMilk_Data(), Table_SourceData_Dairy_MRj[[#Headers],[Animal class j]], 0)</f>
        <v>Milking cows, and house cows</v>
      </c>
      <c r="E108" s="30"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0"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30" t="s">
        <v>523</v>
      </c>
      <c r="E116" s="30" t="s">
        <v>185</v>
      </c>
      <c r="F116" s="30" t="s">
        <v>241</v>
      </c>
      <c r="G116" s="30" t="s">
        <v>524</v>
      </c>
      <c r="M116" s="1"/>
      <c r="V116" s="1"/>
    </row>
    <row r="117" spans="4:22" ht="20.100000000000001" customHeight="1" x14ac:dyDescent="0.25">
      <c r="D117" s="30" t="str" cm="1">
        <f t="array" ref="D117">Common_InputFunctions.Utility_DisplayArrayInTable(SourceData_Dairy.SourceData_Dairy_FractionVolatileSolidsVoidedMMS_Data(), Table_SourceData_Dairy_ProductionSystemTemplates[[#Headers],[Area]], 0)</f>
        <v>System 1: Grazed Only</v>
      </c>
      <c r="E117" s="30" cm="1">
        <f t="array" ref="E117">Common_InputFunctions.Utility_DisplayArrayInTable(SourceData_Dairy.SourceData_Dairy_FractionVolatileSolidsVoidedMMS_Data(), Table_SourceData_Dairy_ProductionSystemTemplates[[#Headers],[Area]], 0)</f>
        <v>0.89</v>
      </c>
      <c r="F117" s="30" cm="1">
        <f t="array" ref="F117">Common_InputFunctions.Utility_DisplayArrayInTable(SourceData_Dairy.SourceData_Dairy_FractionVolatileSolidsVoidedMMS_Data(), Table_SourceData_Dairy_ProductionSystemTemplates[[#Headers],[Area]], 0)</f>
        <v>0.11</v>
      </c>
      <c r="G117" s="30"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0" cm="1">
        <f t="array" ref="E118">Common_InputFunctions.Utility_DisplayArrayInTable(SourceData_Dairy.SourceData_Dairy_FractionVolatileSolidsVoidedMMS_Data(), Table_SourceData_Dairy_ProductionSystemTemplates[[#Headers],[Area]], 0)</f>
        <v>0.79</v>
      </c>
      <c r="F118" s="30" cm="1">
        <f t="array" ref="F118">Common_InputFunctions.Utility_DisplayArrayInTable(SourceData_Dairy.SourceData_Dairy_FractionVolatileSolidsVoidedMMS_Data(), Table_SourceData_Dairy_ProductionSystemTemplates[[#Headers],[Area]], 0)</f>
        <v>0.11</v>
      </c>
      <c r="G118" s="30"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0" cm="1">
        <f t="array" ref="E119">Common_InputFunctions.Utility_DisplayArrayInTable(SourceData_Dairy.SourceData_Dairy_FractionVolatileSolidsVoidedMMS_Data(), Table_SourceData_Dairy_ProductionSystemTemplates[[#Headers],[Area]], 0)</f>
        <v>0.53400000000000003</v>
      </c>
      <c r="F119" s="30" cm="1">
        <f t="array" ref="F119">Common_InputFunctions.Utility_DisplayArrayInTable(SourceData_Dairy.SourceData_Dairy_FractionVolatileSolidsVoidedMMS_Data(), Table_SourceData_Dairy_ProductionSystemTemplates[[#Headers],[Area]], 0)</f>
        <v>0.11</v>
      </c>
      <c r="G119" s="30"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0" cm="1">
        <f t="array" ref="E120">Common_InputFunctions.Utility_DisplayArrayInTable(SourceData_Dairy.SourceData_Dairy_FractionVolatileSolidsVoidedMMS_Data(), Table_SourceData_Dairy_ProductionSystemTemplates[[#Headers],[Area]], 0)</f>
        <v>0</v>
      </c>
      <c r="F120" s="30" cm="1">
        <f t="array" ref="F120">Common_InputFunctions.Utility_DisplayArrayInTable(SourceData_Dairy.SourceData_Dairy_FractionVolatileSolidsVoidedMMS_Data(), Table_SourceData_Dairy_ProductionSystemTemplates[[#Headers],[Area]], 0)</f>
        <v>0.11</v>
      </c>
      <c r="G120" s="30"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6" t="str" cm="1">
        <f t="array" ref="D127">SourceData_Dairy.SourceData_Dairy_EFNitrousOxidePerMMS_Variation()</f>
        <v>VARIATION OF SOURCE: Added 'NIR reference' column to aid lookup</v>
      </c>
      <c r="M127" s="1"/>
      <c r="V127" s="1"/>
    </row>
    <row r="128" spans="4:22" ht="20.100000000000001" customHeight="1" x14ac:dyDescent="0.25">
      <c r="D128" s="30" t="s">
        <v>509</v>
      </c>
      <c r="E128" s="30" t="s">
        <v>519</v>
      </c>
      <c r="F128" s="30" t="s">
        <v>518</v>
      </c>
      <c r="G128" s="148" t="s">
        <v>525</v>
      </c>
      <c r="M128" s="1"/>
      <c r="N128" s="8"/>
      <c r="V128" s="1"/>
    </row>
    <row r="129" spans="4:22" ht="20.100000000000001" customHeight="1" x14ac:dyDescent="0.25">
      <c r="D129" s="30" t="str" cm="1">
        <f t="array" ref="D129">Common_InputFunctions.Utility_DisplayArrayInTable(SourceData_Dairy.SourceData_Dairy_EFNitrousOxidePerMMS_Data(), Table_SourceData_Dairy_EFm[[#Headers],[MMS m]], 0)</f>
        <v>m=14 Pasture</v>
      </c>
      <c r="E129" s="30" cm="1">
        <f t="array" ref="E129">Common_InputFunctions.Utility_DisplayArrayInTable(SourceData_Dairy.SourceData_Dairy_EFNitrousOxidePerMMS_Data(), Table_SourceData_Dairy_EFm[[#Headers],[MMS m]], 0)</f>
        <v>0</v>
      </c>
      <c r="F129" s="30"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0" cm="1">
        <f t="array" ref="E130">Common_InputFunctions.Utility_DisplayArrayInTable(SourceData_Dairy.SourceData_Dairy_EFNitrousOxidePerMMS_Data(), Table_SourceData_Dairy_EFm[[#Headers],[MMS m]], 0)</f>
        <v>0</v>
      </c>
      <c r="F130" s="30"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0" cm="1">
        <f t="array" ref="E131">Common_InputFunctions.Utility_DisplayArrayInTable(SourceData_Dairy.SourceData_Dairy_EFNitrousOxidePerMMS_Data(), Table_SourceData_Dairy_EFm[[#Headers],[MMS m]], 0)</f>
        <v>0</v>
      </c>
      <c r="F131" s="30"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0" cm="1">
        <f t="array" ref="E132">Common_InputFunctions.Utility_DisplayArrayInTable(SourceData_Dairy.SourceData_Dairy_EFNitrousOxidePerMMS_Data(), Table_SourceData_Dairy_EFm[[#Headers],[MMS m]], 0)</f>
        <v>0</v>
      </c>
      <c r="F132" s="30"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0" cm="1">
        <f t="array" ref="E133">Common_InputFunctions.Utility_DisplayArrayInTable(SourceData_Dairy.SourceData_Dairy_EFNitrousOxidePerMMS_Data(), Table_SourceData_Dairy_EFm[[#Headers],[MMS m]], 0)</f>
        <v>5.0000000000000001E-3</v>
      </c>
      <c r="F133" s="30"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6" t="str" cm="1">
        <f t="array" ref="D140">SourceData_Dairy.SourceData_Dairy_DurationOfStay_Variation()</f>
        <v>VARIATION OF SOURCE: Converted free text in document to table, matching livestock class names.</v>
      </c>
      <c r="M140" s="8"/>
    </row>
    <row r="141" spans="4:22" ht="20.100000000000001" customHeight="1" x14ac:dyDescent="0.25">
      <c r="D141" s="30" t="s">
        <v>505</v>
      </c>
      <c r="E141" s="30" t="s">
        <v>526</v>
      </c>
      <c r="F141" s="30" t="s">
        <v>527</v>
      </c>
      <c r="M141" s="8"/>
    </row>
    <row r="142" spans="4:22" ht="20.100000000000001" customHeight="1" x14ac:dyDescent="0.25">
      <c r="D142" s="30" t="str" cm="1">
        <f t="array" ref="D142">Common_InputFunctions.Utility_DisplayArrayInTable(SourceData_Dairy.SourceData_Dairy_DurationOfStay_Data(), Table_SourceData_Dairy_Duration[[#Headers],[Animal class j]], 0)</f>
        <v>Milking cows</v>
      </c>
      <c r="E142" s="30" cm="1">
        <f t="array" ref="E142">Common_InputFunctions.Utility_DisplayArrayInTable(SourceData_Dairy.SourceData_Dairy_DurationOfStay_Data(), Table_SourceData_Dairy_Duration[[#Headers],[Animal class j]], 0)</f>
        <v>365</v>
      </c>
      <c r="F142" s="30"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0" cm="1">
        <f t="array" ref="E143">Common_InputFunctions.Utility_DisplayArrayInTable(SourceData_Dairy.SourceData_Dairy_DurationOfStay_Data(), Table_SourceData_Dairy_Duration[[#Headers],[Animal class j]], 0)</f>
        <v>365</v>
      </c>
      <c r="F143" s="30"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0" cm="1">
        <f t="array" ref="E144">Common_InputFunctions.Utility_DisplayArrayInTable(SourceData_Dairy.SourceData_Dairy_DurationOfStay_Data(), Table_SourceData_Dairy_Duration[[#Headers],[Animal class j]], 0)</f>
        <v>281</v>
      </c>
      <c r="F144" s="30"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0" cm="1">
        <f t="array" ref="E145">Common_InputFunctions.Utility_DisplayArrayInTable(SourceData_Dairy.SourceData_Dairy_DurationOfStay_Data(), Table_SourceData_Dairy_Duration[[#Headers],[Animal class j]], 0)</f>
        <v>365</v>
      </c>
      <c r="F145" s="30"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0" cm="1">
        <f t="array" ref="E146">Common_InputFunctions.Utility_DisplayArrayInTable(SourceData_Dairy.SourceData_Dairy_DurationOfStay_Data(), Table_SourceData_Dairy_Duration[[#Headers],[Animal class j]], 0)</f>
        <v>281</v>
      </c>
      <c r="F146" s="30"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8"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8"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8"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7" t="str">
        <f>HYPERLINK("#A1", "▲ Back to top")</f>
        <v>▲ Back to top</v>
      </c>
      <c r="D174" s="88"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8"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8"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8"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8"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8"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7" t="str">
        <f>HYPERLINK("#A1", "▲ Back to top")</f>
        <v>▲ Back to top</v>
      </c>
      <c r="D215" s="88"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8"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8"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8"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E56CB-C5A2-4A8E-928F-5D6EA4DF404E}">
  <dimension ref="A1:AI235"/>
  <sheetViews>
    <sheetView showGridLines="0" topLeftCell="B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972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7" t="s">
        <v>973</v>
      </c>
      <c r="E7" s="257" t="s">
        <v>974</v>
      </c>
      <c r="F7" s="257" t="s">
        <v>975</v>
      </c>
      <c r="G7" s="257" t="s">
        <v>976</v>
      </c>
      <c r="H7" s="257" t="s">
        <v>977</v>
      </c>
      <c r="I7" s="257" t="s">
        <v>978</v>
      </c>
      <c r="J7" s="257" t="s">
        <v>979</v>
      </c>
      <c r="K7" s="257" t="s">
        <v>980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183</v>
      </c>
      <c r="E19" t="s">
        <v>981</v>
      </c>
      <c r="F19" t="s">
        <v>982</v>
      </c>
      <c r="G19" t="s">
        <v>983</v>
      </c>
      <c r="H19" t="s">
        <v>984</v>
      </c>
      <c r="I19" t="s">
        <v>985</v>
      </c>
      <c r="J19" t="s">
        <v>986</v>
      </c>
      <c r="K19" t="s">
        <v>987</v>
      </c>
      <c r="L19" t="s">
        <v>988</v>
      </c>
      <c r="N19" s="2" t="s">
        <v>492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69</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497</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498</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255</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499</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500</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HYPERLINK("#'4.3.1.1-2 Methane'!A1", "4.3.1.1-2 Methane")</f>
        <v>4.3.1.1-2 Methane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HYPERLINK("#'4.3.1.3-4 Direct N20'!A1", "4.3.1.3-4 Direct N20")</f>
        <v>4.3.1.3-4 Direct N20</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HYPERLINK("#'4.3.1.5 Atmos deposition'!A1", "4.3.1.5 Atmos deposition")</f>
        <v>4.3.1.5 Atmos deposition</v>
      </c>
      <c r="D42" s="27"/>
      <c r="E42" s="35"/>
      <c r="F42" s="35"/>
      <c r="H42" s="8"/>
      <c r="I42" s="8"/>
      <c r="M42" s="35"/>
    </row>
    <row r="43" spans="1:13" ht="20.100000000000001" customHeight="1" x14ac:dyDescent="0.25">
      <c r="A43" s="5" t="str">
        <f>HYPERLINK("#'4.3.1.6-7 Leaching and runoff'!A1", "4.3.1.6-7 Leaching and runoff")</f>
        <v>4.3.1.6-7 Leaching and runoff</v>
      </c>
      <c r="D43" s="197" t="s">
        <v>989</v>
      </c>
      <c r="E43" s="197" t="s">
        <v>990</v>
      </c>
      <c r="F43" s="35"/>
      <c r="H43" s="8"/>
      <c r="I43" s="8"/>
      <c r="M43" s="35"/>
    </row>
    <row r="44" spans="1:13" ht="20.100000000000001" customHeight="1" x14ac:dyDescent="0.25">
      <c r="A44" s="5" t="str">
        <f>HYPERLINK("#'4.3.1.8 Manure applied to soils'!A1", "4.3.1.8 Manure applied to soils")</f>
        <v>4.3.1.8 Manure applied to soils</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HYPERLINK("#'4.3.1.9 Soil direct N2O'!A1", "4.3.1.9 Soil direct N2O")</f>
        <v>4.3.1.9 Soil direct N2O</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HYPERLINK("#'4.3.1.10-11 Soil Atmos Dep'!A1", "4.3.1.10-11 Soil Atmos Dep")</f>
        <v>4.3.1.10-11 Soil Atmos Dep</v>
      </c>
      <c r="H46" s="8"/>
      <c r="I46" s="8"/>
      <c r="M46" s="35"/>
    </row>
    <row r="47" spans="1:13" ht="20.100000000000001" customHeight="1" x14ac:dyDescent="0.25">
      <c r="A47" s="5" t="str">
        <f>HYPERLINK("#'4.3.1.12-13 Soil leach runoff'!A1", "4.3.1.12-13 Soil leach runoff")</f>
        <v>4.3.1.12-13 Soil leach runoff</v>
      </c>
      <c r="M47" s="35"/>
    </row>
    <row r="48" spans="1:13" ht="20.100000000000001" customHeight="1" x14ac:dyDescent="0.25">
      <c r="A48" s="5" t="str">
        <f>HYPERLINK("#'3.3.1.1-2 Enteric Methane'!A1", "3.3.1.1-2 Enteric Methane")</f>
        <v>3.3.1.1-2 Enteric Methane</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942</v>
      </c>
      <c r="E51" s="30" t="s">
        <v>991</v>
      </c>
      <c r="F51" s="30" t="s">
        <v>992</v>
      </c>
      <c r="G51" s="30" t="s">
        <v>993</v>
      </c>
      <c r="H51" s="30" t="s">
        <v>994</v>
      </c>
      <c r="I51" s="30" t="s">
        <v>995</v>
      </c>
      <c r="K51" s="8"/>
      <c r="L51" s="8"/>
    </row>
    <row r="52" spans="1:12" ht="20.100000000000001" customHeight="1" x14ac:dyDescent="0.25">
      <c r="A52" s="99" t="s">
        <v>1</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146" t="str">
        <f>HYPERLINK("#'Constants - Ag Residue'!A1", "Constants - Ag residue")</f>
        <v>Constants - Ag residue</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30" t="s">
        <v>996</v>
      </c>
      <c r="E62" s="30" t="s">
        <v>997</v>
      </c>
      <c r="F62" s="30" t="s">
        <v>998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999</v>
      </c>
      <c r="E73" t="s">
        <v>104</v>
      </c>
      <c r="F73" t="s">
        <v>1000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999</v>
      </c>
      <c r="E92" t="s">
        <v>104</v>
      </c>
      <c r="F92" t="s">
        <v>1000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F5299-2ABF-40F3-9A27-E908E9029220}">
  <dimension ref="A1:M63"/>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1281</v>
      </c>
      <c r="E9" s="30" t="s">
        <v>1282</v>
      </c>
      <c r="F9" s="30" t="s">
        <v>495</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Dairy'!A1", "Dairy")</f>
        <v>Dairy</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Dairy (Enteric)'!A1", "Dairy (Enteric)")</f>
        <v>Dairy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Dairy cattle purchases'!A1", "Dairy cattle purchases")</f>
        <v>Dairy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HYPERLINK("#'5.1.1.1-2 Inorganic fert N2O'!A1", "5.1.1.1-2 Inorganic fert N2O")</f>
        <v>5.1.1.1-2 Inorganic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HYPERLINK("#'5.1.1.3-4 Inorganic fert CO2'!A1", "5.1.1.3-4 Inorganic fert CO2")</f>
        <v>5.1.1.3-4 Inorganic fert CO2</v>
      </c>
      <c r="G28" s="35"/>
      <c r="H28" s="35"/>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46"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4F69F-C082-44B5-9361-6B6426050C4D}">
  <dimension ref="A1:AI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6" t="s">
        <v>767</v>
      </c>
      <c r="E9" s="206" t="s">
        <v>768</v>
      </c>
      <c r="F9" s="206" t="s">
        <v>769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7" t="s">
        <v>767</v>
      </c>
      <c r="E24" s="197" t="s">
        <v>770</v>
      </c>
      <c r="F24" s="197" t="s">
        <v>771</v>
      </c>
      <c r="G24" s="197" t="s">
        <v>772</v>
      </c>
      <c r="H24" s="197" t="s">
        <v>773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46"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9A115-503F-47D4-90BF-3BE77714EBCC}">
  <dimension ref="A1:AI165"/>
  <sheetViews>
    <sheetView showGridLines="0" topLeftCell="A1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89"/>
      <c r="F5" s="189"/>
      <c r="G5" s="189"/>
      <c r="H5" s="189"/>
      <c r="I5" s="189"/>
      <c r="J5" s="18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Dairy'!A1", "Dairy")</f>
        <v>Dairy</v>
      </c>
      <c r="D11" s="36" t="str">
        <v>Added 'Source' column</v>
      </c>
    </row>
    <row r="12" spans="1:35" ht="20.100000000000001" customHeight="1" x14ac:dyDescent="0.25">
      <c r="A12" s="5" t="str">
        <f>HYPERLINK("#'Input - Dairy (Enteric)'!A1", "Dairy (Enteric)")</f>
        <v>Dairy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Dairy cattle purchases'!A1", "Dairy cattle purchases")</f>
        <v>Dairy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614</v>
      </c>
      <c r="E19" t="s">
        <v>697</v>
      </c>
      <c r="F19" t="s">
        <v>698</v>
      </c>
      <c r="G19" t="s">
        <v>672</v>
      </c>
      <c r="H19" t="s">
        <v>699</v>
      </c>
      <c r="I19" t="s">
        <v>700</v>
      </c>
      <c r="K19" s="30" t="s">
        <v>614</v>
      </c>
      <c r="L19" s="30" t="s">
        <v>697</v>
      </c>
      <c r="Q19" s="30" t="s">
        <v>614</v>
      </c>
      <c r="R19" s="30" t="s">
        <v>697</v>
      </c>
      <c r="V19" s="30" t="s">
        <v>700</v>
      </c>
    </row>
    <row r="20" spans="1:22" ht="20.100000000000001" customHeight="1" x14ac:dyDescent="0.25">
      <c r="A20" s="5" t="str">
        <f>HYPERLINK("#'Input - Farm Inputs'!A1", "Farm Inputs")</f>
        <v>Farm Inputs</v>
      </c>
      <c r="D20" s="197" t="str" cm="1">
        <f t="array" ref="D20">Common_InputFunctions.Utility_DisplayArrayInTable(Fertiliser_SourceData.Fertiliser_ChemicalCompoundElements_Data(),Table_Fertiliser_ChemicalCompounds[[#Headers],[Fertiliser type f]], 0)</f>
        <v>Monoammonium phosphate (MAP)</v>
      </c>
      <c r="E20" s="197" cm="1">
        <f t="array" ref="E20">Common_InputFunctions.Utility_DisplayArrayInTable(Fertiliser_SourceData.Fertiliser_ChemicalCompoundElements_Data(),Table_Fertiliser_ChemicalCompounds[[#Headers],[Fertiliser type f]], 0)</f>
        <v>0.1</v>
      </c>
      <c r="F20" s="197" cm="1">
        <f t="array" ref="F20">Common_InputFunctions.Utility_DisplayArrayInTable(Fertiliser_SourceData.Fertiliser_ChemicalCompoundElements_Data(),Table_Fertiliser_ChemicalCompounds[[#Headers],[Fertiliser type f]], 0)</f>
        <v>0</v>
      </c>
      <c r="G20" s="197" t="str" cm="1">
        <f t="array" ref="G20">Common_InputFunctions.Utility_DisplayArrayInTable(Fertiliser_SourceData.Fertiliser_ChemicalCompoundElements_Data(),Table_Fertiliser_ChemicalCompounds[[#Headers],[Fertiliser type f]], 0)</f>
        <v>Ammonium-based fertilisers</v>
      </c>
      <c r="H20" s="197" t="str" cm="1">
        <f t="array" ref="H20">Common_InputFunctions.Utility_DisplayArrayInTable(Fertiliser_SourceData.Fertiliser_ChemicalCompoundElements_Data(),Table_Fertiliser_ChemicalCompounds[[#Headers],[Fertiliser type f]], 0)</f>
        <v>Monoammonium phosphate (MAP)</v>
      </c>
      <c r="I20" s="19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7" t="str" cm="1">
        <f t="array" ref="D21">Common_InputFunctions.Utility_DisplayArrayInTable(Fertiliser_SourceData.Fertiliser_ChemicalCompoundElements_Data(),Table_Fertiliser_ChemicalCompounds[[#Headers],[Fertiliser type f]], 0)</f>
        <v>Diammonium phosphate (DAP)</v>
      </c>
      <c r="E21" s="197" cm="1">
        <f t="array" ref="E21">Common_InputFunctions.Utility_DisplayArrayInTable(Fertiliser_SourceData.Fertiliser_ChemicalCompoundElements_Data(),Table_Fertiliser_ChemicalCompounds[[#Headers],[Fertiliser type f]], 0)</f>
        <v>0.18</v>
      </c>
      <c r="F21" s="197" cm="1">
        <f t="array" ref="F21">Common_InputFunctions.Utility_DisplayArrayInTable(Fertiliser_SourceData.Fertiliser_ChemicalCompoundElements_Data(),Table_Fertiliser_ChemicalCompounds[[#Headers],[Fertiliser type f]], 0)</f>
        <v>0</v>
      </c>
      <c r="G21" s="197" t="str" cm="1">
        <f t="array" ref="G21">Common_InputFunctions.Utility_DisplayArrayInTable(Fertiliser_SourceData.Fertiliser_ChemicalCompoundElements_Data(),Table_Fertiliser_ChemicalCompounds[[#Headers],[Fertiliser type f]], 0)</f>
        <v>Ammonium-based fertilisers</v>
      </c>
      <c r="H21" s="197" t="str" cm="1">
        <f t="array" ref="H21">Common_InputFunctions.Utility_DisplayArrayInTable(Fertiliser_SourceData.Fertiliser_ChemicalCompoundElements_Data(),Table_Fertiliser_ChemicalCompounds[[#Headers],[Fertiliser type f]], 0)</f>
        <v>Diammonium phosphate (DAP)</v>
      </c>
      <c r="I21" s="19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7" t="str" cm="1">
        <f t="array" ref="D22">Common_InputFunctions.Utility_DisplayArrayInTable(Fertiliser_SourceData.Fertiliser_ChemicalCompoundElements_Data(),Table_Fertiliser_ChemicalCompounds[[#Headers],[Fertiliser type f]], 0)</f>
        <v>Urea</v>
      </c>
      <c r="E22" s="197" cm="1">
        <f t="array" ref="E22">Common_InputFunctions.Utility_DisplayArrayInTable(Fertiliser_SourceData.Fertiliser_ChemicalCompoundElements_Data(),Table_Fertiliser_ChemicalCompounds[[#Headers],[Fertiliser type f]], 0)</f>
        <v>0.46</v>
      </c>
      <c r="F22" s="197" cm="1">
        <f t="array" ref="F22">Common_InputFunctions.Utility_DisplayArrayInTable(Fertiliser_SourceData.Fertiliser_ChemicalCompoundElements_Data(),Table_Fertiliser_ChemicalCompounds[[#Headers],[Fertiliser type f]], 0)</f>
        <v>1</v>
      </c>
      <c r="G22" s="197" t="str" cm="1">
        <f t="array" ref="G22">Common_InputFunctions.Utility_DisplayArrayInTable(Fertiliser_SourceData.Fertiliser_ChemicalCompoundElements_Data(),Table_Fertiliser_ChemicalCompounds[[#Headers],[Fertiliser type f]], 0)</f>
        <v>Urea-based fertilisers</v>
      </c>
      <c r="H22" s="197" t="str" cm="1">
        <f t="array" ref="H22">Common_InputFunctions.Utility_DisplayArrayInTable(Fertiliser_SourceData.Fertiliser_ChemicalCompoundElements_Data(),Table_Fertiliser_ChemicalCompounds[[#Headers],[Fertiliser type f]], 0)</f>
        <v>Urea</v>
      </c>
      <c r="I22" s="19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7" t="str" cm="1">
        <f t="array" ref="D23">Common_InputFunctions.Utility_DisplayArrayInTable(Fertiliser_SourceData.Fertiliser_ChemicalCompoundElements_Data(),Table_Fertiliser_ChemicalCompounds[[#Headers],[Fertiliser type f]], 0)</f>
        <v>Sulphate of ammonia (SOA)</v>
      </c>
      <c r="E23" s="197" cm="1">
        <f t="array" ref="E23">Common_InputFunctions.Utility_DisplayArrayInTable(Fertiliser_SourceData.Fertiliser_ChemicalCompoundElements_Data(),Table_Fertiliser_ChemicalCompounds[[#Headers],[Fertiliser type f]], 0)</f>
        <v>0.21</v>
      </c>
      <c r="F23" s="197" cm="1">
        <f t="array" ref="F23">Common_InputFunctions.Utility_DisplayArrayInTable(Fertiliser_SourceData.Fertiliser_ChemicalCompoundElements_Data(),Table_Fertiliser_ChemicalCompounds[[#Headers],[Fertiliser type f]], 0)</f>
        <v>0</v>
      </c>
      <c r="G23" s="197" t="str" cm="1">
        <f t="array" ref="G23">Common_InputFunctions.Utility_DisplayArrayInTable(Fertiliser_SourceData.Fertiliser_ChemicalCompoundElements_Data(),Table_Fertiliser_ChemicalCompounds[[#Headers],[Fertiliser type f]], 0)</f>
        <v>Ammonium-based fertilisers</v>
      </c>
      <c r="H23" s="197" t="str" cm="1">
        <f t="array" ref="H23">Common_InputFunctions.Utility_DisplayArrayInTable(Fertiliser_SourceData.Fertiliser_ChemicalCompoundElements_Data(),Table_Fertiliser_ChemicalCompounds[[#Headers],[Fertiliser type f]], 0)</f>
        <v>Sulphate of ammonia (SOA)</v>
      </c>
      <c r="I23" s="19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7" t="str" cm="1">
        <f t="array" ref="D24">Common_InputFunctions.Utility_DisplayArrayInTable(Fertiliser_SourceData.Fertiliser_ChemicalCompoundElements_Data(),Table_Fertiliser_ChemicalCompounds[[#Headers],[Fertiliser type f]], 0)</f>
        <v>Urea-ammonium nitrate (UAN)</v>
      </c>
      <c r="E24" s="197" cm="1">
        <f t="array" ref="E24">Common_InputFunctions.Utility_DisplayArrayInTable(Fertiliser_SourceData.Fertiliser_ChemicalCompoundElements_Data(),Table_Fertiliser_ChemicalCompounds[[#Headers],[Fertiliser type f]], 0)</f>
        <v>0.32</v>
      </c>
      <c r="F24" s="197" cm="1">
        <f t="array" ref="F24">Common_InputFunctions.Utility_DisplayArrayInTable(Fertiliser_SourceData.Fertiliser_ChemicalCompoundElements_Data(),Table_Fertiliser_ChemicalCompounds[[#Headers],[Fertiliser type f]], 0)</f>
        <v>0.35</v>
      </c>
      <c r="G24" s="197" t="str" cm="1">
        <f t="array" ref="G24">Common_InputFunctions.Utility_DisplayArrayInTable(Fertiliser_SourceData.Fertiliser_ChemicalCompoundElements_Data(),Table_Fertiliser_ChemicalCompounds[[#Headers],[Fertiliser type f]], 0)</f>
        <v>Urea-based fertilisers</v>
      </c>
      <c r="H24" s="197" t="str" cm="1">
        <f t="array" ref="H24">Common_InputFunctions.Utility_DisplayArrayInTable(Fertiliser_SourceData.Fertiliser_ChemicalCompoundElements_Data(),Table_Fertiliser_ChemicalCompounds[[#Headers],[Fertiliser type f]], 0)</f>
        <v>Urea-ammonium nitrate (UAN)</v>
      </c>
      <c r="I24" s="19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97" t="str" cm="1">
        <f t="array" ref="D25">Common_InputFunctions.Utility_DisplayArrayInTable(Fertiliser_SourceData.Fertiliser_ChemicalCompoundElements_Data(),Table_Fertiliser_ChemicalCompounds[[#Headers],[Fertiliser type f]], 0)</f>
        <v>Ammonium nitrate (AN)</v>
      </c>
      <c r="E25" s="197" cm="1">
        <f t="array" ref="E25">Common_InputFunctions.Utility_DisplayArrayInTable(Fertiliser_SourceData.Fertiliser_ChemicalCompoundElements_Data(),Table_Fertiliser_ChemicalCompounds[[#Headers],[Fertiliser type f]], 0)</f>
        <v>0.33700000000000002</v>
      </c>
      <c r="F25" s="197" cm="1">
        <f t="array" ref="F25">Common_InputFunctions.Utility_DisplayArrayInTable(Fertiliser_SourceData.Fertiliser_ChemicalCompoundElements_Data(),Table_Fertiliser_ChemicalCompounds[[#Headers],[Fertiliser type f]], 0)</f>
        <v>0</v>
      </c>
      <c r="G25" s="197" t="str" cm="1">
        <f t="array" ref="G25">Common_InputFunctions.Utility_DisplayArrayInTable(Fertiliser_SourceData.Fertiliser_ChemicalCompoundElements_Data(),Table_Fertiliser_ChemicalCompounds[[#Headers],[Fertiliser type f]], 0)</f>
        <v>Ammonium-nitrate based fertilisers</v>
      </c>
      <c r="H25" s="197" t="str" cm="1">
        <f t="array" ref="H25">Common_InputFunctions.Utility_DisplayArrayInTable(Fertiliser_SourceData.Fertiliser_ChemicalCompoundElements_Data(),Table_Fertiliser_ChemicalCompounds[[#Headers],[Fertiliser type f]], 0)</f>
        <v>Ammonium nitrate (AN)</v>
      </c>
      <c r="I25" s="19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97" t="str" cm="1">
        <f t="array" ref="D26">Common_InputFunctions.Utility_DisplayArrayInTable(Fertiliser_SourceData.Fertiliser_ChemicalCompoundElements_Data(),Table_Fertiliser_ChemicalCompounds[[#Headers],[Fertiliser type f]], 0)</f>
        <v>Calcium ammonium nitrate (CAN)</v>
      </c>
      <c r="E26" s="197" cm="1">
        <f t="array" ref="E26">Common_InputFunctions.Utility_DisplayArrayInTable(Fertiliser_SourceData.Fertiliser_ChemicalCompoundElements_Data(),Table_Fertiliser_ChemicalCompounds[[#Headers],[Fertiliser type f]], 0)</f>
        <v>0.27</v>
      </c>
      <c r="F26" s="197" cm="1">
        <f t="array" ref="F26">Common_InputFunctions.Utility_DisplayArrayInTable(Fertiliser_SourceData.Fertiliser_ChemicalCompoundElements_Data(),Table_Fertiliser_ChemicalCompounds[[#Headers],[Fertiliser type f]], 0)</f>
        <v>0</v>
      </c>
      <c r="G26" s="197" t="str" cm="1">
        <f t="array" ref="G26">Common_InputFunctions.Utility_DisplayArrayInTable(Fertiliser_SourceData.Fertiliser_ChemicalCompoundElements_Data(),Table_Fertiliser_ChemicalCompounds[[#Headers],[Fertiliser type f]], 0)</f>
        <v>Ammonium-nitrate based fertilisers</v>
      </c>
      <c r="H26" s="197" t="str" cm="1">
        <f t="array" ref="H26">Common_InputFunctions.Utility_DisplayArrayInTable(Fertiliser_SourceData.Fertiliser_ChemicalCompoundElements_Data(),Table_Fertiliser_ChemicalCompounds[[#Headers],[Fertiliser type f]], 0)</f>
        <v>Calcium ammonium nitrate (CAN)</v>
      </c>
      <c r="I26" s="19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7" t="str" cm="1">
        <f t="array" ref="D27">Common_InputFunctions.Utility_DisplayArrayInTable(Fertiliser_SourceData.Fertiliser_ChemicalCompoundElements_Data(),Table_Fertiliser_ChemicalCompounds[[#Headers],[Fertiliser type f]], 0)</f>
        <v>Nitrogen - Ammoniacal</v>
      </c>
      <c r="E27" s="197" cm="1">
        <f t="array" ref="E27">Common_InputFunctions.Utility_DisplayArrayInTable(Fertiliser_SourceData.Fertiliser_ChemicalCompoundElements_Data(),Table_Fertiliser_ChemicalCompounds[[#Headers],[Fertiliser type f]], 0)</f>
        <v>1</v>
      </c>
      <c r="F27" s="197" cm="1">
        <f t="array" ref="F27">Common_InputFunctions.Utility_DisplayArrayInTable(Fertiliser_SourceData.Fertiliser_ChemicalCompoundElements_Data(),Table_Fertiliser_ChemicalCompounds[[#Headers],[Fertiliser type f]], 0)</f>
        <v>0</v>
      </c>
      <c r="G27" s="197" t="str" cm="1">
        <f t="array" ref="G27">Common_InputFunctions.Utility_DisplayArrayInTable(Fertiliser_SourceData.Fertiliser_ChemicalCompoundElements_Data(),Table_Fertiliser_ChemicalCompounds[[#Headers],[Fertiliser type f]], 0)</f>
        <v>Ammonium-based fertilisers</v>
      </c>
      <c r="H27" s="197" t="str" cm="1">
        <f t="array" ref="H27">Common_InputFunctions.Utility_DisplayArrayInTable(Fertiliser_SourceData.Fertiliser_ChemicalCompoundElements_Data(),Table_Fertiliser_ChemicalCompounds[[#Headers],[Fertiliser type f]], 0)</f>
        <v>Nitrogen - Ammoniacal</v>
      </c>
      <c r="I27" s="19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7" t="str" cm="1">
        <f t="array" ref="D28">Common_InputFunctions.Utility_DisplayArrayInTable(Fertiliser_SourceData.Fertiliser_ChemicalCompoundElements_Data(),Table_Fertiliser_ChemicalCompounds[[#Headers],[Fertiliser type f]], 0)</f>
        <v>Nitrogen - Nitrate</v>
      </c>
      <c r="E28" s="197" cm="1">
        <f t="array" ref="E28">Common_InputFunctions.Utility_DisplayArrayInTable(Fertiliser_SourceData.Fertiliser_ChemicalCompoundElements_Data(),Table_Fertiliser_ChemicalCompounds[[#Headers],[Fertiliser type f]], 0)</f>
        <v>1</v>
      </c>
      <c r="F28" s="197" cm="1">
        <f t="array" ref="F28">Common_InputFunctions.Utility_DisplayArrayInTable(Fertiliser_SourceData.Fertiliser_ChemicalCompoundElements_Data(),Table_Fertiliser_ChemicalCompounds[[#Headers],[Fertiliser type f]], 0)</f>
        <v>0</v>
      </c>
      <c r="G28" s="197" t="str" cm="1">
        <f t="array" ref="G28">Common_InputFunctions.Utility_DisplayArrayInTable(Fertiliser_SourceData.Fertiliser_ChemicalCompoundElements_Data(),Table_Fertiliser_ChemicalCompounds[[#Headers],[Fertiliser type f]], 0)</f>
        <v>Nitrate-based fertilisers</v>
      </c>
      <c r="H28" s="197" t="str" cm="1">
        <f t="array" ref="H28">Common_InputFunctions.Utility_DisplayArrayInTable(Fertiliser_SourceData.Fertiliser_ChemicalCompoundElements_Data(),Table_Fertiliser_ChemicalCompounds[[#Headers],[Fertiliser type f]], 0)</f>
        <v>Nitrogen from Nitrate</v>
      </c>
      <c r="I28" s="19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7" t="str" cm="1">
        <f t="array" ref="D29">Common_InputFunctions.Utility_DisplayArrayInTable(Fertiliser_SourceData.Fertiliser_ChemicalCompoundElements_Data(),Table_Fertiliser_ChemicalCompounds[[#Headers],[Fertiliser type f]], 0)</f>
        <v>Nitrogen - Generic</v>
      </c>
      <c r="E29" s="197" cm="1">
        <f t="array" ref="E29">Common_InputFunctions.Utility_DisplayArrayInTable(Fertiliser_SourceData.Fertiliser_ChemicalCompoundElements_Data(),Table_Fertiliser_ChemicalCompounds[[#Headers],[Fertiliser type f]], 0)</f>
        <v>1</v>
      </c>
      <c r="F29" s="197" cm="1">
        <f t="array" ref="F29">Common_InputFunctions.Utility_DisplayArrayInTable(Fertiliser_SourceData.Fertiliser_ChemicalCompoundElements_Data(),Table_Fertiliser_ChemicalCompounds[[#Headers],[Fertiliser type f]], 0)</f>
        <v>0</v>
      </c>
      <c r="G29" s="197" t="str" cm="1">
        <f t="array" ref="G29">Common_InputFunctions.Utility_DisplayArrayInTable(Fertiliser_SourceData.Fertiliser_ChemicalCompoundElements_Data(),Table_Fertiliser_ChemicalCompounds[[#Headers],[Fertiliser type f]], 0)</f>
        <v>Urea-based fertilisers</v>
      </c>
      <c r="H29" s="197" t="str" cm="1">
        <f t="array" ref="H29">Common_InputFunctions.Utility_DisplayArrayInTable(Fertiliser_SourceData.Fertiliser_ChemicalCompoundElements_Data(),Table_Fertiliser_ChemicalCompounds[[#Headers],[Fertiliser type f]], 0)</f>
        <v>Nitrogen from fertiliser</v>
      </c>
      <c r="I29" s="19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7" t="str" cm="1">
        <f t="array" ref="D30">Common_InputFunctions.Utility_DisplayArrayInTable(Fertiliser_SourceData.Fertiliser_ChemicalCompoundElements_Data(),Table_Fertiliser_ChemicalCompounds[[#Headers],[Fertiliser type f]], 0)</f>
        <v>Phosphorus - Generic</v>
      </c>
      <c r="E30" s="197" cm="1">
        <f t="array" ref="E30">Common_InputFunctions.Utility_DisplayArrayInTable(Fertiliser_SourceData.Fertiliser_ChemicalCompoundElements_Data(),Table_Fertiliser_ChemicalCompounds[[#Headers],[Fertiliser type f]], 0)</f>
        <v>0</v>
      </c>
      <c r="F30" s="197" cm="1">
        <f t="array" ref="F30">Common_InputFunctions.Utility_DisplayArrayInTable(Fertiliser_SourceData.Fertiliser_ChemicalCompoundElements_Data(),Table_Fertiliser_ChemicalCompounds[[#Headers],[Fertiliser type f]], 0)</f>
        <v>0</v>
      </c>
      <c r="G30" s="197" t="str" cm="1">
        <f t="array" ref="G30">Common_InputFunctions.Utility_DisplayArrayInTable(Fertiliser_SourceData.Fertiliser_ChemicalCompoundElements_Data(),Table_Fertiliser_ChemicalCompounds[[#Headers],[Fertiliser type f]], 0)</f>
        <v>Other fertilisers</v>
      </c>
      <c r="H30" s="197" t="str" cm="1">
        <f t="array" ref="H30">Common_InputFunctions.Utility_DisplayArrayInTable(Fertiliser_SourceData.Fertiliser_ChemicalCompoundElements_Data(),Table_Fertiliser_ChemicalCompounds[[#Headers],[Fertiliser type f]], 0)</f>
        <v>Phosphorus from fertiliser</v>
      </c>
      <c r="I30" s="19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7" t="str" cm="1">
        <f t="array" ref="D31">Common_InputFunctions.Utility_DisplayArrayInTable(Fertiliser_SourceData.Fertiliser_ChemicalCompoundElements_Data(),Table_Fertiliser_ChemicalCompounds[[#Headers],[Fertiliser type f]], 0)</f>
        <v>Potassium - Generic</v>
      </c>
      <c r="E31" s="197" cm="1">
        <f t="array" ref="E31">Common_InputFunctions.Utility_DisplayArrayInTable(Fertiliser_SourceData.Fertiliser_ChemicalCompoundElements_Data(),Table_Fertiliser_ChemicalCompounds[[#Headers],[Fertiliser type f]], 0)</f>
        <v>0</v>
      </c>
      <c r="F31" s="197" cm="1">
        <f t="array" ref="F31">Common_InputFunctions.Utility_DisplayArrayInTable(Fertiliser_SourceData.Fertiliser_ChemicalCompoundElements_Data(),Table_Fertiliser_ChemicalCompounds[[#Headers],[Fertiliser type f]], 0)</f>
        <v>0</v>
      </c>
      <c r="G31" s="197" t="str" cm="1">
        <f t="array" ref="G31">Common_InputFunctions.Utility_DisplayArrayInTable(Fertiliser_SourceData.Fertiliser_ChemicalCompoundElements_Data(),Table_Fertiliser_ChemicalCompounds[[#Headers],[Fertiliser type f]], 0)</f>
        <v>Other fertilisers</v>
      </c>
      <c r="H31" s="197" t="str" cm="1">
        <f t="array" ref="H31">Common_InputFunctions.Utility_DisplayArrayInTable(Fertiliser_SourceData.Fertiliser_ChemicalCompoundElements_Data(),Table_Fertiliser_ChemicalCompounds[[#Headers],[Fertiliser type f]], 0)</f>
        <v>Potassium from fertiliser</v>
      </c>
      <c r="I31" s="19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7" t="str" cm="1">
        <f t="array" ref="D32">Common_InputFunctions.Utility_DisplayArrayInTable(Fertiliser_SourceData.Fertiliser_ChemicalCompoundElements_Data(),Table_Fertiliser_ChemicalCompounds[[#Headers],[Fertiliser type f]], 0)</f>
        <v>Sulfur - Generic</v>
      </c>
      <c r="E32" s="197" cm="1">
        <f t="array" ref="E32">Common_InputFunctions.Utility_DisplayArrayInTable(Fertiliser_SourceData.Fertiliser_ChemicalCompoundElements_Data(),Table_Fertiliser_ChemicalCompounds[[#Headers],[Fertiliser type f]], 0)</f>
        <v>0</v>
      </c>
      <c r="F32" s="197" cm="1">
        <f t="array" ref="F32">Common_InputFunctions.Utility_DisplayArrayInTable(Fertiliser_SourceData.Fertiliser_ChemicalCompoundElements_Data(),Table_Fertiliser_ChemicalCompounds[[#Headers],[Fertiliser type f]], 0)</f>
        <v>0</v>
      </c>
      <c r="G32" s="197" t="str" cm="1">
        <f t="array" ref="G32">Common_InputFunctions.Utility_DisplayArrayInTable(Fertiliser_SourceData.Fertiliser_ChemicalCompoundElements_Data(),Table_Fertiliser_ChemicalCompounds[[#Headers],[Fertiliser type f]], 0)</f>
        <v>Other fertilisers</v>
      </c>
      <c r="H32" s="197" t="str" cm="1">
        <f t="array" ref="H32">Common_InputFunctions.Utility_DisplayArrayInTable(Fertiliser_SourceData.Fertiliser_ChemicalCompoundElements_Data(),Table_Fertiliser_ChemicalCompounds[[#Headers],[Fertiliser type f]], 0)</f>
        <v>Sulfur from fertiliser</v>
      </c>
      <c r="I32" s="19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7" t="str" cm="1">
        <f t="array" ref="D33">Common_InputFunctions.Utility_DisplayArrayInTable(Fertiliser_SourceData.Fertiliser_ChemicalCompoundElements_Data(),Table_Fertiliser_ChemicalCompounds[[#Headers],[Fertiliser type f]], 0)</f>
        <v>Zinc - Generic</v>
      </c>
      <c r="E33" s="197" cm="1">
        <f t="array" ref="E33">Common_InputFunctions.Utility_DisplayArrayInTable(Fertiliser_SourceData.Fertiliser_ChemicalCompoundElements_Data(),Table_Fertiliser_ChemicalCompounds[[#Headers],[Fertiliser type f]], 0)</f>
        <v>0</v>
      </c>
      <c r="F33" s="197" cm="1">
        <f t="array" ref="F33">Common_InputFunctions.Utility_DisplayArrayInTable(Fertiliser_SourceData.Fertiliser_ChemicalCompoundElements_Data(),Table_Fertiliser_ChemicalCompounds[[#Headers],[Fertiliser type f]], 0)</f>
        <v>0</v>
      </c>
      <c r="G33" s="197" t="str" cm="1">
        <f t="array" ref="G33">Common_InputFunctions.Utility_DisplayArrayInTable(Fertiliser_SourceData.Fertiliser_ChemicalCompoundElements_Data(),Table_Fertiliser_ChemicalCompounds[[#Headers],[Fertiliser type f]], 0)</f>
        <v>Other fertilisers</v>
      </c>
      <c r="H33" s="197" t="str" cm="1">
        <f t="array" ref="H33">Common_InputFunctions.Utility_DisplayArrayInTable(Fertiliser_SourceData.Fertiliser_ChemicalCompoundElements_Data(),Table_Fertiliser_ChemicalCompounds[[#Headers],[Fertiliser type f]], 0)</f>
        <v>Zinc from fertiliser</v>
      </c>
      <c r="I33" s="19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7" t="str" cm="1">
        <f t="array" ref="D34">Common_InputFunctions.Utility_DisplayArrayInTable(Fertiliser_SourceData.Fertiliser_ChemicalCompoundElements_Data(),Table_Fertiliser_ChemicalCompounds[[#Headers],[Fertiliser type f]], 0)</f>
        <v>Muriate of potash (MOP)</v>
      </c>
      <c r="E34" s="197" cm="1">
        <f t="array" ref="E34">Common_InputFunctions.Utility_DisplayArrayInTable(Fertiliser_SourceData.Fertiliser_ChemicalCompoundElements_Data(),Table_Fertiliser_ChemicalCompounds[[#Headers],[Fertiliser type f]], 0)</f>
        <v>0</v>
      </c>
      <c r="F34" s="197" cm="1">
        <f t="array" ref="F34">Common_InputFunctions.Utility_DisplayArrayInTable(Fertiliser_SourceData.Fertiliser_ChemicalCompoundElements_Data(),Table_Fertiliser_ChemicalCompounds[[#Headers],[Fertiliser type f]], 0)</f>
        <v>0</v>
      </c>
      <c r="G34" s="197" t="str" cm="1">
        <f t="array" ref="G34">Common_InputFunctions.Utility_DisplayArrayInTable(Fertiliser_SourceData.Fertiliser_ChemicalCompoundElements_Data(),Table_Fertiliser_ChemicalCompounds[[#Headers],[Fertiliser type f]], 0)</f>
        <v>Other fertilisers</v>
      </c>
      <c r="H34" s="197" t="str" cm="1">
        <f t="array" ref="H34">Common_InputFunctions.Utility_DisplayArrayInTable(Fertiliser_SourceData.Fertiliser_ChemicalCompoundElements_Data(),Table_Fertiliser_ChemicalCompounds[[#Headers],[Fertiliser type f]], 0)</f>
        <v>Muriate of potash (MOP)</v>
      </c>
      <c r="I34" s="19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7" t="str" cm="1">
        <f t="array" ref="D35">Common_InputFunctions.Utility_DisplayArrayInTable(Fertiliser_SourceData.Fertiliser_ChemicalCompoundElements_Data(),Table_Fertiliser_ChemicalCompounds[[#Headers],[Fertiliser type f]], 0)</f>
        <v>Double superphosphate</v>
      </c>
      <c r="E35" s="197" cm="1">
        <f t="array" ref="E35">Common_InputFunctions.Utility_DisplayArrayInTable(Fertiliser_SourceData.Fertiliser_ChemicalCompoundElements_Data(),Table_Fertiliser_ChemicalCompounds[[#Headers],[Fertiliser type f]], 0)</f>
        <v>0</v>
      </c>
      <c r="F35" s="197" cm="1">
        <f t="array" ref="F35">Common_InputFunctions.Utility_DisplayArrayInTable(Fertiliser_SourceData.Fertiliser_ChemicalCompoundElements_Data(),Table_Fertiliser_ChemicalCompounds[[#Headers],[Fertiliser type f]], 0)</f>
        <v>0</v>
      </c>
      <c r="G35" s="197" t="str" cm="1">
        <f t="array" ref="G35">Common_InputFunctions.Utility_DisplayArrayInTable(Fertiliser_SourceData.Fertiliser_ChemicalCompoundElements_Data(),Table_Fertiliser_ChemicalCompounds[[#Headers],[Fertiliser type f]], 0)</f>
        <v>Other fertilisers</v>
      </c>
      <c r="H35" s="197" t="str" cm="1">
        <f t="array" ref="H35">Common_InputFunctions.Utility_DisplayArrayInTable(Fertiliser_SourceData.Fertiliser_ChemicalCompoundElements_Data(),Table_Fertiliser_ChemicalCompounds[[#Headers],[Fertiliser type f]], 0)</f>
        <v>Double superphosphate</v>
      </c>
      <c r="I35" s="19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7" t="str" cm="1">
        <f t="array" ref="D36">Common_InputFunctions.Utility_DisplayArrayInTable(Fertiliser_SourceData.Fertiliser_ChemicalCompoundElements_Data(),Table_Fertiliser_ChemicalCompounds[[#Headers],[Fertiliser type f]], 0)</f>
        <v>Single superphosphate (SSP)</v>
      </c>
      <c r="E36" s="197" cm="1">
        <f t="array" ref="E36">Common_InputFunctions.Utility_DisplayArrayInTable(Fertiliser_SourceData.Fertiliser_ChemicalCompoundElements_Data(),Table_Fertiliser_ChemicalCompounds[[#Headers],[Fertiliser type f]], 0)</f>
        <v>0</v>
      </c>
      <c r="F36" s="197" cm="1">
        <f t="array" ref="F36">Common_InputFunctions.Utility_DisplayArrayInTable(Fertiliser_SourceData.Fertiliser_ChemicalCompoundElements_Data(),Table_Fertiliser_ChemicalCompounds[[#Headers],[Fertiliser type f]], 0)</f>
        <v>0</v>
      </c>
      <c r="G36" s="197" t="str" cm="1">
        <f t="array" ref="G36">Common_InputFunctions.Utility_DisplayArrayInTable(Fertiliser_SourceData.Fertiliser_ChemicalCompoundElements_Data(),Table_Fertiliser_ChemicalCompounds[[#Headers],[Fertiliser type f]], 0)</f>
        <v>Other fertilisers</v>
      </c>
      <c r="H36" s="197" t="str" cm="1">
        <f t="array" ref="H36">Common_InputFunctions.Utility_DisplayArrayInTable(Fertiliser_SourceData.Fertiliser_ChemicalCompoundElements_Data(),Table_Fertiliser_ChemicalCompounds[[#Headers],[Fertiliser type f]], 0)</f>
        <v>Single superphosphate (SSP)</v>
      </c>
      <c r="I36" s="19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7" t="str" cm="1">
        <f t="array" ref="D37">Common_InputFunctions.Utility_DisplayArrayInTable(Fertiliser_SourceData.Fertiliser_ChemicalCompoundElements_Data(),Table_Fertiliser_ChemicalCompounds[[#Headers],[Fertiliser type f]], 0)</f>
        <v>Ammonia</v>
      </c>
      <c r="E37" s="197" cm="1">
        <f t="array" ref="E37">Common_InputFunctions.Utility_DisplayArrayInTable(Fertiliser_SourceData.Fertiliser_ChemicalCompoundElements_Data(),Table_Fertiliser_ChemicalCompounds[[#Headers],[Fertiliser type f]], 0)</f>
        <v>0.82350000000000001</v>
      </c>
      <c r="F37" s="197" cm="1">
        <f t="array" ref="F37">Common_InputFunctions.Utility_DisplayArrayInTable(Fertiliser_SourceData.Fertiliser_ChemicalCompoundElements_Data(),Table_Fertiliser_ChemicalCompounds[[#Headers],[Fertiliser type f]], 0)</f>
        <v>0</v>
      </c>
      <c r="G37" s="197" t="str" cm="1">
        <f t="array" ref="G37">Common_InputFunctions.Utility_DisplayArrayInTable(Fertiliser_SourceData.Fertiliser_ChemicalCompoundElements_Data(),Table_Fertiliser_ChemicalCompounds[[#Headers],[Fertiliser type f]], 0)</f>
        <v>Ammonium-based fertilisers</v>
      </c>
      <c r="H37" s="197" t="str" cm="1">
        <f t="array" ref="H37">Common_InputFunctions.Utility_DisplayArrayInTable(Fertiliser_SourceData.Fertiliser_ChemicalCompoundElements_Data(),Table_Fertiliser_ChemicalCompounds[[#Headers],[Fertiliser type f]], 0)</f>
        <v>Ammonia</v>
      </c>
      <c r="I37" s="19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HYPERLINK("#'4.3.1.1-2 Methane'!A1", "4.3.1.1-2 Methane")</f>
        <v>4.3.1.1-2 Methane</v>
      </c>
      <c r="D40" s="2" t="s">
        <v>236</v>
      </c>
      <c r="F40" s="2" t="s">
        <v>701</v>
      </c>
      <c r="H40" s="2" t="s">
        <v>492</v>
      </c>
      <c r="J40" s="2" t="s">
        <v>702</v>
      </c>
    </row>
    <row r="41" spans="1:10" ht="20.100000000000001" customHeight="1" x14ac:dyDescent="0.25">
      <c r="A41" s="5" t="str">
        <f>HYPERLINK("#'4.3.1.3-4 Direct N20'!A1", "4.3.1.3-4 Direct N20")</f>
        <v>4.3.1.3-4 Direct N20</v>
      </c>
      <c r="D41" s="30" t="s">
        <v>182</v>
      </c>
      <c r="F41" s="30" t="s">
        <v>182</v>
      </c>
      <c r="H41" s="30" t="s">
        <v>69</v>
      </c>
      <c r="J41" s="30" t="s">
        <v>703</v>
      </c>
    </row>
    <row r="42" spans="1:10" ht="20.100000000000001" customHeight="1" x14ac:dyDescent="0.25">
      <c r="A42" s="5" t="str">
        <f>HYPERLINK("#'4.3.1.5 Atmos deposition'!A1", "4.3.1.5 Atmos deposition")</f>
        <v>4.3.1.5 Atmos deposition</v>
      </c>
      <c r="D42" s="30" t="s">
        <v>185</v>
      </c>
      <c r="F42" s="30" t="s">
        <v>185</v>
      </c>
      <c r="H42" s="30" t="s">
        <v>497</v>
      </c>
      <c r="J42" s="30" t="s">
        <v>704</v>
      </c>
    </row>
    <row r="43" spans="1:10" ht="20.100000000000001" customHeight="1" x14ac:dyDescent="0.25">
      <c r="A43" s="5" t="str">
        <f>HYPERLINK("#'4.3.1.6-7 Leaching and runoff'!A1", "4.3.1.6-7 Leaching and runoff")</f>
        <v>4.3.1.6-7 Leaching and runoff</v>
      </c>
      <c r="D43" s="1" t="s">
        <v>705</v>
      </c>
      <c r="F43" s="1" t="s">
        <v>706</v>
      </c>
      <c r="H43" s="30" t="s">
        <v>498</v>
      </c>
      <c r="J43" s="1" t="s">
        <v>608</v>
      </c>
    </row>
    <row r="44" spans="1:10" ht="20.100000000000001" customHeight="1" x14ac:dyDescent="0.25">
      <c r="A44" s="5" t="str">
        <f>HYPERLINK("#'4.3.1.8 Manure applied to soils'!A1", "4.3.1.8 Manure applied to soils")</f>
        <v>4.3.1.8 Manure applied to soils</v>
      </c>
      <c r="F44" s="1" t="s">
        <v>707</v>
      </c>
      <c r="H44" s="1" t="s">
        <v>255</v>
      </c>
      <c r="J44" s="1" t="s">
        <v>708</v>
      </c>
    </row>
    <row r="45" spans="1:10" ht="20.100000000000001" customHeight="1" x14ac:dyDescent="0.25">
      <c r="A45" s="5" t="str">
        <f>HYPERLINK("#'4.3.1.9 Soil direct N2O'!A1", "4.3.1.9 Soil direct N2O")</f>
        <v>4.3.1.9 Soil direct N2O</v>
      </c>
      <c r="F45" s="1" t="s">
        <v>709</v>
      </c>
      <c r="H45" s="1" t="s">
        <v>499</v>
      </c>
      <c r="J45" s="1" t="s">
        <v>607</v>
      </c>
    </row>
    <row r="46" spans="1:10" ht="20.100000000000001" customHeight="1" x14ac:dyDescent="0.25">
      <c r="A46" s="5" t="str">
        <f>HYPERLINK("#'4.3.1.10-11 Soil Atmos Dep'!A1", "4.3.1.10-11 Soil Atmos Dep")</f>
        <v>4.3.1.10-11 Soil Atmos Dep</v>
      </c>
      <c r="H46" s="1" t="s">
        <v>500</v>
      </c>
      <c r="J46" s="1" t="s">
        <v>609</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c r="D48" s="2" t="str" cm="1">
        <f t="array" ref="D48">Fertiliser_SourceData.Fertiliser_FracGASF_Title()</f>
        <v>Fraction of inorganic fertiliser that volatilises as NH3 and NOx</v>
      </c>
      <c r="G48" s="189"/>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89"/>
    </row>
    <row r="50" spans="1:8" ht="20.100000000000001" customHeight="1" x14ac:dyDescent="0.25">
      <c r="D50" s="30" t="s">
        <v>614</v>
      </c>
      <c r="E50" s="30" t="s">
        <v>710</v>
      </c>
      <c r="G50" s="18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89"/>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89"/>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89"/>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89"/>
      <c r="H54" s="189"/>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89"/>
      <c r="H55" s="189"/>
    </row>
    <row r="56" spans="1:8" ht="20.100000000000001" customHeight="1" x14ac:dyDescent="0.25">
      <c r="A56" s="5" t="str">
        <f>HYPERLINK("#'Constants - Electricity'!A1", "Constants - Electricity")</f>
        <v>Constants - Electricity</v>
      </c>
    </row>
    <row r="57" spans="1:8" ht="20.100000000000001" customHeight="1" x14ac:dyDescent="0.25">
      <c r="A57" s="146"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661</v>
      </c>
      <c r="E65" s="30" t="s">
        <v>711</v>
      </c>
      <c r="F65" s="30" t="s">
        <v>712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713</v>
      </c>
    </row>
    <row r="87" spans="4:31" ht="20.100000000000001" customHeight="1" x14ac:dyDescent="0.25">
      <c r="D87" s="2" t="s">
        <v>714</v>
      </c>
      <c r="E87" s="189"/>
      <c r="F87" s="189"/>
      <c r="G87" s="189"/>
      <c r="H87" s="189"/>
      <c r="I87" s="189"/>
      <c r="J87" s="189"/>
      <c r="K87" s="189"/>
      <c r="L87" s="189"/>
      <c r="N87" s="189" t="s">
        <v>713</v>
      </c>
      <c r="O87" s="189"/>
      <c r="P87" s="189"/>
      <c r="Q87" s="189"/>
      <c r="R87" s="189"/>
      <c r="S87" s="189"/>
      <c r="T87" s="189"/>
      <c r="U87" s="189"/>
    </row>
    <row r="88" spans="4:31" ht="20.100000000000001" customHeight="1" x14ac:dyDescent="0.25">
      <c r="D88" s="189"/>
    </row>
    <row r="89" spans="4:31" ht="20.100000000000001" customHeight="1" x14ac:dyDescent="0.25">
      <c r="D89" s="198" t="s">
        <v>715</v>
      </c>
      <c r="E89" s="30" t="s">
        <v>716</v>
      </c>
      <c r="F89" s="30" t="s">
        <v>717</v>
      </c>
      <c r="G89" s="154" t="s">
        <v>718</v>
      </c>
      <c r="H89" s="154" t="s">
        <v>127</v>
      </c>
      <c r="I89" s="154" t="s">
        <v>719</v>
      </c>
      <c r="J89" s="154" t="s">
        <v>568</v>
      </c>
      <c r="K89" s="154" t="s">
        <v>569</v>
      </c>
      <c r="L89" s="154" t="s">
        <v>555</v>
      </c>
      <c r="M89" s="154" t="s">
        <v>556</v>
      </c>
      <c r="N89" s="154" t="s">
        <v>557</v>
      </c>
      <c r="O89" s="30" t="s">
        <v>558</v>
      </c>
      <c r="P89" s="30" t="s">
        <v>559</v>
      </c>
      <c r="Q89" s="30" t="s">
        <v>560</v>
      </c>
      <c r="R89" s="154" t="s">
        <v>561</v>
      </c>
      <c r="S89" s="154" t="s">
        <v>562</v>
      </c>
      <c r="T89" s="30" t="s">
        <v>563</v>
      </c>
      <c r="U89" s="154" t="s">
        <v>564</v>
      </c>
      <c r="V89" s="154" t="s">
        <v>565</v>
      </c>
      <c r="W89" s="154" t="s">
        <v>566</v>
      </c>
      <c r="X89" s="154" t="s">
        <v>720</v>
      </c>
      <c r="Y89" s="154" t="s">
        <v>721</v>
      </c>
      <c r="Z89" s="30" t="s">
        <v>722</v>
      </c>
      <c r="AA89" s="30" t="s">
        <v>723</v>
      </c>
      <c r="AB89" s="30" t="s">
        <v>724</v>
      </c>
      <c r="AC89" s="30" t="s">
        <v>725</v>
      </c>
      <c r="AD89" s="30" t="s">
        <v>726</v>
      </c>
      <c r="AE89" s="30" t="s">
        <v>727</v>
      </c>
    </row>
    <row r="90" spans="4:31" ht="20.100000000000001" customHeight="1" x14ac:dyDescent="0.25">
      <c r="D90" s="197" t="str" cm="1">
        <f t="array" ref="D90">Common_InputFunctions.Utility_DisplayArrayInTable(Fertiliser_SourceData.Fertiliser_Products_Data1(),FertiliserProducts[[#Headers],[Include or Exclude]], -1)</f>
        <v>Include</v>
      </c>
      <c r="E90" s="197" t="str" cm="1">
        <f t="array" ref="E90">Common_InputFunctions.Utility_DisplayArrayInTable(Fertiliser_SourceData.Fertiliser_Products_Data1(),FertiliserProducts[[#Headers],[Include or Exclude]], 0)</f>
        <v/>
      </c>
      <c r="F90" s="197" t="str" cm="1">
        <f t="array" ref="F90">Common_InputFunctions.Utility_DisplayArrayInTable(Fertiliser_SourceData.Fertiliser_Products_Data1(),FertiliserProducts[[#Headers],[Include or Exclude]], 0)</f>
        <v>Campbells fertilisers Australia</v>
      </c>
      <c r="G90" s="197" t="str" cm="1">
        <f t="array" ref="G90">Common_InputFunctions.Utility_DisplayArrayInTable(Fertiliser_SourceData.Fertiliser_Products_Data1(),FertiliserProducts[[#Headers],[Include or Exclude]], 0)</f>
        <v>Aqua Finish</v>
      </c>
      <c r="H90" s="197" t="str" cm="1">
        <f t="array" ref="H90">Common_InputFunctions.Utility_DisplayArrayInTable(Fertiliser_SourceData.Fertiliser_Products_Data1(),FertiliserProducts[[#Headers],[Include or Exclude]], 0,4)</f>
        <v>L</v>
      </c>
      <c r="I90" s="197" cm="1">
        <f t="array" ref="I90">Common_InputFunctions.Utility_DisplayArrayInTable(Fertiliser_SourceData.Fertiliser_Products_Data1(),FertiliserProducts[[#Headers],[Include or Exclude]], 0,4)</f>
        <v>1.26</v>
      </c>
      <c r="J90" s="197" t="str" cm="1">
        <f t="array" ref="J90">Common_InputFunctions.Utility_DisplayArrayInTable(Fertiliser_SourceData.Fertiliser_Products_Data1(),FertiliserProducts[[#Headers],[Include or Exclude]], 0,4)</f>
        <v/>
      </c>
      <c r="K90" s="197" t="str" cm="1">
        <f t="array" ref="K90">Common_InputFunctions.Utility_DisplayArrayInTable(Fertiliser_SourceData.Fertiliser_Products_Data1(),FertiliserProducts[[#Headers],[Include or Exclude]], 0,4)</f>
        <v/>
      </c>
      <c r="L90" s="197" t="str" cm="1">
        <f t="array" ref="L90">Common_InputFunctions.Utility_DisplayArrayInTable(Fertiliser_SourceData.Fertiliser_Products_Data1(),FertiliserProducts[[#Headers],[Include or Exclude]], 0,4)</f>
        <v>Potassium - Generic</v>
      </c>
      <c r="M90" s="197" cm="1">
        <f t="array" ref="M90">Common_InputFunctions.Utility_DisplayArrayInTable(Fertiliser_SourceData.Fertiliser_Products_Data1(),FertiliserProducts[[#Headers],[Include or Exclude]], 0,4)</f>
        <v>0.22500000000000001</v>
      </c>
      <c r="N90" s="197" t="str" cm="1">
        <f t="array" ref="N90">Common_InputFunctions.Utility_DisplayArrayInTable(Fertiliser_SourceData.Fertiliser_Products_Data1(),FertiliserProducts[[#Headers],[Include or Exclude]], 0,4)</f>
        <v>Phosphorus - Generic</v>
      </c>
      <c r="O90" s="197" cm="1">
        <f t="array" ref="O90">Common_InputFunctions.Utility_DisplayArrayInTable(Fertiliser_SourceData.Fertiliser_Products_Data1(),FertiliserProducts[[#Headers],[Include or Exclude]], 0,4)</f>
        <v>0.04</v>
      </c>
      <c r="P90" s="197" t="str" cm="1">
        <f t="array" ref="P90">Common_InputFunctions.Utility_DisplayArrayInTable(Fertiliser_SourceData.Fertiliser_Products_Data1(),FertiliserProducts[[#Headers],[Include or Exclude]], 0,4)</f>
        <v>Nitrogen - Generic</v>
      </c>
      <c r="Q90" s="197" cm="1">
        <f t="array" ref="Q90">Common_InputFunctions.Utility_DisplayArrayInTable(Fertiliser_SourceData.Fertiliser_Products_Data1(),FertiliserProducts[[#Headers],[Include or Exclude]], 0,4)</f>
        <v>2.5999999999999999E-2</v>
      </c>
      <c r="R90" s="197" t="str" cm="1">
        <f t="array" ref="R90">Common_InputFunctions.Utility_DisplayArrayInTable(Fertiliser_SourceData.Fertiliser_Products_Data1(),FertiliserProducts[[#Headers],[Include or Exclude]], 0,4)</f>
        <v/>
      </c>
      <c r="S90" s="197" t="str" cm="1">
        <f t="array" ref="S90">Common_InputFunctions.Utility_DisplayArrayInTable(Fertiliser_SourceData.Fertiliser_Products_Data1(),FertiliserProducts[[#Headers],[Include or Exclude]], 0,4)</f>
        <v/>
      </c>
      <c r="T90" s="197" t="str" cm="1">
        <f t="array" ref="T90">Common_InputFunctions.Utility_DisplayArrayInTable(Fertiliser_SourceData.Fertiliser_Products_Data1(),FertiliserProducts[[#Headers],[Include or Exclude]], 0,4)</f>
        <v/>
      </c>
      <c r="U90" s="197" t="str" cm="1">
        <f t="array" ref="U90">Common_InputFunctions.Utility_DisplayArrayInTable(Fertiliser_SourceData.Fertiliser_Products_Data1(),FertiliserProducts[[#Headers],[Include or Exclude]], 0,4)</f>
        <v/>
      </c>
      <c r="V90" s="197" t="str" cm="1">
        <f t="array" ref="V90">Common_InputFunctions.Utility_DisplayArrayInTable(Fertiliser_SourceData.Fertiliser_Products_Data1(),FertiliserProducts[[#Headers],[Include or Exclude]], 0,4)</f>
        <v/>
      </c>
      <c r="W90" s="197" t="str" cm="1">
        <f t="array" ref="W90">Common_InputFunctions.Utility_DisplayArrayInTable(Fertiliser_SourceData.Fertiliser_Products_Data1(),FertiliserProducts[[#Headers],[Include or Exclude]], 0,4)</f>
        <v/>
      </c>
      <c r="X90" s="197" t="str" cm="1">
        <f t="array" ref="X90">Common_InputFunctions.Utility_DisplayArrayInTable(Fertiliser_SourceData.Fertiliser_Products_Data1(),FertiliserProducts[[#Headers],[Include or Exclude]], 0,4)</f>
        <v/>
      </c>
      <c r="Y90" s="197" t="str" cm="1">
        <f t="array" ref="Y90">Common_InputFunctions.Utility_DisplayArrayInTable(Fertiliser_SourceData.Fertiliser_Products_Data1(),FertiliserProducts[[#Headers],[Include or Exclude]], 0,4)</f>
        <v/>
      </c>
      <c r="Z90" s="197" t="str" cm="1">
        <f t="array" ref="Z90">Common_InputFunctions.Utility_DisplayArrayInTable(Fertiliser_SourceData.Fertiliser_Products_Data1(),FertiliserProducts[[#Headers],[Include or Exclude]], 0,4)</f>
        <v/>
      </c>
      <c r="AA90" s="197" t="str" cm="1">
        <f t="array" ref="AA90">Common_InputFunctions.Utility_DisplayArrayInTable(Fertiliser_SourceData.Fertiliser_Products_Data1(),FertiliserProducts[[#Headers],[Include or Exclude]], 0,4)</f>
        <v/>
      </c>
      <c r="AB90" s="197" t="str" cm="1">
        <f t="array" ref="AB90">Common_InputFunctions.Utility_DisplayArrayInTable(Fertiliser_SourceData.Fertiliser_Products_Data1(),FertiliserProducts[[#Headers],[Include or Exclude]], 0,4)</f>
        <v/>
      </c>
      <c r="AC90" s="197" t="str" cm="1">
        <f t="array" ref="AC90">Common_InputFunctions.Utility_DisplayArrayInTable(Fertiliser_SourceData.Fertiliser_Products_Data1(),FertiliserProducts[[#Headers],[Include or Exclude]], 0,4)</f>
        <v/>
      </c>
      <c r="AD90" s="197" t="str" cm="1">
        <f t="array" ref="AD90">Common_InputFunctions.Utility_DisplayArrayInTable(Fertiliser_SourceData.Fertiliser_Products_Data1(),FertiliserProducts[[#Headers],[Include or Exclude]], 0,4)</f>
        <v/>
      </c>
      <c r="AE90" s="197" t="str" cm="1">
        <f t="array" ref="AE90">Common_InputFunctions.Utility_DisplayArrayInTable(Fertiliser_SourceData.Fertiliser_Products_Data1(),FertiliserProducts[[#Headers],[Include or Exclude]], 0,4)</f>
        <v/>
      </c>
    </row>
    <row r="91" spans="4:31" ht="20.100000000000001" customHeight="1" x14ac:dyDescent="0.25">
      <c r="D91" s="197" t="str" cm="1">
        <f t="array" ref="D91">Common_InputFunctions.Utility_DisplayArrayInTable(Fertiliser_SourceData.Fertiliser_Products_Data1(),FertiliserProducts[[#Headers],[Include or Exclude]], -1)</f>
        <v>Include</v>
      </c>
      <c r="E91" s="197" t="str" cm="1">
        <f t="array" ref="E91">Common_InputFunctions.Utility_DisplayArrayInTable(Fertiliser_SourceData.Fertiliser_Products_Data1(),FertiliserProducts[[#Headers],[Include or Exclude]], 0)</f>
        <v/>
      </c>
      <c r="F91" s="197" t="str" cm="1">
        <f t="array" ref="F91">Common_InputFunctions.Utility_DisplayArrayInTable(Fertiliser_SourceData.Fertiliser_Products_Data1(),FertiliserProducts[[#Headers],[Include or Exclude]], 0)</f>
        <v>Campbells fertilisers Australia</v>
      </c>
      <c r="G91" s="197" t="str" cm="1">
        <f t="array" ref="G91">Common_InputFunctions.Utility_DisplayArrayInTable(Fertiliser_SourceData.Fertiliser_Products_Data1(),FertiliserProducts[[#Headers],[Include or Exclude]], 0)</f>
        <v>Aqua Grow</v>
      </c>
      <c r="H91" s="197" t="str" cm="1">
        <f t="array" ref="H91">Common_InputFunctions.Utility_DisplayArrayInTable(Fertiliser_SourceData.Fertiliser_Products_Data1(),FertiliserProducts[[#Headers],[Include or Exclude]], 0,4)</f>
        <v>L</v>
      </c>
      <c r="I91" s="197" cm="1">
        <f t="array" ref="I91">Common_InputFunctions.Utility_DisplayArrayInTable(Fertiliser_SourceData.Fertiliser_Products_Data1(),FertiliserProducts[[#Headers],[Include or Exclude]], 0,4)</f>
        <v>1.26</v>
      </c>
      <c r="J91" s="197" t="str" cm="1">
        <f t="array" ref="J91">Common_InputFunctions.Utility_DisplayArrayInTable(Fertiliser_SourceData.Fertiliser_Products_Data1(),FertiliserProducts[[#Headers],[Include or Exclude]], 0,4)</f>
        <v/>
      </c>
      <c r="K91" s="197" t="str" cm="1">
        <f t="array" ref="K91">Common_InputFunctions.Utility_DisplayArrayInTable(Fertiliser_SourceData.Fertiliser_Products_Data1(),FertiliserProducts[[#Headers],[Include or Exclude]], 0,4)</f>
        <v/>
      </c>
      <c r="L91" s="197" t="str" cm="1">
        <f t="array" ref="L91">Common_InputFunctions.Utility_DisplayArrayInTable(Fertiliser_SourceData.Fertiliser_Products_Data1(),FertiliserProducts[[#Headers],[Include or Exclude]], 0,4)</f>
        <v>Potassium - Generic</v>
      </c>
      <c r="M91" s="197" cm="1">
        <f t="array" ref="M91">Common_InputFunctions.Utility_DisplayArrayInTable(Fertiliser_SourceData.Fertiliser_Products_Data1(),FertiliserProducts[[#Headers],[Include or Exclude]], 0,4)</f>
        <v>0.105</v>
      </c>
      <c r="N91" s="197" t="str" cm="1">
        <f t="array" ref="N91">Common_InputFunctions.Utility_DisplayArrayInTable(Fertiliser_SourceData.Fertiliser_Products_Data1(),FertiliserProducts[[#Headers],[Include or Exclude]], 0,4)</f>
        <v>Nitrogen - Generic</v>
      </c>
      <c r="O91" s="197" cm="1">
        <f t="array" ref="O91">Common_InputFunctions.Utility_DisplayArrayInTable(Fertiliser_SourceData.Fertiliser_Products_Data1(),FertiliserProducts[[#Headers],[Include or Exclude]], 0,4)</f>
        <v>9.6000000000000002E-2</v>
      </c>
      <c r="P91" s="197" t="str" cm="1">
        <f t="array" ref="P91">Common_InputFunctions.Utility_DisplayArrayInTable(Fertiliser_SourceData.Fertiliser_Products_Data1(),FertiliserProducts[[#Headers],[Include or Exclude]], 0,4)</f>
        <v>Phosphorus - Generic</v>
      </c>
      <c r="Q91" s="197" cm="1">
        <f t="array" ref="Q91">Common_InputFunctions.Utility_DisplayArrayInTable(Fertiliser_SourceData.Fertiliser_Products_Data1(),FertiliserProducts[[#Headers],[Include or Exclude]], 0,4)</f>
        <v>0.05</v>
      </c>
      <c r="R91" s="197" t="str" cm="1">
        <f t="array" ref="R91">Common_InputFunctions.Utility_DisplayArrayInTable(Fertiliser_SourceData.Fertiliser_Products_Data1(),FertiliserProducts[[#Headers],[Include or Exclude]], 0,4)</f>
        <v/>
      </c>
      <c r="S91" s="197" t="str" cm="1">
        <f t="array" ref="S91">Common_InputFunctions.Utility_DisplayArrayInTable(Fertiliser_SourceData.Fertiliser_Products_Data1(),FertiliserProducts[[#Headers],[Include or Exclude]], 0,4)</f>
        <v/>
      </c>
      <c r="T91" s="197" t="str" cm="1">
        <f t="array" ref="T91">Common_InputFunctions.Utility_DisplayArrayInTable(Fertiliser_SourceData.Fertiliser_Products_Data1(),FertiliserProducts[[#Headers],[Include or Exclude]], 0,4)</f>
        <v/>
      </c>
      <c r="U91" s="197" t="str" cm="1">
        <f t="array" ref="U91">Common_InputFunctions.Utility_DisplayArrayInTable(Fertiliser_SourceData.Fertiliser_Products_Data1(),FertiliserProducts[[#Headers],[Include or Exclude]], 0,4)</f>
        <v/>
      </c>
      <c r="V91" s="197" t="str" cm="1">
        <f t="array" ref="V91">Common_InputFunctions.Utility_DisplayArrayInTable(Fertiliser_SourceData.Fertiliser_Products_Data1(),FertiliserProducts[[#Headers],[Include or Exclude]], 0,4)</f>
        <v/>
      </c>
      <c r="W91" s="197" t="str" cm="1">
        <f t="array" ref="W91">Common_InputFunctions.Utility_DisplayArrayInTable(Fertiliser_SourceData.Fertiliser_Products_Data1(),FertiliserProducts[[#Headers],[Include or Exclude]], 0,4)</f>
        <v/>
      </c>
      <c r="X91" s="197" t="str" cm="1">
        <f t="array" ref="X91">Common_InputFunctions.Utility_DisplayArrayInTable(Fertiliser_SourceData.Fertiliser_Products_Data1(),FertiliserProducts[[#Headers],[Include or Exclude]], 0,4)</f>
        <v/>
      </c>
      <c r="Y91" s="197" t="str" cm="1">
        <f t="array" ref="Y91">Common_InputFunctions.Utility_DisplayArrayInTable(Fertiliser_SourceData.Fertiliser_Products_Data1(),FertiliserProducts[[#Headers],[Include or Exclude]], 0,4)</f>
        <v/>
      </c>
      <c r="Z91" s="197" t="str" cm="1">
        <f t="array" ref="Z91">Common_InputFunctions.Utility_DisplayArrayInTable(Fertiliser_SourceData.Fertiliser_Products_Data1(),FertiliserProducts[[#Headers],[Include or Exclude]], 0,4)</f>
        <v/>
      </c>
      <c r="AA91" s="197" t="str" cm="1">
        <f t="array" ref="AA91">Common_InputFunctions.Utility_DisplayArrayInTable(Fertiliser_SourceData.Fertiliser_Products_Data1(),FertiliserProducts[[#Headers],[Include or Exclude]], 0,4)</f>
        <v/>
      </c>
      <c r="AB91" s="197" t="str" cm="1">
        <f t="array" ref="AB91">Common_InputFunctions.Utility_DisplayArrayInTable(Fertiliser_SourceData.Fertiliser_Products_Data1(),FertiliserProducts[[#Headers],[Include or Exclude]], 0,4)</f>
        <v/>
      </c>
      <c r="AC91" s="197" t="str" cm="1">
        <f t="array" ref="AC91">Common_InputFunctions.Utility_DisplayArrayInTable(Fertiliser_SourceData.Fertiliser_Products_Data1(),FertiliserProducts[[#Headers],[Include or Exclude]], 0,4)</f>
        <v/>
      </c>
      <c r="AD91" s="197" t="str" cm="1">
        <f t="array" ref="AD91">Common_InputFunctions.Utility_DisplayArrayInTable(Fertiliser_SourceData.Fertiliser_Products_Data1(),FertiliserProducts[[#Headers],[Include or Exclude]], 0,4)</f>
        <v/>
      </c>
      <c r="AE91" s="197" t="str" cm="1">
        <f t="array" ref="AE91">Common_InputFunctions.Utility_DisplayArrayInTable(Fertiliser_SourceData.Fertiliser_Products_Data1(),FertiliserProducts[[#Headers],[Include or Exclude]], 0,4)</f>
        <v/>
      </c>
    </row>
    <row r="92" spans="4:31" ht="20.100000000000001" customHeight="1" x14ac:dyDescent="0.25">
      <c r="D92" s="197" t="str" cm="1">
        <f t="array" ref="D92">Common_InputFunctions.Utility_DisplayArrayInTable(Fertiliser_SourceData.Fertiliser_Products_Data1(),FertiliserProducts[[#Headers],[Include or Exclude]], -1)</f>
        <v>Include</v>
      </c>
      <c r="E92" s="197" t="str" cm="1">
        <f t="array" ref="E92">Common_InputFunctions.Utility_DisplayArrayInTable(Fertiliser_SourceData.Fertiliser_Products_Data1(),FertiliserProducts[[#Headers],[Include or Exclude]], 0)</f>
        <v/>
      </c>
      <c r="F92" s="197" t="str" cm="1">
        <f t="array" ref="F92">Common_InputFunctions.Utility_DisplayArrayInTable(Fertiliser_SourceData.Fertiliser_Products_Data1(),FertiliserProducts[[#Headers],[Include or Exclude]], 0)</f>
        <v>Campbells fertilisers Australia</v>
      </c>
      <c r="G92" s="197" t="str" cm="1">
        <f t="array" ref="G92">Common_InputFunctions.Utility_DisplayArrayInTable(Fertiliser_SourceData.Fertiliser_Products_Data1(),FertiliserProducts[[#Headers],[Include or Exclude]], 0)</f>
        <v>Aqua Nitro AN</v>
      </c>
      <c r="H92" s="197" t="str" cm="1">
        <f t="array" ref="H92">Common_InputFunctions.Utility_DisplayArrayInTable(Fertiliser_SourceData.Fertiliser_Products_Data1(),FertiliserProducts[[#Headers],[Include or Exclude]], 0,4)</f>
        <v>L</v>
      </c>
      <c r="I92" s="197" cm="1">
        <f t="array" ref="I92">Common_InputFunctions.Utility_DisplayArrayInTable(Fertiliser_SourceData.Fertiliser_Products_Data1(),FertiliserProducts[[#Headers],[Include or Exclude]], 0,4)</f>
        <v>1.24</v>
      </c>
      <c r="J92" s="197" t="str" cm="1">
        <f t="array" ref="J92">Common_InputFunctions.Utility_DisplayArrayInTable(Fertiliser_SourceData.Fertiliser_Products_Data1(),FertiliserProducts[[#Headers],[Include or Exclude]], 0,4)</f>
        <v/>
      </c>
      <c r="K92" s="197" t="str" cm="1">
        <f t="array" ref="K92">Common_InputFunctions.Utility_DisplayArrayInTable(Fertiliser_SourceData.Fertiliser_Products_Data1(),FertiliserProducts[[#Headers],[Include or Exclude]], 0,4)</f>
        <v/>
      </c>
      <c r="L92" s="197" t="str" cm="1">
        <f t="array" ref="L92">Common_InputFunctions.Utility_DisplayArrayInTable(Fertiliser_SourceData.Fertiliser_Products_Data1(),FertiliserProducts[[#Headers],[Include or Exclude]], 0,4)</f>
        <v>Nitrogen - Ammoniacal</v>
      </c>
      <c r="M92" s="197" cm="1">
        <f t="array" ref="M92">Common_InputFunctions.Utility_DisplayArrayInTable(Fertiliser_SourceData.Fertiliser_Products_Data1(),FertiliserProducts[[#Headers],[Include or Exclude]], 0,4)</f>
        <v>0.223</v>
      </c>
      <c r="N92" s="197" t="str" cm="1">
        <f t="array" ref="N92">Common_InputFunctions.Utility_DisplayArrayInTable(Fertiliser_SourceData.Fertiliser_Products_Data1(),FertiliserProducts[[#Headers],[Include or Exclude]], 0,4)</f>
        <v/>
      </c>
      <c r="O92" s="197" t="str" cm="1">
        <f t="array" ref="O92">Common_InputFunctions.Utility_DisplayArrayInTable(Fertiliser_SourceData.Fertiliser_Products_Data1(),FertiliserProducts[[#Headers],[Include or Exclude]], 0,4)</f>
        <v/>
      </c>
      <c r="P92" s="197" t="str" cm="1">
        <f t="array" ref="P92">Common_InputFunctions.Utility_DisplayArrayInTable(Fertiliser_SourceData.Fertiliser_Products_Data1(),FertiliserProducts[[#Headers],[Include or Exclude]], 0,4)</f>
        <v/>
      </c>
      <c r="Q92" s="197" t="str" cm="1">
        <f t="array" ref="Q92">Common_InputFunctions.Utility_DisplayArrayInTable(Fertiliser_SourceData.Fertiliser_Products_Data1(),FertiliserProducts[[#Headers],[Include or Exclude]], 0,4)</f>
        <v/>
      </c>
      <c r="R92" s="197" t="str" cm="1">
        <f t="array" ref="R92">Common_InputFunctions.Utility_DisplayArrayInTable(Fertiliser_SourceData.Fertiliser_Products_Data1(),FertiliserProducts[[#Headers],[Include or Exclude]], 0,4)</f>
        <v/>
      </c>
      <c r="S92" s="197" t="str" cm="1">
        <f t="array" ref="S92">Common_InputFunctions.Utility_DisplayArrayInTable(Fertiliser_SourceData.Fertiliser_Products_Data1(),FertiliserProducts[[#Headers],[Include or Exclude]], 0,4)</f>
        <v/>
      </c>
      <c r="T92" s="197" t="str" cm="1">
        <f t="array" ref="T92">Common_InputFunctions.Utility_DisplayArrayInTable(Fertiliser_SourceData.Fertiliser_Products_Data1(),FertiliserProducts[[#Headers],[Include or Exclude]], 0,4)</f>
        <v/>
      </c>
      <c r="U92" s="197" t="str" cm="1">
        <f t="array" ref="U92">Common_InputFunctions.Utility_DisplayArrayInTable(Fertiliser_SourceData.Fertiliser_Products_Data1(),FertiliserProducts[[#Headers],[Include or Exclude]], 0,4)</f>
        <v/>
      </c>
      <c r="V92" s="197" t="str" cm="1">
        <f t="array" ref="V92">Common_InputFunctions.Utility_DisplayArrayInTable(Fertiliser_SourceData.Fertiliser_Products_Data1(),FertiliserProducts[[#Headers],[Include or Exclude]], 0,4)</f>
        <v/>
      </c>
      <c r="W92" s="197" t="str" cm="1">
        <f t="array" ref="W92">Common_InputFunctions.Utility_DisplayArrayInTable(Fertiliser_SourceData.Fertiliser_Products_Data1(),FertiliserProducts[[#Headers],[Include or Exclude]], 0,4)</f>
        <v/>
      </c>
      <c r="X92" s="197" t="str" cm="1">
        <f t="array" ref="X92">Common_InputFunctions.Utility_DisplayArrayInTable(Fertiliser_SourceData.Fertiliser_Products_Data1(),FertiliserProducts[[#Headers],[Include or Exclude]], 0,4)</f>
        <v/>
      </c>
      <c r="Y92" s="197" t="str" cm="1">
        <f t="array" ref="Y92">Common_InputFunctions.Utility_DisplayArrayInTable(Fertiliser_SourceData.Fertiliser_Products_Data1(),FertiliserProducts[[#Headers],[Include or Exclude]], 0,4)</f>
        <v/>
      </c>
      <c r="Z92" s="197" t="str" cm="1">
        <f t="array" ref="Z92">Common_InputFunctions.Utility_DisplayArrayInTable(Fertiliser_SourceData.Fertiliser_Products_Data1(),FertiliserProducts[[#Headers],[Include or Exclude]], 0,4)</f>
        <v/>
      </c>
      <c r="AA92" s="197" t="str" cm="1">
        <f t="array" ref="AA92">Common_InputFunctions.Utility_DisplayArrayInTable(Fertiliser_SourceData.Fertiliser_Products_Data1(),FertiliserProducts[[#Headers],[Include or Exclude]], 0,4)</f>
        <v/>
      </c>
      <c r="AB92" s="197" t="str" cm="1">
        <f t="array" ref="AB92">Common_InputFunctions.Utility_DisplayArrayInTable(Fertiliser_SourceData.Fertiliser_Products_Data1(),FertiliserProducts[[#Headers],[Include or Exclude]], 0,4)</f>
        <v/>
      </c>
      <c r="AC92" s="197" t="str" cm="1">
        <f t="array" ref="AC92">Common_InputFunctions.Utility_DisplayArrayInTable(Fertiliser_SourceData.Fertiliser_Products_Data1(),FertiliserProducts[[#Headers],[Include or Exclude]], 0,4)</f>
        <v/>
      </c>
      <c r="AD92" s="197" t="str" cm="1">
        <f t="array" ref="AD92">Common_InputFunctions.Utility_DisplayArrayInTable(Fertiliser_SourceData.Fertiliser_Products_Data1(),FertiliserProducts[[#Headers],[Include or Exclude]], 0,4)</f>
        <v/>
      </c>
      <c r="AE92" s="197" t="str" cm="1">
        <f t="array" ref="AE92">Common_InputFunctions.Utility_DisplayArrayInTable(Fertiliser_SourceData.Fertiliser_Products_Data1(),FertiliserProducts[[#Headers],[Include or Exclude]], 0,4)</f>
        <v/>
      </c>
    </row>
    <row r="93" spans="4:31" ht="20.100000000000001" customHeight="1" x14ac:dyDescent="0.25">
      <c r="D93" s="197" t="str" cm="1">
        <f t="array" ref="D93">Common_InputFunctions.Utility_DisplayArrayInTable(Fertiliser_SourceData.Fertiliser_Products_Data1(),FertiliserProducts[[#Headers],[Include or Exclude]], -1)</f>
        <v>Include</v>
      </c>
      <c r="E93" s="197" t="str" cm="1">
        <f t="array" ref="E93">Common_InputFunctions.Utility_DisplayArrayInTable(Fertiliser_SourceData.Fertiliser_Products_Data1(),FertiliserProducts[[#Headers],[Include or Exclude]], 0)</f>
        <v>Use Lime EF for calcium</v>
      </c>
      <c r="F93" s="197" t="str" cm="1">
        <f t="array" ref="F93">Common_InputFunctions.Utility_DisplayArrayInTable(Fertiliser_SourceData.Fertiliser_Products_Data1(),FertiliserProducts[[#Headers],[Include or Exclude]], 0)</f>
        <v>Campbells fertilisers Australia</v>
      </c>
      <c r="G93" s="197" t="str" cm="1">
        <f t="array" ref="G93">Common_InputFunctions.Utility_DisplayArrayInTable(Fertiliser_SourceData.Fertiliser_Products_Data1(),FertiliserProducts[[#Headers],[Include or Exclude]], 0)</f>
        <v>Aqua NitroCal</v>
      </c>
      <c r="H93" s="197" t="str" cm="1">
        <f t="array" ref="H93">Common_InputFunctions.Utility_DisplayArrayInTable(Fertiliser_SourceData.Fertiliser_Products_Data1(),FertiliserProducts[[#Headers],[Include or Exclude]], 0,4)</f>
        <v>L</v>
      </c>
      <c r="I93" s="197" cm="1">
        <f t="array" ref="I93">Common_InputFunctions.Utility_DisplayArrayInTable(Fertiliser_SourceData.Fertiliser_Products_Data1(),FertiliserProducts[[#Headers],[Include or Exclude]], 0,4)</f>
        <v>1.5</v>
      </c>
      <c r="J93" s="197" t="str" cm="1">
        <f t="array" ref="J93">Common_InputFunctions.Utility_DisplayArrayInTable(Fertiliser_SourceData.Fertiliser_Products_Data1(),FertiliserProducts[[#Headers],[Include or Exclude]], 0,4)</f>
        <v/>
      </c>
      <c r="K93" s="197" t="str" cm="1">
        <f t="array" ref="K93">Common_InputFunctions.Utility_DisplayArrayInTable(Fertiliser_SourceData.Fertiliser_Products_Data1(),FertiliserProducts[[#Headers],[Include or Exclude]], 0,4)</f>
        <v/>
      </c>
      <c r="L93" s="197" t="str" cm="1">
        <f t="array" ref="L93">Common_InputFunctions.Utility_DisplayArrayInTable(Fertiliser_SourceData.Fertiliser_Products_Data1(),FertiliserProducts[[#Headers],[Include or Exclude]], 0,4)</f>
        <v>Calcium - Generic</v>
      </c>
      <c r="M93" s="197" cm="1">
        <f t="array" ref="M93">Common_InputFunctions.Utility_DisplayArrayInTable(Fertiliser_SourceData.Fertiliser_Products_Data1(),FertiliserProducts[[#Headers],[Include or Exclude]], 0,4)</f>
        <v>0.16200000000000001</v>
      </c>
      <c r="N93" s="197" t="str" cm="1">
        <f t="array" ref="N93">Common_InputFunctions.Utility_DisplayArrayInTable(Fertiliser_SourceData.Fertiliser_Products_Data1(),FertiliserProducts[[#Headers],[Include or Exclude]], 0,4)</f>
        <v>Nitrogen - Nitrate</v>
      </c>
      <c r="O93" s="197" cm="1">
        <f t="array" ref="O93">Common_InputFunctions.Utility_DisplayArrayInTable(Fertiliser_SourceData.Fertiliser_Products_Data1(),FertiliserProducts[[#Headers],[Include or Exclude]], 0,4)</f>
        <v>0.13200000000000001</v>
      </c>
      <c r="P93" s="197" t="str" cm="1">
        <f t="array" ref="P93">Common_InputFunctions.Utility_DisplayArrayInTable(Fertiliser_SourceData.Fertiliser_Products_Data1(),FertiliserProducts[[#Headers],[Include or Exclude]], 0,4)</f>
        <v/>
      </c>
      <c r="Q93" s="197" t="str" cm="1">
        <f t="array" ref="Q93">Common_InputFunctions.Utility_DisplayArrayInTable(Fertiliser_SourceData.Fertiliser_Products_Data1(),FertiliserProducts[[#Headers],[Include or Exclude]], 0,4)</f>
        <v/>
      </c>
      <c r="R93" s="197" t="str" cm="1">
        <f t="array" ref="R93">Common_InputFunctions.Utility_DisplayArrayInTable(Fertiliser_SourceData.Fertiliser_Products_Data1(),FertiliserProducts[[#Headers],[Include or Exclude]], 0,4)</f>
        <v/>
      </c>
      <c r="S93" s="197" t="str" cm="1">
        <f t="array" ref="S93">Common_InputFunctions.Utility_DisplayArrayInTable(Fertiliser_SourceData.Fertiliser_Products_Data1(),FertiliserProducts[[#Headers],[Include or Exclude]], 0,4)</f>
        <v/>
      </c>
      <c r="T93" s="197" t="str" cm="1">
        <f t="array" ref="T93">Common_InputFunctions.Utility_DisplayArrayInTable(Fertiliser_SourceData.Fertiliser_Products_Data1(),FertiliserProducts[[#Headers],[Include or Exclude]], 0,4)</f>
        <v/>
      </c>
      <c r="U93" s="197" t="str" cm="1">
        <f t="array" ref="U93">Common_InputFunctions.Utility_DisplayArrayInTable(Fertiliser_SourceData.Fertiliser_Products_Data1(),FertiliserProducts[[#Headers],[Include or Exclude]], 0,4)</f>
        <v/>
      </c>
      <c r="V93" s="197" t="str" cm="1">
        <f t="array" ref="V93">Common_InputFunctions.Utility_DisplayArrayInTable(Fertiliser_SourceData.Fertiliser_Products_Data1(),FertiliserProducts[[#Headers],[Include or Exclude]], 0,4)</f>
        <v/>
      </c>
      <c r="W93" s="197" t="str" cm="1">
        <f t="array" ref="W93">Common_InputFunctions.Utility_DisplayArrayInTable(Fertiliser_SourceData.Fertiliser_Products_Data1(),FertiliserProducts[[#Headers],[Include or Exclude]], 0,4)</f>
        <v/>
      </c>
      <c r="X93" s="197" t="str" cm="1">
        <f t="array" ref="X93">Common_InputFunctions.Utility_DisplayArrayInTable(Fertiliser_SourceData.Fertiliser_Products_Data1(),FertiliserProducts[[#Headers],[Include or Exclude]], 0,4)</f>
        <v/>
      </c>
      <c r="Y93" s="197" t="str" cm="1">
        <f t="array" ref="Y93">Common_InputFunctions.Utility_DisplayArrayInTable(Fertiliser_SourceData.Fertiliser_Products_Data1(),FertiliserProducts[[#Headers],[Include or Exclude]], 0,4)</f>
        <v/>
      </c>
      <c r="Z93" s="197" t="str" cm="1">
        <f t="array" ref="Z93">Common_InputFunctions.Utility_DisplayArrayInTable(Fertiliser_SourceData.Fertiliser_Products_Data1(),FertiliserProducts[[#Headers],[Include or Exclude]], 0,4)</f>
        <v/>
      </c>
      <c r="AA93" s="197" t="str" cm="1">
        <f t="array" ref="AA93">Common_InputFunctions.Utility_DisplayArrayInTable(Fertiliser_SourceData.Fertiliser_Products_Data1(),FertiliserProducts[[#Headers],[Include or Exclude]], 0,4)</f>
        <v/>
      </c>
      <c r="AB93" s="197" t="str" cm="1">
        <f t="array" ref="AB93">Common_InputFunctions.Utility_DisplayArrayInTable(Fertiliser_SourceData.Fertiliser_Products_Data1(),FertiliserProducts[[#Headers],[Include or Exclude]], 0,4)</f>
        <v/>
      </c>
      <c r="AC93" s="197" t="str" cm="1">
        <f t="array" ref="AC93">Common_InputFunctions.Utility_DisplayArrayInTable(Fertiliser_SourceData.Fertiliser_Products_Data1(),FertiliserProducts[[#Headers],[Include or Exclude]], 0,4)</f>
        <v/>
      </c>
      <c r="AD93" s="197" t="str" cm="1">
        <f t="array" ref="AD93">Common_InputFunctions.Utility_DisplayArrayInTable(Fertiliser_SourceData.Fertiliser_Products_Data1(),FertiliserProducts[[#Headers],[Include or Exclude]], 0,4)</f>
        <v/>
      </c>
      <c r="AE93" s="197" t="str" cm="1">
        <f t="array" ref="AE93">Common_InputFunctions.Utility_DisplayArrayInTable(Fertiliser_SourceData.Fertiliser_Products_Data1(),FertiliserProducts[[#Headers],[Include or Exclude]], 0,4)</f>
        <v/>
      </c>
    </row>
    <row r="94" spans="4:31" ht="20.100000000000001" customHeight="1" x14ac:dyDescent="0.25">
      <c r="D94" s="197" t="str" cm="1">
        <f t="array" ref="D94">Common_InputFunctions.Utility_DisplayArrayInTable(Fertiliser_SourceData.Fertiliser_Products_Data1(),FertiliserProducts[[#Headers],[Include or Exclude]], -1)</f>
        <v>Include</v>
      </c>
      <c r="E94" s="197" t="str" cm="1">
        <f t="array" ref="E94">Common_InputFunctions.Utility_DisplayArrayInTable(Fertiliser_SourceData.Fertiliser_Products_Data1(),FertiliserProducts[[#Headers],[Include or Exclude]], 0)</f>
        <v>Use Lime EF for calcium</v>
      </c>
      <c r="F94" s="197" t="str" cm="1">
        <f t="array" ref="F94">Common_InputFunctions.Utility_DisplayArrayInTable(Fertiliser_SourceData.Fertiliser_Products_Data1(),FertiliserProducts[[#Headers],[Include or Exclude]], 0)</f>
        <v>Campbells fertilisers Australia</v>
      </c>
      <c r="G94" s="197" t="str" cm="1">
        <f t="array" ref="G94">Common_InputFunctions.Utility_DisplayArrayInTable(Fertiliser_SourceData.Fertiliser_Products_Data1(),FertiliserProducts[[#Headers],[Include or Exclude]], 0)</f>
        <v>Aqua NitroCal (VI)</v>
      </c>
      <c r="H94" s="197" t="str" cm="1">
        <f t="array" ref="H94">Common_InputFunctions.Utility_DisplayArrayInTable(Fertiliser_SourceData.Fertiliser_Products_Data1(),FertiliserProducts[[#Headers],[Include or Exclude]], 0,4)</f>
        <v>L</v>
      </c>
      <c r="I94" s="197" cm="1">
        <f t="array" ref="I94">Common_InputFunctions.Utility_DisplayArrayInTable(Fertiliser_SourceData.Fertiliser_Products_Data1(),FertiliserProducts[[#Headers],[Include or Exclude]], 0,4)</f>
        <v>1.5</v>
      </c>
      <c r="J94" s="197" t="str" cm="1">
        <f t="array" ref="J94">Common_InputFunctions.Utility_DisplayArrayInTable(Fertiliser_SourceData.Fertiliser_Products_Data1(),FertiliserProducts[[#Headers],[Include or Exclude]], 0,4)</f>
        <v/>
      </c>
      <c r="K94" s="197" t="str" cm="1">
        <f t="array" ref="K94">Common_InputFunctions.Utility_DisplayArrayInTable(Fertiliser_SourceData.Fertiliser_Products_Data1(),FertiliserProducts[[#Headers],[Include or Exclude]], 0,4)</f>
        <v/>
      </c>
      <c r="L94" s="197" t="str" cm="1">
        <f t="array" ref="L94">Common_InputFunctions.Utility_DisplayArrayInTable(Fertiliser_SourceData.Fertiliser_Products_Data1(),FertiliserProducts[[#Headers],[Include or Exclude]], 0,4)</f>
        <v>Calcium - Generic</v>
      </c>
      <c r="M94" s="197" cm="1">
        <f t="array" ref="M94">Common_InputFunctions.Utility_DisplayArrayInTable(Fertiliser_SourceData.Fertiliser_Products_Data1(),FertiliserProducts[[#Headers],[Include or Exclude]], 0,4)</f>
        <v>0.187</v>
      </c>
      <c r="N94" s="197" t="str" cm="1">
        <f t="array" ref="N94">Common_InputFunctions.Utility_DisplayArrayInTable(Fertiliser_SourceData.Fertiliser_Products_Data1(),FertiliserProducts[[#Headers],[Include or Exclude]], 0,4)</f>
        <v>Nitrogen - Nitrate</v>
      </c>
      <c r="O94" s="197" cm="1">
        <f t="array" ref="O94">Common_InputFunctions.Utility_DisplayArrayInTable(Fertiliser_SourceData.Fertiliser_Products_Data1(),FertiliserProducts[[#Headers],[Include or Exclude]], 0,4)</f>
        <v>0.13200000000000001</v>
      </c>
      <c r="P94" s="197" t="str" cm="1">
        <f t="array" ref="P94">Common_InputFunctions.Utility_DisplayArrayInTable(Fertiliser_SourceData.Fertiliser_Products_Data1(),FertiliserProducts[[#Headers],[Include or Exclude]], 0,4)</f>
        <v/>
      </c>
      <c r="Q94" s="197" t="str" cm="1">
        <f t="array" ref="Q94">Common_InputFunctions.Utility_DisplayArrayInTable(Fertiliser_SourceData.Fertiliser_Products_Data1(),FertiliserProducts[[#Headers],[Include or Exclude]], 0,4)</f>
        <v/>
      </c>
      <c r="R94" s="197" t="str" cm="1">
        <f t="array" ref="R94">Common_InputFunctions.Utility_DisplayArrayInTable(Fertiliser_SourceData.Fertiliser_Products_Data1(),FertiliserProducts[[#Headers],[Include or Exclude]], 0,4)</f>
        <v/>
      </c>
      <c r="S94" s="197" t="str" cm="1">
        <f t="array" ref="S94">Common_InputFunctions.Utility_DisplayArrayInTable(Fertiliser_SourceData.Fertiliser_Products_Data1(),FertiliserProducts[[#Headers],[Include or Exclude]], 0,4)</f>
        <v/>
      </c>
      <c r="T94" s="197" t="str" cm="1">
        <f t="array" ref="T94">Common_InputFunctions.Utility_DisplayArrayInTable(Fertiliser_SourceData.Fertiliser_Products_Data1(),FertiliserProducts[[#Headers],[Include or Exclude]], 0,4)</f>
        <v/>
      </c>
      <c r="U94" s="197" t="str" cm="1">
        <f t="array" ref="U94">Common_InputFunctions.Utility_DisplayArrayInTable(Fertiliser_SourceData.Fertiliser_Products_Data1(),FertiliserProducts[[#Headers],[Include or Exclude]], 0,4)</f>
        <v/>
      </c>
      <c r="V94" s="197" t="str" cm="1">
        <f t="array" ref="V94">Common_InputFunctions.Utility_DisplayArrayInTable(Fertiliser_SourceData.Fertiliser_Products_Data1(),FertiliserProducts[[#Headers],[Include or Exclude]], 0,4)</f>
        <v/>
      </c>
      <c r="W94" s="197" t="str" cm="1">
        <f t="array" ref="W94">Common_InputFunctions.Utility_DisplayArrayInTable(Fertiliser_SourceData.Fertiliser_Products_Data1(),FertiliserProducts[[#Headers],[Include or Exclude]], 0,4)</f>
        <v/>
      </c>
      <c r="X94" s="197" t="str" cm="1">
        <f t="array" ref="X94">Common_InputFunctions.Utility_DisplayArrayInTable(Fertiliser_SourceData.Fertiliser_Products_Data1(),FertiliserProducts[[#Headers],[Include or Exclude]], 0,4)</f>
        <v/>
      </c>
      <c r="Y94" s="197" t="str" cm="1">
        <f t="array" ref="Y94">Common_InputFunctions.Utility_DisplayArrayInTable(Fertiliser_SourceData.Fertiliser_Products_Data1(),FertiliserProducts[[#Headers],[Include or Exclude]], 0,4)</f>
        <v/>
      </c>
      <c r="Z94" s="197" t="str" cm="1">
        <f t="array" ref="Z94">Common_InputFunctions.Utility_DisplayArrayInTable(Fertiliser_SourceData.Fertiliser_Products_Data1(),FertiliserProducts[[#Headers],[Include or Exclude]], 0,4)</f>
        <v/>
      </c>
      <c r="AA94" s="197" t="str" cm="1">
        <f t="array" ref="AA94">Common_InputFunctions.Utility_DisplayArrayInTable(Fertiliser_SourceData.Fertiliser_Products_Data1(),FertiliserProducts[[#Headers],[Include or Exclude]], 0,4)</f>
        <v/>
      </c>
      <c r="AB94" s="197" t="str" cm="1">
        <f t="array" ref="AB94">Common_InputFunctions.Utility_DisplayArrayInTable(Fertiliser_SourceData.Fertiliser_Products_Data1(),FertiliserProducts[[#Headers],[Include or Exclude]], 0,4)</f>
        <v/>
      </c>
      <c r="AC94" s="197" t="str" cm="1">
        <f t="array" ref="AC94">Common_InputFunctions.Utility_DisplayArrayInTable(Fertiliser_SourceData.Fertiliser_Products_Data1(),FertiliserProducts[[#Headers],[Include or Exclude]], 0,4)</f>
        <v/>
      </c>
      <c r="AD94" s="197" t="str" cm="1">
        <f t="array" ref="AD94">Common_InputFunctions.Utility_DisplayArrayInTable(Fertiliser_SourceData.Fertiliser_Products_Data1(),FertiliserProducts[[#Headers],[Include or Exclude]], 0,4)</f>
        <v/>
      </c>
      <c r="AE94" s="197" t="str" cm="1">
        <f t="array" ref="AE94">Common_InputFunctions.Utility_DisplayArrayInTable(Fertiliser_SourceData.Fertiliser_Products_Data1(),FertiliserProducts[[#Headers],[Include or Exclude]], 0,4)</f>
        <v/>
      </c>
    </row>
    <row r="95" spans="4:31" ht="20.100000000000001" customHeight="1" x14ac:dyDescent="0.25">
      <c r="D95" s="197" t="str" cm="1">
        <f t="array" ref="D95">Common_InputFunctions.Utility_DisplayArrayInTable(Fertiliser_SourceData.Fertiliser_Products_Data1(),FertiliserProducts[[#Headers],[Include or Exclude]], -1)</f>
        <v>Include</v>
      </c>
      <c r="E95" s="197" t="str" cm="1">
        <f t="array" ref="E95">Common_InputFunctions.Utility_DisplayArrayInTable(Fertiliser_SourceData.Fertiliser_Products_Data1(),FertiliserProducts[[#Headers],[Include or Exclude]], 0)</f>
        <v>Use Lime EF for calcium</v>
      </c>
      <c r="F95" s="197" t="str" cm="1">
        <f t="array" ref="F95">Common_InputFunctions.Utility_DisplayArrayInTable(Fertiliser_SourceData.Fertiliser_Products_Data1(),FertiliserProducts[[#Headers],[Include or Exclude]], 0)</f>
        <v>Campbells fertilisers Australia</v>
      </c>
      <c r="G95" s="197" t="str" cm="1">
        <f t="array" ref="G95">Common_InputFunctions.Utility_DisplayArrayInTable(Fertiliser_SourceData.Fertiliser_Products_Data1(),FertiliserProducts[[#Headers],[Include or Exclude]], 0)</f>
        <v>Aqua NitroCal Ultimate</v>
      </c>
      <c r="H95" s="197" t="str" cm="1">
        <f t="array" ref="H95">Common_InputFunctions.Utility_DisplayArrayInTable(Fertiliser_SourceData.Fertiliser_Products_Data1(),FertiliserProducts[[#Headers],[Include or Exclude]], 0,4)</f>
        <v>L</v>
      </c>
      <c r="I95" s="197" cm="1">
        <f t="array" ref="I95">Common_InputFunctions.Utility_DisplayArrayInTable(Fertiliser_SourceData.Fertiliser_Products_Data1(),FertiliserProducts[[#Headers],[Include or Exclude]], 0,4)</f>
        <v>1.5</v>
      </c>
      <c r="J95" s="197" t="str" cm="1">
        <f t="array" ref="J95">Common_InputFunctions.Utility_DisplayArrayInTable(Fertiliser_SourceData.Fertiliser_Products_Data1(),FertiliserProducts[[#Headers],[Include or Exclude]], 0,4)</f>
        <v/>
      </c>
      <c r="K95" s="197" t="str" cm="1">
        <f t="array" ref="K95">Common_InputFunctions.Utility_DisplayArrayInTable(Fertiliser_SourceData.Fertiliser_Products_Data1(),FertiliserProducts[[#Headers],[Include or Exclude]], 0,4)</f>
        <v/>
      </c>
      <c r="L95" s="197" t="str" cm="1">
        <f t="array" ref="L95">Common_InputFunctions.Utility_DisplayArrayInTable(Fertiliser_SourceData.Fertiliser_Products_Data1(),FertiliserProducts[[#Headers],[Include or Exclude]], 0,4)</f>
        <v>Calcium - Generic</v>
      </c>
      <c r="M95" s="197" cm="1">
        <f t="array" ref="M95">Common_InputFunctions.Utility_DisplayArrayInTable(Fertiliser_SourceData.Fertiliser_Products_Data1(),FertiliserProducts[[#Headers],[Include or Exclude]], 0,4)</f>
        <v>0.183</v>
      </c>
      <c r="N95" s="197" t="str" cm="1">
        <f t="array" ref="N95">Common_InputFunctions.Utility_DisplayArrayInTable(Fertiliser_SourceData.Fertiliser_Products_Data1(),FertiliserProducts[[#Headers],[Include or Exclude]], 0,4)</f>
        <v>Nitrogen  - Nitrate</v>
      </c>
      <c r="O95" s="197" cm="1">
        <f t="array" ref="O95">Common_InputFunctions.Utility_DisplayArrayInTable(Fertiliser_SourceData.Fertiliser_Products_Data1(),FertiliserProducts[[#Headers],[Include or Exclude]], 0,4)</f>
        <v>0.13200000000000001</v>
      </c>
      <c r="P95" s="197" t="str" cm="1">
        <f t="array" ref="P95">Common_InputFunctions.Utility_DisplayArrayInTable(Fertiliser_SourceData.Fertiliser_Products_Data1(),FertiliserProducts[[#Headers],[Include or Exclude]], 0,4)</f>
        <v/>
      </c>
      <c r="Q95" s="197" t="str" cm="1">
        <f t="array" ref="Q95">Common_InputFunctions.Utility_DisplayArrayInTable(Fertiliser_SourceData.Fertiliser_Products_Data1(),FertiliserProducts[[#Headers],[Include or Exclude]], 0,4)</f>
        <v/>
      </c>
      <c r="R95" s="197" t="str" cm="1">
        <f t="array" ref="R95">Common_InputFunctions.Utility_DisplayArrayInTable(Fertiliser_SourceData.Fertiliser_Products_Data1(),FertiliserProducts[[#Headers],[Include or Exclude]], 0,4)</f>
        <v/>
      </c>
      <c r="S95" s="197" t="str" cm="1">
        <f t="array" ref="S95">Common_InputFunctions.Utility_DisplayArrayInTable(Fertiliser_SourceData.Fertiliser_Products_Data1(),FertiliserProducts[[#Headers],[Include or Exclude]], 0,4)</f>
        <v/>
      </c>
      <c r="T95" s="197" t="str" cm="1">
        <f t="array" ref="T95">Common_InputFunctions.Utility_DisplayArrayInTable(Fertiliser_SourceData.Fertiliser_Products_Data1(),FertiliserProducts[[#Headers],[Include or Exclude]], 0,4)</f>
        <v/>
      </c>
      <c r="U95" s="197" t="str" cm="1">
        <f t="array" ref="U95">Common_InputFunctions.Utility_DisplayArrayInTable(Fertiliser_SourceData.Fertiliser_Products_Data1(),FertiliserProducts[[#Headers],[Include or Exclude]], 0,4)</f>
        <v/>
      </c>
      <c r="V95" s="197" t="str" cm="1">
        <f t="array" ref="V95">Common_InputFunctions.Utility_DisplayArrayInTable(Fertiliser_SourceData.Fertiliser_Products_Data1(),FertiliserProducts[[#Headers],[Include or Exclude]], 0,4)</f>
        <v/>
      </c>
      <c r="W95" s="197" t="str" cm="1">
        <f t="array" ref="W95">Common_InputFunctions.Utility_DisplayArrayInTable(Fertiliser_SourceData.Fertiliser_Products_Data1(),FertiliserProducts[[#Headers],[Include or Exclude]], 0,4)</f>
        <v/>
      </c>
      <c r="X95" s="197" t="str" cm="1">
        <f t="array" ref="X95">Common_InputFunctions.Utility_DisplayArrayInTable(Fertiliser_SourceData.Fertiliser_Products_Data1(),FertiliserProducts[[#Headers],[Include or Exclude]], 0,4)</f>
        <v/>
      </c>
      <c r="Y95" s="197" t="str" cm="1">
        <f t="array" ref="Y95">Common_InputFunctions.Utility_DisplayArrayInTable(Fertiliser_SourceData.Fertiliser_Products_Data1(),FertiliserProducts[[#Headers],[Include or Exclude]], 0,4)</f>
        <v/>
      </c>
      <c r="Z95" s="197" t="str" cm="1">
        <f t="array" ref="Z95">Common_InputFunctions.Utility_DisplayArrayInTable(Fertiliser_SourceData.Fertiliser_Products_Data1(),FertiliserProducts[[#Headers],[Include or Exclude]], 0,4)</f>
        <v/>
      </c>
      <c r="AA95" s="197" t="str" cm="1">
        <f t="array" ref="AA95">Common_InputFunctions.Utility_DisplayArrayInTable(Fertiliser_SourceData.Fertiliser_Products_Data1(),FertiliserProducts[[#Headers],[Include or Exclude]], 0,4)</f>
        <v/>
      </c>
      <c r="AB95" s="197" t="str" cm="1">
        <f t="array" ref="AB95">Common_InputFunctions.Utility_DisplayArrayInTable(Fertiliser_SourceData.Fertiliser_Products_Data1(),FertiliserProducts[[#Headers],[Include or Exclude]], 0,4)</f>
        <v/>
      </c>
      <c r="AC95" s="197" t="str" cm="1">
        <f t="array" ref="AC95">Common_InputFunctions.Utility_DisplayArrayInTable(Fertiliser_SourceData.Fertiliser_Products_Data1(),FertiliserProducts[[#Headers],[Include or Exclude]], 0,4)</f>
        <v/>
      </c>
      <c r="AD95" s="197" t="str" cm="1">
        <f t="array" ref="AD95">Common_InputFunctions.Utility_DisplayArrayInTable(Fertiliser_SourceData.Fertiliser_Products_Data1(),FertiliserProducts[[#Headers],[Include or Exclude]], 0,4)</f>
        <v/>
      </c>
      <c r="AE95" s="197" t="str" cm="1">
        <f t="array" ref="AE95">Common_InputFunctions.Utility_DisplayArrayInTable(Fertiliser_SourceData.Fertiliser_Products_Data1(),FertiliserProducts[[#Headers],[Include or Exclude]], 0,4)</f>
        <v/>
      </c>
    </row>
    <row r="96" spans="4:31" ht="20.100000000000001" customHeight="1" x14ac:dyDescent="0.25">
      <c r="D96" s="197" t="str" cm="1">
        <f t="array" ref="D96">Common_InputFunctions.Utility_DisplayArrayInTable(Fertiliser_SourceData.Fertiliser_Products_Data1(),FertiliserProducts[[#Headers],[Include or Exclude]], -1)</f>
        <v>Include</v>
      </c>
      <c r="E96" s="197" t="str" cm="1">
        <f t="array" ref="E96">Common_InputFunctions.Utility_DisplayArrayInTable(Fertiliser_SourceData.Fertiliser_Products_Data1(),FertiliserProducts[[#Headers],[Include or Exclude]], 0)</f>
        <v/>
      </c>
      <c r="F96" s="197" t="str" cm="1">
        <f t="array" ref="F96">Common_InputFunctions.Utility_DisplayArrayInTable(Fertiliser_SourceData.Fertiliser_Products_Data1(),FertiliserProducts[[#Headers],[Include or Exclude]], 0)</f>
        <v>Campbells fertilisers Australia</v>
      </c>
      <c r="G96" s="197" t="str" cm="1">
        <f t="array" ref="G96">Common_InputFunctions.Utility_DisplayArrayInTable(Fertiliser_SourceData.Fertiliser_Products_Data1(),FertiliserProducts[[#Headers],[Include or Exclude]], 0)</f>
        <v>Aqua Start</v>
      </c>
      <c r="H96" s="197" t="str" cm="1">
        <f t="array" ref="H96">Common_InputFunctions.Utility_DisplayArrayInTable(Fertiliser_SourceData.Fertiliser_Products_Data1(),FertiliserProducts[[#Headers],[Include or Exclude]], 0,4)</f>
        <v>L</v>
      </c>
      <c r="I96" s="197" cm="1">
        <f t="array" ref="I96">Common_InputFunctions.Utility_DisplayArrayInTable(Fertiliser_SourceData.Fertiliser_Products_Data1(),FertiliserProducts[[#Headers],[Include or Exclude]], 0,4)</f>
        <v>1.25</v>
      </c>
      <c r="J96" s="197" t="str" cm="1">
        <f t="array" ref="J96">Common_InputFunctions.Utility_DisplayArrayInTable(Fertiliser_SourceData.Fertiliser_Products_Data1(),FertiliserProducts[[#Headers],[Include or Exclude]], 0,4)</f>
        <v/>
      </c>
      <c r="K96" s="197" t="str" cm="1">
        <f t="array" ref="K96">Common_InputFunctions.Utility_DisplayArrayInTable(Fertiliser_SourceData.Fertiliser_Products_Data1(),FertiliserProducts[[#Headers],[Include or Exclude]], 0,4)</f>
        <v/>
      </c>
      <c r="L96" s="197" t="str" cm="1">
        <f t="array" ref="L96">Common_InputFunctions.Utility_DisplayArrayInTable(Fertiliser_SourceData.Fertiliser_Products_Data1(),FertiliserProducts[[#Headers],[Include or Exclude]], 0,4)</f>
        <v>Nitrogen - Generic</v>
      </c>
      <c r="M96" s="197" cm="1">
        <f t="array" ref="M96">Common_InputFunctions.Utility_DisplayArrayInTable(Fertiliser_SourceData.Fertiliser_Products_Data1(),FertiliserProducts[[#Headers],[Include or Exclude]], 0,4)</f>
        <v>0.10299999999999999</v>
      </c>
      <c r="N96" s="197" t="str" cm="1">
        <f t="array" ref="N96">Common_InputFunctions.Utility_DisplayArrayInTable(Fertiliser_SourceData.Fertiliser_Products_Data1(),FertiliserProducts[[#Headers],[Include or Exclude]], 0,4)</f>
        <v>Phosphorus - Generic</v>
      </c>
      <c r="O96" s="197" cm="1">
        <f t="array" ref="O96">Common_InputFunctions.Utility_DisplayArrayInTable(Fertiliser_SourceData.Fertiliser_Products_Data1(),FertiliserProducts[[#Headers],[Include or Exclude]], 0,4)</f>
        <v>0.1</v>
      </c>
      <c r="P96" s="197" t="str" cm="1">
        <f t="array" ref="P96">Common_InputFunctions.Utility_DisplayArrayInTable(Fertiliser_SourceData.Fertiliser_Products_Data1(),FertiliserProducts[[#Headers],[Include or Exclude]], 0,4)</f>
        <v>Potassium - Generic</v>
      </c>
      <c r="Q96" s="197" cm="1">
        <f t="array" ref="Q96">Common_InputFunctions.Utility_DisplayArrayInTable(Fertiliser_SourceData.Fertiliser_Products_Data1(),FertiliserProducts[[#Headers],[Include or Exclude]], 0,4)</f>
        <v>3.4000000000000002E-2</v>
      </c>
      <c r="R96" s="197" t="str" cm="1">
        <f t="array" ref="R96">Common_InputFunctions.Utility_DisplayArrayInTable(Fertiliser_SourceData.Fertiliser_Products_Data1(),FertiliserProducts[[#Headers],[Include or Exclude]], 0,4)</f>
        <v/>
      </c>
      <c r="S96" s="197" t="str" cm="1">
        <f t="array" ref="S96">Common_InputFunctions.Utility_DisplayArrayInTable(Fertiliser_SourceData.Fertiliser_Products_Data1(),FertiliserProducts[[#Headers],[Include or Exclude]], 0,4)</f>
        <v/>
      </c>
      <c r="T96" s="197" t="str" cm="1">
        <f t="array" ref="T96">Common_InputFunctions.Utility_DisplayArrayInTable(Fertiliser_SourceData.Fertiliser_Products_Data1(),FertiliserProducts[[#Headers],[Include or Exclude]], 0,4)</f>
        <v/>
      </c>
      <c r="U96" s="197" t="str" cm="1">
        <f t="array" ref="U96">Common_InputFunctions.Utility_DisplayArrayInTable(Fertiliser_SourceData.Fertiliser_Products_Data1(),FertiliserProducts[[#Headers],[Include or Exclude]], 0,4)</f>
        <v/>
      </c>
      <c r="V96" s="197" t="str" cm="1">
        <f t="array" ref="V96">Common_InputFunctions.Utility_DisplayArrayInTable(Fertiliser_SourceData.Fertiliser_Products_Data1(),FertiliserProducts[[#Headers],[Include or Exclude]], 0,4)</f>
        <v/>
      </c>
      <c r="W96" s="197" t="str" cm="1">
        <f t="array" ref="W96">Common_InputFunctions.Utility_DisplayArrayInTable(Fertiliser_SourceData.Fertiliser_Products_Data1(),FertiliserProducts[[#Headers],[Include or Exclude]], 0,4)</f>
        <v/>
      </c>
      <c r="X96" s="197" t="str" cm="1">
        <f t="array" ref="X96">Common_InputFunctions.Utility_DisplayArrayInTable(Fertiliser_SourceData.Fertiliser_Products_Data1(),FertiliserProducts[[#Headers],[Include or Exclude]], 0,4)</f>
        <v/>
      </c>
      <c r="Y96" s="197" t="str" cm="1">
        <f t="array" ref="Y96">Common_InputFunctions.Utility_DisplayArrayInTable(Fertiliser_SourceData.Fertiliser_Products_Data1(),FertiliserProducts[[#Headers],[Include or Exclude]], 0,4)</f>
        <v/>
      </c>
      <c r="Z96" s="197" t="str" cm="1">
        <f t="array" ref="Z96">Common_InputFunctions.Utility_DisplayArrayInTable(Fertiliser_SourceData.Fertiliser_Products_Data1(),FertiliserProducts[[#Headers],[Include or Exclude]], 0,4)</f>
        <v/>
      </c>
      <c r="AA96" s="197" t="str" cm="1">
        <f t="array" ref="AA96">Common_InputFunctions.Utility_DisplayArrayInTable(Fertiliser_SourceData.Fertiliser_Products_Data1(),FertiliserProducts[[#Headers],[Include or Exclude]], 0,4)</f>
        <v/>
      </c>
      <c r="AB96" s="197" t="str" cm="1">
        <f t="array" ref="AB96">Common_InputFunctions.Utility_DisplayArrayInTable(Fertiliser_SourceData.Fertiliser_Products_Data1(),FertiliserProducts[[#Headers],[Include or Exclude]], 0,4)</f>
        <v/>
      </c>
      <c r="AC96" s="197" t="str" cm="1">
        <f t="array" ref="AC96">Common_InputFunctions.Utility_DisplayArrayInTable(Fertiliser_SourceData.Fertiliser_Products_Data1(),FertiliserProducts[[#Headers],[Include or Exclude]], 0,4)</f>
        <v/>
      </c>
      <c r="AD96" s="197" t="str" cm="1">
        <f t="array" ref="AD96">Common_InputFunctions.Utility_DisplayArrayInTable(Fertiliser_SourceData.Fertiliser_Products_Data1(),FertiliserProducts[[#Headers],[Include or Exclude]], 0,4)</f>
        <v/>
      </c>
      <c r="AE96" s="197" t="str" cm="1">
        <f t="array" ref="AE96">Common_InputFunctions.Utility_DisplayArrayInTable(Fertiliser_SourceData.Fertiliser_Products_Data1(),FertiliserProducts[[#Headers],[Include or Exclude]], 0,4)</f>
        <v/>
      </c>
    </row>
    <row r="97" spans="4:31" ht="20.100000000000001" customHeight="1" x14ac:dyDescent="0.25">
      <c r="D97" s="197" t="str" cm="1">
        <f t="array" ref="D97">Common_InputFunctions.Utility_DisplayArrayInTable(Fertiliser_SourceData.Fertiliser_Products_Data1(),FertiliserProducts[[#Headers],[Include or Exclude]], -1)</f>
        <v>Include</v>
      </c>
      <c r="E97" s="197" t="str" cm="1">
        <f t="array" ref="E97">Common_InputFunctions.Utility_DisplayArrayInTable(Fertiliser_SourceData.Fertiliser_Products_Data1(),FertiliserProducts[[#Headers],[Include or Exclude]], 0)</f>
        <v/>
      </c>
      <c r="F97" s="197" t="str" cm="1">
        <f t="array" ref="F97">Common_InputFunctions.Utility_DisplayArrayInTable(Fertiliser_SourceData.Fertiliser_Products_Data1(),FertiliserProducts[[#Headers],[Include or Exclude]], 0)</f>
        <v>Campbells fertilisers Australia</v>
      </c>
      <c r="G97" s="197" t="str" cm="1">
        <f t="array" ref="G97">Common_InputFunctions.Utility_DisplayArrayInTable(Fertiliser_SourceData.Fertiliser_Products_Data1(),FertiliserProducts[[#Headers],[Include or Exclude]], 0)</f>
        <v>Aqua Thio-Complete</v>
      </c>
      <c r="H97" s="197" t="str" cm="1">
        <f t="array" ref="H97">Common_InputFunctions.Utility_DisplayArrayInTable(Fertiliser_SourceData.Fertiliser_Products_Data1(),FertiliserProducts[[#Headers],[Include or Exclude]], 0,4)</f>
        <v>L</v>
      </c>
      <c r="I97" s="197" cm="1">
        <f t="array" ref="I97">Common_InputFunctions.Utility_DisplayArrayInTable(Fertiliser_SourceData.Fertiliser_Products_Data1(),FertiliserProducts[[#Headers],[Include or Exclude]], 0,4)</f>
        <v>1.43</v>
      </c>
      <c r="J97" s="197" t="str" cm="1">
        <f t="array" ref="J97">Common_InputFunctions.Utility_DisplayArrayInTable(Fertiliser_SourceData.Fertiliser_Products_Data1(),FertiliserProducts[[#Headers],[Include or Exclude]], 0,4)</f>
        <v/>
      </c>
      <c r="K97" s="197" t="str" cm="1">
        <f t="array" ref="K97">Common_InputFunctions.Utility_DisplayArrayInTable(Fertiliser_SourceData.Fertiliser_Products_Data1(),FertiliserProducts[[#Headers],[Include or Exclude]], 0,4)</f>
        <v/>
      </c>
      <c r="L97" s="197" t="str" cm="1">
        <f t="array" ref="L97">Common_InputFunctions.Utility_DisplayArrayInTable(Fertiliser_SourceData.Fertiliser_Products_Data1(),FertiliserProducts[[#Headers],[Include or Exclude]], 0,4)</f>
        <v>Potassium - Generic</v>
      </c>
      <c r="M97" s="197" cm="1">
        <f t="array" ref="M97">Common_InputFunctions.Utility_DisplayArrayInTable(Fertiliser_SourceData.Fertiliser_Products_Data1(),FertiliserProducts[[#Headers],[Include or Exclude]], 0,4)</f>
        <v>0.22500000000000001</v>
      </c>
      <c r="N97" s="197" t="str" cm="1">
        <f t="array" ref="N97">Common_InputFunctions.Utility_DisplayArrayInTable(Fertiliser_SourceData.Fertiliser_Products_Data1(),FertiliserProducts[[#Headers],[Include or Exclude]], 0,4)</f>
        <v>Phosphorus - Generic</v>
      </c>
      <c r="O97" s="197" cm="1">
        <f t="array" ref="O97">Common_InputFunctions.Utility_DisplayArrayInTable(Fertiliser_SourceData.Fertiliser_Products_Data1(),FertiliserProducts[[#Headers],[Include or Exclude]], 0,4)</f>
        <v>3.7999999999999999E-2</v>
      </c>
      <c r="P97" s="197" t="str" cm="1">
        <f t="array" ref="P97">Common_InputFunctions.Utility_DisplayArrayInTable(Fertiliser_SourceData.Fertiliser_Products_Data1(),FertiliserProducts[[#Headers],[Include or Exclude]], 0,4)</f>
        <v>Nitrogen - Generic</v>
      </c>
      <c r="Q97" s="197" cm="1">
        <f t="array" ref="Q97">Common_InputFunctions.Utility_DisplayArrayInTable(Fertiliser_SourceData.Fertiliser_Products_Data1(),FertiliserProducts[[#Headers],[Include or Exclude]], 0,4)</f>
        <v>2.5000000000000001E-2</v>
      </c>
      <c r="R97" s="197" t="str" cm="1">
        <f t="array" ref="R97">Common_InputFunctions.Utility_DisplayArrayInTable(Fertiliser_SourceData.Fertiliser_Products_Data1(),FertiliserProducts[[#Headers],[Include or Exclude]], 0,4)</f>
        <v/>
      </c>
      <c r="S97" s="197" t="str" cm="1">
        <f t="array" ref="S97">Common_InputFunctions.Utility_DisplayArrayInTable(Fertiliser_SourceData.Fertiliser_Products_Data1(),FertiliserProducts[[#Headers],[Include or Exclude]], 0,4)</f>
        <v/>
      </c>
      <c r="T97" s="197" t="str" cm="1">
        <f t="array" ref="T97">Common_InputFunctions.Utility_DisplayArrayInTable(Fertiliser_SourceData.Fertiliser_Products_Data1(),FertiliserProducts[[#Headers],[Include or Exclude]], 0,4)</f>
        <v/>
      </c>
      <c r="U97" s="197" t="str" cm="1">
        <f t="array" ref="U97">Common_InputFunctions.Utility_DisplayArrayInTable(Fertiliser_SourceData.Fertiliser_Products_Data1(),FertiliserProducts[[#Headers],[Include or Exclude]], 0,4)</f>
        <v/>
      </c>
      <c r="V97" s="197" t="str" cm="1">
        <f t="array" ref="V97">Common_InputFunctions.Utility_DisplayArrayInTable(Fertiliser_SourceData.Fertiliser_Products_Data1(),FertiliserProducts[[#Headers],[Include or Exclude]], 0,4)</f>
        <v/>
      </c>
      <c r="W97" s="197" t="str" cm="1">
        <f t="array" ref="W97">Common_InputFunctions.Utility_DisplayArrayInTable(Fertiliser_SourceData.Fertiliser_Products_Data1(),FertiliserProducts[[#Headers],[Include or Exclude]], 0,4)</f>
        <v/>
      </c>
      <c r="X97" s="197" t="str" cm="1">
        <f t="array" ref="X97">Common_InputFunctions.Utility_DisplayArrayInTable(Fertiliser_SourceData.Fertiliser_Products_Data1(),FertiliserProducts[[#Headers],[Include or Exclude]], 0,4)</f>
        <v/>
      </c>
      <c r="Y97" s="197" t="str" cm="1">
        <f t="array" ref="Y97">Common_InputFunctions.Utility_DisplayArrayInTable(Fertiliser_SourceData.Fertiliser_Products_Data1(),FertiliserProducts[[#Headers],[Include or Exclude]], 0,4)</f>
        <v/>
      </c>
      <c r="Z97" s="197" t="str" cm="1">
        <f t="array" ref="Z97">Common_InputFunctions.Utility_DisplayArrayInTable(Fertiliser_SourceData.Fertiliser_Products_Data1(),FertiliserProducts[[#Headers],[Include or Exclude]], 0,4)</f>
        <v/>
      </c>
      <c r="AA97" s="197" t="str" cm="1">
        <f t="array" ref="AA97">Common_InputFunctions.Utility_DisplayArrayInTable(Fertiliser_SourceData.Fertiliser_Products_Data1(),FertiliserProducts[[#Headers],[Include or Exclude]], 0,4)</f>
        <v/>
      </c>
      <c r="AB97" s="197" t="str" cm="1">
        <f t="array" ref="AB97">Common_InputFunctions.Utility_DisplayArrayInTable(Fertiliser_SourceData.Fertiliser_Products_Data1(),FertiliserProducts[[#Headers],[Include or Exclude]], 0,4)</f>
        <v/>
      </c>
      <c r="AC97" s="197" t="str" cm="1">
        <f t="array" ref="AC97">Common_InputFunctions.Utility_DisplayArrayInTable(Fertiliser_SourceData.Fertiliser_Products_Data1(),FertiliserProducts[[#Headers],[Include or Exclude]], 0,4)</f>
        <v/>
      </c>
      <c r="AD97" s="197" t="str" cm="1">
        <f t="array" ref="AD97">Common_InputFunctions.Utility_DisplayArrayInTable(Fertiliser_SourceData.Fertiliser_Products_Data1(),FertiliserProducts[[#Headers],[Include or Exclude]], 0,4)</f>
        <v/>
      </c>
      <c r="AE97" s="197" t="str" cm="1">
        <f t="array" ref="AE97">Common_InputFunctions.Utility_DisplayArrayInTable(Fertiliser_SourceData.Fertiliser_Products_Data1(),FertiliserProducts[[#Headers],[Include or Exclude]], 0,4)</f>
        <v/>
      </c>
    </row>
    <row r="98" spans="4:31" ht="20.100000000000001" customHeight="1" x14ac:dyDescent="0.25">
      <c r="D98" s="197" t="str" cm="1">
        <f t="array" ref="D98">Common_InputFunctions.Utility_DisplayArrayInTable(Fertiliser_SourceData.Fertiliser_Products_Data1(),FertiliserProducts[[#Headers],[Include or Exclude]], -1)</f>
        <v>Include</v>
      </c>
      <c r="E98" s="197" t="str" cm="1">
        <f t="array" ref="E98">Common_InputFunctions.Utility_DisplayArrayInTable(Fertiliser_SourceData.Fertiliser_Products_Data1(),FertiliserProducts[[#Headers],[Include or Exclude]], 0)</f>
        <v/>
      </c>
      <c r="F98" s="197" t="str" cm="1">
        <f t="array" ref="F98">Common_InputFunctions.Utility_DisplayArrayInTable(Fertiliser_SourceData.Fertiliser_Products_Data1(),FertiliserProducts[[#Headers],[Include or Exclude]], 0)</f>
        <v>Campbells fertilisers Australia</v>
      </c>
      <c r="G98" s="197" t="str" cm="1">
        <f t="array" ref="G98">Common_InputFunctions.Utility_DisplayArrayInTable(Fertiliser_SourceData.Fertiliser_Products_Data1(),FertiliserProducts[[#Headers],[Include or Exclude]], 0)</f>
        <v>Aqua Thio-Emerge</v>
      </c>
      <c r="H98" s="197" t="str" cm="1">
        <f t="array" ref="H98">Common_InputFunctions.Utility_DisplayArrayInTable(Fertiliser_SourceData.Fertiliser_Products_Data1(),FertiliserProducts[[#Headers],[Include or Exclude]], 0,4)</f>
        <v>L</v>
      </c>
      <c r="I98" s="197" cm="1">
        <f t="array" ref="I98">Common_InputFunctions.Utility_DisplayArrayInTable(Fertiliser_SourceData.Fertiliser_Products_Data1(),FertiliserProducts[[#Headers],[Include or Exclude]], 0,4)</f>
        <v>1.29</v>
      </c>
      <c r="J98" s="197" t="str" cm="1">
        <f t="array" ref="J98">Common_InputFunctions.Utility_DisplayArrayInTable(Fertiliser_SourceData.Fertiliser_Products_Data1(),FertiliserProducts[[#Headers],[Include or Exclude]], 0,4)</f>
        <v/>
      </c>
      <c r="K98" s="197" t="str" cm="1">
        <f t="array" ref="K98">Common_InputFunctions.Utility_DisplayArrayInTable(Fertiliser_SourceData.Fertiliser_Products_Data1(),FertiliserProducts[[#Headers],[Include or Exclude]], 0,4)</f>
        <v/>
      </c>
      <c r="L98" s="197" t="str" cm="1">
        <f t="array" ref="L98">Common_InputFunctions.Utility_DisplayArrayInTable(Fertiliser_SourceData.Fertiliser_Products_Data1(),FertiliserProducts[[#Headers],[Include or Exclude]], 0,4)</f>
        <v>Nitrogen - Generic</v>
      </c>
      <c r="M98" s="197" cm="1">
        <f t="array" ref="M98">Common_InputFunctions.Utility_DisplayArrayInTable(Fertiliser_SourceData.Fertiliser_Products_Data1(),FertiliserProducts[[#Headers],[Include or Exclude]], 0,4)</f>
        <v>0.105</v>
      </c>
      <c r="N98" s="197" t="str" cm="1">
        <f t="array" ref="N98">Common_InputFunctions.Utility_DisplayArrayInTable(Fertiliser_SourceData.Fertiliser_Products_Data1(),FertiliserProducts[[#Headers],[Include or Exclude]], 0,4)</f>
        <v>Phosphorus - Generic</v>
      </c>
      <c r="O98" s="197" cm="1">
        <f t="array" ref="O98">Common_InputFunctions.Utility_DisplayArrayInTable(Fertiliser_SourceData.Fertiliser_Products_Data1(),FertiliserProducts[[#Headers],[Include or Exclude]], 0,4)</f>
        <v>9.4E-2</v>
      </c>
      <c r="P98" s="197" t="str" cm="1">
        <f t="array" ref="P98">Common_InputFunctions.Utility_DisplayArrayInTable(Fertiliser_SourceData.Fertiliser_Products_Data1(),FertiliserProducts[[#Headers],[Include or Exclude]], 0,4)</f>
        <v>Potassium - Generic</v>
      </c>
      <c r="Q98" s="197" cm="1">
        <f t="array" ref="Q98">Common_InputFunctions.Utility_DisplayArrayInTable(Fertiliser_SourceData.Fertiliser_Products_Data1(),FertiliserProducts[[#Headers],[Include or Exclude]], 0,4)</f>
        <v>0.04</v>
      </c>
      <c r="R98" s="197" t="str" cm="1">
        <f t="array" ref="R98">Common_InputFunctions.Utility_DisplayArrayInTable(Fertiliser_SourceData.Fertiliser_Products_Data1(),FertiliserProducts[[#Headers],[Include or Exclude]], 0,4)</f>
        <v>Sulfur - Generic</v>
      </c>
      <c r="S98" s="197" cm="1">
        <f t="array" ref="S98">Common_InputFunctions.Utility_DisplayArrayInTable(Fertiliser_SourceData.Fertiliser_Products_Data1(),FertiliserProducts[[#Headers],[Include or Exclude]], 0,4)</f>
        <v>0.03</v>
      </c>
      <c r="T98" s="197" t="str" cm="1">
        <f t="array" ref="T98">Common_InputFunctions.Utility_DisplayArrayInTable(Fertiliser_SourceData.Fertiliser_Products_Data1(),FertiliserProducts[[#Headers],[Include or Exclude]], 0,4)</f>
        <v/>
      </c>
      <c r="U98" s="197" t="str" cm="1">
        <f t="array" ref="U98">Common_InputFunctions.Utility_DisplayArrayInTable(Fertiliser_SourceData.Fertiliser_Products_Data1(),FertiliserProducts[[#Headers],[Include or Exclude]], 0,4)</f>
        <v/>
      </c>
      <c r="V98" s="197" t="str" cm="1">
        <f t="array" ref="V98">Common_InputFunctions.Utility_DisplayArrayInTable(Fertiliser_SourceData.Fertiliser_Products_Data1(),FertiliserProducts[[#Headers],[Include or Exclude]], 0,4)</f>
        <v/>
      </c>
      <c r="W98" s="197" t="str" cm="1">
        <f t="array" ref="W98">Common_InputFunctions.Utility_DisplayArrayInTable(Fertiliser_SourceData.Fertiliser_Products_Data1(),FertiliserProducts[[#Headers],[Include or Exclude]], 0,4)</f>
        <v/>
      </c>
      <c r="X98" s="197" t="str" cm="1">
        <f t="array" ref="X98">Common_InputFunctions.Utility_DisplayArrayInTable(Fertiliser_SourceData.Fertiliser_Products_Data1(),FertiliserProducts[[#Headers],[Include or Exclude]], 0,4)</f>
        <v/>
      </c>
      <c r="Y98" s="197" t="str" cm="1">
        <f t="array" ref="Y98">Common_InputFunctions.Utility_DisplayArrayInTable(Fertiliser_SourceData.Fertiliser_Products_Data1(),FertiliserProducts[[#Headers],[Include or Exclude]], 0,4)</f>
        <v/>
      </c>
      <c r="Z98" s="197" t="str" cm="1">
        <f t="array" ref="Z98">Common_InputFunctions.Utility_DisplayArrayInTable(Fertiliser_SourceData.Fertiliser_Products_Data1(),FertiliserProducts[[#Headers],[Include or Exclude]], 0,4)</f>
        <v/>
      </c>
      <c r="AA98" s="197" t="str" cm="1">
        <f t="array" ref="AA98">Common_InputFunctions.Utility_DisplayArrayInTable(Fertiliser_SourceData.Fertiliser_Products_Data1(),FertiliserProducts[[#Headers],[Include or Exclude]], 0,4)</f>
        <v/>
      </c>
      <c r="AB98" s="197" t="str" cm="1">
        <f t="array" ref="AB98">Common_InputFunctions.Utility_DisplayArrayInTable(Fertiliser_SourceData.Fertiliser_Products_Data1(),FertiliserProducts[[#Headers],[Include or Exclude]], 0,4)</f>
        <v/>
      </c>
      <c r="AC98" s="197" t="str" cm="1">
        <f t="array" ref="AC98">Common_InputFunctions.Utility_DisplayArrayInTable(Fertiliser_SourceData.Fertiliser_Products_Data1(),FertiliserProducts[[#Headers],[Include or Exclude]], 0,4)</f>
        <v/>
      </c>
      <c r="AD98" s="197" t="str" cm="1">
        <f t="array" ref="AD98">Common_InputFunctions.Utility_DisplayArrayInTable(Fertiliser_SourceData.Fertiliser_Products_Data1(),FertiliserProducts[[#Headers],[Include or Exclude]], 0,4)</f>
        <v/>
      </c>
      <c r="AE98" s="197" t="str" cm="1">
        <f t="array" ref="AE98">Common_InputFunctions.Utility_DisplayArrayInTable(Fertiliser_SourceData.Fertiliser_Products_Data1(),FertiliserProducts[[#Headers],[Include or Exclude]], 0,4)</f>
        <v/>
      </c>
    </row>
    <row r="99" spans="4:31" ht="20.100000000000001" customHeight="1" x14ac:dyDescent="0.25">
      <c r="D99" s="197" t="str" cm="1">
        <f t="array" ref="D99">Common_InputFunctions.Utility_DisplayArrayInTable(Fertiliser_SourceData.Fertiliser_Products_Data1(),FertiliserProducts[[#Headers],[Include or Exclude]], -1)</f>
        <v>Exclude - Not relevant</v>
      </c>
      <c r="E99" s="197" t="str" cm="1">
        <f t="array" ref="E99">Common_InputFunctions.Utility_DisplayArrayInTable(Fertiliser_SourceData.Fertiliser_Products_Data1(),FertiliserProducts[[#Headers],[Include or Exclude]], 0)</f>
        <v/>
      </c>
      <c r="F99" s="197" t="str" cm="1">
        <f t="array" ref="F99">Common_InputFunctions.Utility_DisplayArrayInTable(Fertiliser_SourceData.Fertiliser_Products_Data1(),FertiliserProducts[[#Headers],[Include or Exclude]], 0)</f>
        <v>Campbells fertilisers Australia</v>
      </c>
      <c r="G99" s="197" t="str" cm="1">
        <f t="array" ref="G99">Common_InputFunctions.Utility_DisplayArrayInTable(Fertiliser_SourceData.Fertiliser_Products_Data1(),FertiliserProducts[[#Headers],[Include or Exclude]], 0)</f>
        <v>Aqua Thio-Flourish</v>
      </c>
      <c r="H99" s="197" t="str" cm="1">
        <f t="array" ref="H99">Common_InputFunctions.Utility_DisplayArrayInTable(Fertiliser_SourceData.Fertiliser_Products_Data1(),FertiliserProducts[[#Headers],[Include or Exclude]], 0,4)</f>
        <v>L</v>
      </c>
      <c r="I99" s="197" cm="1">
        <f t="array" ref="I99">Common_InputFunctions.Utility_DisplayArrayInTable(Fertiliser_SourceData.Fertiliser_Products_Data1(),FertiliserProducts[[#Headers],[Include or Exclude]], 0,4)</f>
        <v>1.32</v>
      </c>
      <c r="J99" s="197" t="str" cm="1">
        <f t="array" ref="J99">Common_InputFunctions.Utility_DisplayArrayInTable(Fertiliser_SourceData.Fertiliser_Products_Data1(),FertiliserProducts[[#Headers],[Include or Exclude]], 0,4)</f>
        <v/>
      </c>
      <c r="K99" s="197" t="str" cm="1">
        <f t="array" ref="K99">Common_InputFunctions.Utility_DisplayArrayInTable(Fertiliser_SourceData.Fertiliser_Products_Data1(),FertiliserProducts[[#Headers],[Include or Exclude]], 0,4)</f>
        <v/>
      </c>
      <c r="L99" s="197" t="str" cm="1">
        <f t="array" ref="L99">Common_InputFunctions.Utility_DisplayArrayInTable(Fertiliser_SourceData.Fertiliser_Products_Data1(),FertiliserProducts[[#Headers],[Include or Exclude]], 0,4)</f>
        <v>Potassium - Generic</v>
      </c>
      <c r="M99" s="197" cm="1">
        <f t="array" ref="M99">Common_InputFunctions.Utility_DisplayArrayInTable(Fertiliser_SourceData.Fertiliser_Products_Data1(),FertiliserProducts[[#Headers],[Include or Exclude]], 0,4)</f>
        <v>0.108</v>
      </c>
      <c r="N99" s="197" t="str" cm="1">
        <f t="array" ref="N99">Common_InputFunctions.Utility_DisplayArrayInTable(Fertiliser_SourceData.Fertiliser_Products_Data1(),FertiliserProducts[[#Headers],[Include or Exclude]], 0,4)</f>
        <v>Nitrogen - Generic</v>
      </c>
      <c r="O99" s="197" cm="1">
        <f t="array" ref="O99">Common_InputFunctions.Utility_DisplayArrayInTable(Fertiliser_SourceData.Fertiliser_Products_Data1(),FertiliserProducts[[#Headers],[Include or Exclude]], 0,4)</f>
        <v>9.5000000000000001E-2</v>
      </c>
      <c r="P99" s="197" t="str" cm="1">
        <f t="array" ref="P99">Common_InputFunctions.Utility_DisplayArrayInTable(Fertiliser_SourceData.Fertiliser_Products_Data1(),FertiliserProducts[[#Headers],[Include or Exclude]], 0,4)</f>
        <v>Sulfur - Generic</v>
      </c>
      <c r="Q99" s="197" cm="1">
        <f t="array" ref="Q99">Common_InputFunctions.Utility_DisplayArrayInTable(Fertiliser_SourceData.Fertiliser_Products_Data1(),FertiliserProducts[[#Headers],[Include or Exclude]], 0,4)</f>
        <v>8.1000000000000003E-2</v>
      </c>
      <c r="R99" s="197" t="str" cm="1">
        <f t="array" ref="R99">Common_InputFunctions.Utility_DisplayArrayInTable(Fertiliser_SourceData.Fertiliser_Products_Data1(),FertiliserProducts[[#Headers],[Include or Exclude]], 0,4)</f>
        <v>Phosphorus - Generic</v>
      </c>
      <c r="S99" s="197" cm="1">
        <f t="array" ref="S99">Common_InputFunctions.Utility_DisplayArrayInTable(Fertiliser_SourceData.Fertiliser_Products_Data1(),FertiliserProducts[[#Headers],[Include or Exclude]], 0,4)</f>
        <v>4.7E-2</v>
      </c>
      <c r="T99" s="197" t="str" cm="1">
        <f t="array" ref="T99">Common_InputFunctions.Utility_DisplayArrayInTable(Fertiliser_SourceData.Fertiliser_Products_Data1(),FertiliserProducts[[#Headers],[Include or Exclude]], 0,4)</f>
        <v/>
      </c>
      <c r="U99" s="197" t="str" cm="1">
        <f t="array" ref="U99">Common_InputFunctions.Utility_DisplayArrayInTable(Fertiliser_SourceData.Fertiliser_Products_Data1(),FertiliserProducts[[#Headers],[Include or Exclude]], 0,4)</f>
        <v/>
      </c>
      <c r="V99" s="197" t="str" cm="1">
        <f t="array" ref="V99">Common_InputFunctions.Utility_DisplayArrayInTable(Fertiliser_SourceData.Fertiliser_Products_Data1(),FertiliserProducts[[#Headers],[Include or Exclude]], 0,4)</f>
        <v/>
      </c>
      <c r="W99" s="197" t="str" cm="1">
        <f t="array" ref="W99">Common_InputFunctions.Utility_DisplayArrayInTable(Fertiliser_SourceData.Fertiliser_Products_Data1(),FertiliserProducts[[#Headers],[Include or Exclude]], 0,4)</f>
        <v/>
      </c>
      <c r="X99" s="197" t="str" cm="1">
        <f t="array" ref="X99">Common_InputFunctions.Utility_DisplayArrayInTable(Fertiliser_SourceData.Fertiliser_Products_Data1(),FertiliserProducts[[#Headers],[Include or Exclude]], 0,4)</f>
        <v/>
      </c>
      <c r="Y99" s="197" t="str" cm="1">
        <f t="array" ref="Y99">Common_InputFunctions.Utility_DisplayArrayInTable(Fertiliser_SourceData.Fertiliser_Products_Data1(),FertiliserProducts[[#Headers],[Include or Exclude]], 0,4)</f>
        <v/>
      </c>
      <c r="Z99" s="197" t="str" cm="1">
        <f t="array" ref="Z99">Common_InputFunctions.Utility_DisplayArrayInTable(Fertiliser_SourceData.Fertiliser_Products_Data1(),FertiliserProducts[[#Headers],[Include or Exclude]], 0,4)</f>
        <v/>
      </c>
      <c r="AA99" s="197" t="str" cm="1">
        <f t="array" ref="AA99">Common_InputFunctions.Utility_DisplayArrayInTable(Fertiliser_SourceData.Fertiliser_Products_Data1(),FertiliserProducts[[#Headers],[Include or Exclude]], 0,4)</f>
        <v/>
      </c>
      <c r="AB99" s="197" t="str" cm="1">
        <f t="array" ref="AB99">Common_InputFunctions.Utility_DisplayArrayInTable(Fertiliser_SourceData.Fertiliser_Products_Data1(),FertiliserProducts[[#Headers],[Include or Exclude]], 0,4)</f>
        <v/>
      </c>
      <c r="AC99" s="197" t="str" cm="1">
        <f t="array" ref="AC99">Common_InputFunctions.Utility_DisplayArrayInTable(Fertiliser_SourceData.Fertiliser_Products_Data1(),FertiliserProducts[[#Headers],[Include or Exclude]], 0,4)</f>
        <v/>
      </c>
      <c r="AD99" s="197" t="str" cm="1">
        <f t="array" ref="AD99">Common_InputFunctions.Utility_DisplayArrayInTable(Fertiliser_SourceData.Fertiliser_Products_Data1(),FertiliserProducts[[#Headers],[Include or Exclude]], 0,4)</f>
        <v/>
      </c>
      <c r="AE99" s="197" t="str" cm="1">
        <f t="array" ref="AE99">Common_InputFunctions.Utility_DisplayArrayInTable(Fertiliser_SourceData.Fertiliser_Products_Data1(),FertiliserProducts[[#Headers],[Include or Exclude]], 0,4)</f>
        <v/>
      </c>
    </row>
    <row r="100" spans="4:31" ht="20.100000000000001" customHeight="1" x14ac:dyDescent="0.25">
      <c r="D100" s="197" t="str" cm="1">
        <f t="array" ref="D100">Common_InputFunctions.Utility_DisplayArrayInTable(Fertiliser_SourceData.Fertiliser_Products_Data1(),FertiliserProducts[[#Headers],[Include or Exclude]], -1)</f>
        <v>Exclude - Not relevant</v>
      </c>
      <c r="E100" s="197" t="str" cm="1">
        <f t="array" ref="E100">Common_InputFunctions.Utility_DisplayArrayInTable(Fertiliser_SourceData.Fertiliser_Products_Data1(),FertiliserProducts[[#Headers],[Include or Exclude]], 0)</f>
        <v/>
      </c>
      <c r="F100" s="197" t="str" cm="1">
        <f t="array" ref="F100">Common_InputFunctions.Utility_DisplayArrayInTable(Fertiliser_SourceData.Fertiliser_Products_Data1(),FertiliserProducts[[#Headers],[Include or Exclude]], 0)</f>
        <v>Campbells fertilisers Australia</v>
      </c>
      <c r="G100" s="197" t="str" cm="1">
        <f t="array" ref="G100">Common_InputFunctions.Utility_DisplayArrayInTable(Fertiliser_SourceData.Fertiliser_Products_Data1(),FertiliserProducts[[#Headers],[Include or Exclude]], 0)</f>
        <v>Asco Fol Plus</v>
      </c>
      <c r="H100" s="197" t="str" cm="1">
        <f t="array" ref="H100">Common_InputFunctions.Utility_DisplayArrayInTable(Fertiliser_SourceData.Fertiliser_Products_Data1(),FertiliserProducts[[#Headers],[Include or Exclude]], 0,4)</f>
        <v/>
      </c>
      <c r="I100" s="197" t="str" cm="1">
        <f t="array" ref="I100">Common_InputFunctions.Utility_DisplayArrayInTable(Fertiliser_SourceData.Fertiliser_Products_Data1(),FertiliserProducts[[#Headers],[Include or Exclude]], 0,4)</f>
        <v/>
      </c>
      <c r="J100" s="197" t="str" cm="1">
        <f t="array" ref="J100">Common_InputFunctions.Utility_DisplayArrayInTable(Fertiliser_SourceData.Fertiliser_Products_Data1(),FertiliserProducts[[#Headers],[Include or Exclude]], 0,4)</f>
        <v/>
      </c>
      <c r="K100" s="197" t="str" cm="1">
        <f t="array" ref="K100">Common_InputFunctions.Utility_DisplayArrayInTable(Fertiliser_SourceData.Fertiliser_Products_Data1(),FertiliserProducts[[#Headers],[Include or Exclude]], 0,4)</f>
        <v/>
      </c>
      <c r="L100" s="197" t="str" cm="1">
        <f t="array" ref="L100">Common_InputFunctions.Utility_DisplayArrayInTable(Fertiliser_SourceData.Fertiliser_Products_Data1(),FertiliserProducts[[#Headers],[Include or Exclude]], 0,4)</f>
        <v/>
      </c>
      <c r="M100" s="197" t="str" cm="1">
        <f t="array" ref="M100">Common_InputFunctions.Utility_DisplayArrayInTable(Fertiliser_SourceData.Fertiliser_Products_Data1(),FertiliserProducts[[#Headers],[Include or Exclude]], 0,4)</f>
        <v/>
      </c>
      <c r="N100" s="197" t="str" cm="1">
        <f t="array" ref="N100">Common_InputFunctions.Utility_DisplayArrayInTable(Fertiliser_SourceData.Fertiliser_Products_Data1(),FertiliserProducts[[#Headers],[Include or Exclude]], 0,4)</f>
        <v/>
      </c>
      <c r="O100" s="197" t="str" cm="1">
        <f t="array" ref="O100">Common_InputFunctions.Utility_DisplayArrayInTable(Fertiliser_SourceData.Fertiliser_Products_Data1(),FertiliserProducts[[#Headers],[Include or Exclude]], 0,4)</f>
        <v/>
      </c>
      <c r="P100" s="197" t="str" cm="1">
        <f t="array" ref="P100">Common_InputFunctions.Utility_DisplayArrayInTable(Fertiliser_SourceData.Fertiliser_Products_Data1(),FertiliserProducts[[#Headers],[Include or Exclude]], 0,4)</f>
        <v/>
      </c>
      <c r="Q100" s="197" t="str" cm="1">
        <f t="array" ref="Q100">Common_InputFunctions.Utility_DisplayArrayInTable(Fertiliser_SourceData.Fertiliser_Products_Data1(),FertiliserProducts[[#Headers],[Include or Exclude]], 0,4)</f>
        <v/>
      </c>
      <c r="R100" s="197" t="str" cm="1">
        <f t="array" ref="R100">Common_InputFunctions.Utility_DisplayArrayInTable(Fertiliser_SourceData.Fertiliser_Products_Data1(),FertiliserProducts[[#Headers],[Include or Exclude]], 0,4)</f>
        <v/>
      </c>
      <c r="S100" s="197" t="str" cm="1">
        <f t="array" ref="S100">Common_InputFunctions.Utility_DisplayArrayInTable(Fertiliser_SourceData.Fertiliser_Products_Data1(),FertiliserProducts[[#Headers],[Include or Exclude]], 0,4)</f>
        <v/>
      </c>
      <c r="T100" s="197" t="str" cm="1">
        <f t="array" ref="T100">Common_InputFunctions.Utility_DisplayArrayInTable(Fertiliser_SourceData.Fertiliser_Products_Data1(),FertiliserProducts[[#Headers],[Include or Exclude]], 0,4)</f>
        <v/>
      </c>
      <c r="U100" s="197" t="str" cm="1">
        <f t="array" ref="U100">Common_InputFunctions.Utility_DisplayArrayInTable(Fertiliser_SourceData.Fertiliser_Products_Data1(),FertiliserProducts[[#Headers],[Include or Exclude]], 0,4)</f>
        <v/>
      </c>
      <c r="V100" s="197" t="str" cm="1">
        <f t="array" ref="V100">Common_InputFunctions.Utility_DisplayArrayInTable(Fertiliser_SourceData.Fertiliser_Products_Data1(),FertiliserProducts[[#Headers],[Include or Exclude]], 0,4)</f>
        <v/>
      </c>
      <c r="W100" s="197" t="str" cm="1">
        <f t="array" ref="W100">Common_InputFunctions.Utility_DisplayArrayInTable(Fertiliser_SourceData.Fertiliser_Products_Data1(),FertiliserProducts[[#Headers],[Include or Exclude]], 0,4)</f>
        <v/>
      </c>
      <c r="X100" s="197" t="str" cm="1">
        <f t="array" ref="X100">Common_InputFunctions.Utility_DisplayArrayInTable(Fertiliser_SourceData.Fertiliser_Products_Data1(),FertiliserProducts[[#Headers],[Include or Exclude]], 0,4)</f>
        <v/>
      </c>
      <c r="Y100" s="197" t="str" cm="1">
        <f t="array" ref="Y100">Common_InputFunctions.Utility_DisplayArrayInTable(Fertiliser_SourceData.Fertiliser_Products_Data1(),FertiliserProducts[[#Headers],[Include or Exclude]], 0,4)</f>
        <v/>
      </c>
      <c r="Z100" s="197" t="str" cm="1">
        <f t="array" ref="Z100">Common_InputFunctions.Utility_DisplayArrayInTable(Fertiliser_SourceData.Fertiliser_Products_Data1(),FertiliserProducts[[#Headers],[Include or Exclude]], 0,4)</f>
        <v/>
      </c>
      <c r="AA100" s="197" t="str" cm="1">
        <f t="array" ref="AA100">Common_InputFunctions.Utility_DisplayArrayInTable(Fertiliser_SourceData.Fertiliser_Products_Data1(),FertiliserProducts[[#Headers],[Include or Exclude]], 0,4)</f>
        <v/>
      </c>
      <c r="AB100" s="197" t="str" cm="1">
        <f t="array" ref="AB100">Common_InputFunctions.Utility_DisplayArrayInTable(Fertiliser_SourceData.Fertiliser_Products_Data1(),FertiliserProducts[[#Headers],[Include or Exclude]], 0,4)</f>
        <v/>
      </c>
      <c r="AC100" s="197" t="str" cm="1">
        <f t="array" ref="AC100">Common_InputFunctions.Utility_DisplayArrayInTable(Fertiliser_SourceData.Fertiliser_Products_Data1(),FertiliserProducts[[#Headers],[Include or Exclude]], 0,4)</f>
        <v/>
      </c>
      <c r="AD100" s="197" t="str" cm="1">
        <f t="array" ref="AD100">Common_InputFunctions.Utility_DisplayArrayInTable(Fertiliser_SourceData.Fertiliser_Products_Data1(),FertiliserProducts[[#Headers],[Include or Exclude]], 0,4)</f>
        <v/>
      </c>
      <c r="AE100" s="197" t="str" cm="1">
        <f t="array" ref="AE100">Common_InputFunctions.Utility_DisplayArrayInTable(Fertiliser_SourceData.Fertiliser_Products_Data1(),FertiliserProducts[[#Headers],[Include or Exclude]], 0,4)</f>
        <v/>
      </c>
    </row>
    <row r="101" spans="4:31" ht="20.100000000000001" customHeight="1" x14ac:dyDescent="0.25">
      <c r="D101" s="197" t="str" cm="1">
        <f t="array" ref="D101">Common_InputFunctions.Utility_DisplayArrayInTable(Fertiliser_SourceData.Fertiliser_Products_Data1(),FertiliserProducts[[#Headers],[Include or Exclude]], -1)</f>
        <v>Exclude - Not relevant</v>
      </c>
      <c r="E101" s="197" t="str" cm="1">
        <f t="array" ref="E101">Common_InputFunctions.Utility_DisplayArrayInTable(Fertiliser_SourceData.Fertiliser_Products_Data1(),FertiliserProducts[[#Headers],[Include or Exclude]], 0)</f>
        <v/>
      </c>
      <c r="F101" s="197" t="str" cm="1">
        <f t="array" ref="F101">Common_InputFunctions.Utility_DisplayArrayInTable(Fertiliser_SourceData.Fertiliser_Products_Data1(),FertiliserProducts[[#Headers],[Include or Exclude]], 0)</f>
        <v>Campbells fertilisers Australia</v>
      </c>
      <c r="G101" s="197" t="str" cm="1">
        <f t="array" ref="G101">Common_InputFunctions.Utility_DisplayArrayInTable(Fertiliser_SourceData.Fertiliser_Products_Data1(),FertiliserProducts[[#Headers],[Include or Exclude]], 0)</f>
        <v>Asco Plus</v>
      </c>
      <c r="H101" s="197" t="str" cm="1">
        <f t="array" ref="H101">Common_InputFunctions.Utility_DisplayArrayInTable(Fertiliser_SourceData.Fertiliser_Products_Data1(),FertiliserProducts[[#Headers],[Include or Exclude]], 0,4)</f>
        <v/>
      </c>
      <c r="I101" s="197" t="str" cm="1">
        <f t="array" ref="I101">Common_InputFunctions.Utility_DisplayArrayInTable(Fertiliser_SourceData.Fertiliser_Products_Data1(),FertiliserProducts[[#Headers],[Include or Exclude]], 0,4)</f>
        <v/>
      </c>
      <c r="J101" s="197" t="str" cm="1">
        <f t="array" ref="J101">Common_InputFunctions.Utility_DisplayArrayInTable(Fertiliser_SourceData.Fertiliser_Products_Data1(),FertiliserProducts[[#Headers],[Include or Exclude]], 0,4)</f>
        <v/>
      </c>
      <c r="K101" s="197" t="str" cm="1">
        <f t="array" ref="K101">Common_InputFunctions.Utility_DisplayArrayInTable(Fertiliser_SourceData.Fertiliser_Products_Data1(),FertiliserProducts[[#Headers],[Include or Exclude]], 0,4)</f>
        <v/>
      </c>
      <c r="L101" s="197" t="str" cm="1">
        <f t="array" ref="L101">Common_InputFunctions.Utility_DisplayArrayInTable(Fertiliser_SourceData.Fertiliser_Products_Data1(),FertiliserProducts[[#Headers],[Include or Exclude]], 0,4)</f>
        <v/>
      </c>
      <c r="M101" s="197" t="str" cm="1">
        <f t="array" ref="M101">Common_InputFunctions.Utility_DisplayArrayInTable(Fertiliser_SourceData.Fertiliser_Products_Data1(),FertiliserProducts[[#Headers],[Include or Exclude]], 0,4)</f>
        <v/>
      </c>
      <c r="N101" s="197" t="str" cm="1">
        <f t="array" ref="N101">Common_InputFunctions.Utility_DisplayArrayInTable(Fertiliser_SourceData.Fertiliser_Products_Data1(),FertiliserProducts[[#Headers],[Include or Exclude]], 0,4)</f>
        <v/>
      </c>
      <c r="O101" s="197" t="str" cm="1">
        <f t="array" ref="O101">Common_InputFunctions.Utility_DisplayArrayInTable(Fertiliser_SourceData.Fertiliser_Products_Data1(),FertiliserProducts[[#Headers],[Include or Exclude]], 0,4)</f>
        <v/>
      </c>
      <c r="P101" s="197" t="str" cm="1">
        <f t="array" ref="P101">Common_InputFunctions.Utility_DisplayArrayInTable(Fertiliser_SourceData.Fertiliser_Products_Data1(),FertiliserProducts[[#Headers],[Include or Exclude]], 0,4)</f>
        <v/>
      </c>
      <c r="Q101" s="197" t="str" cm="1">
        <f t="array" ref="Q101">Common_InputFunctions.Utility_DisplayArrayInTable(Fertiliser_SourceData.Fertiliser_Products_Data1(),FertiliserProducts[[#Headers],[Include or Exclude]], 0,4)</f>
        <v/>
      </c>
      <c r="R101" s="197" t="str" cm="1">
        <f t="array" ref="R101">Common_InputFunctions.Utility_DisplayArrayInTable(Fertiliser_SourceData.Fertiliser_Products_Data1(),FertiliserProducts[[#Headers],[Include or Exclude]], 0,4)</f>
        <v/>
      </c>
      <c r="S101" s="197" t="str" cm="1">
        <f t="array" ref="S101">Common_InputFunctions.Utility_DisplayArrayInTable(Fertiliser_SourceData.Fertiliser_Products_Data1(),FertiliserProducts[[#Headers],[Include or Exclude]], 0,4)</f>
        <v/>
      </c>
      <c r="T101" s="197" t="str" cm="1">
        <f t="array" ref="T101">Common_InputFunctions.Utility_DisplayArrayInTable(Fertiliser_SourceData.Fertiliser_Products_Data1(),FertiliserProducts[[#Headers],[Include or Exclude]], 0,4)</f>
        <v/>
      </c>
      <c r="U101" s="197" t="str" cm="1">
        <f t="array" ref="U101">Common_InputFunctions.Utility_DisplayArrayInTable(Fertiliser_SourceData.Fertiliser_Products_Data1(),FertiliserProducts[[#Headers],[Include or Exclude]], 0,4)</f>
        <v/>
      </c>
      <c r="V101" s="197" t="str" cm="1">
        <f t="array" ref="V101">Common_InputFunctions.Utility_DisplayArrayInTable(Fertiliser_SourceData.Fertiliser_Products_Data1(),FertiliserProducts[[#Headers],[Include or Exclude]], 0,4)</f>
        <v/>
      </c>
      <c r="W101" s="197" t="str" cm="1">
        <f t="array" ref="W101">Common_InputFunctions.Utility_DisplayArrayInTable(Fertiliser_SourceData.Fertiliser_Products_Data1(),FertiliserProducts[[#Headers],[Include or Exclude]], 0,4)</f>
        <v/>
      </c>
      <c r="X101" s="197" t="str" cm="1">
        <f t="array" ref="X101">Common_InputFunctions.Utility_DisplayArrayInTable(Fertiliser_SourceData.Fertiliser_Products_Data1(),FertiliserProducts[[#Headers],[Include or Exclude]], 0,4)</f>
        <v/>
      </c>
      <c r="Y101" s="197" t="str" cm="1">
        <f t="array" ref="Y101">Common_InputFunctions.Utility_DisplayArrayInTable(Fertiliser_SourceData.Fertiliser_Products_Data1(),FertiliserProducts[[#Headers],[Include or Exclude]], 0,4)</f>
        <v/>
      </c>
      <c r="Z101" s="197" t="str" cm="1">
        <f t="array" ref="Z101">Common_InputFunctions.Utility_DisplayArrayInTable(Fertiliser_SourceData.Fertiliser_Products_Data1(),FertiliserProducts[[#Headers],[Include or Exclude]], 0,4)</f>
        <v/>
      </c>
      <c r="AA101" s="197" t="str" cm="1">
        <f t="array" ref="AA101">Common_InputFunctions.Utility_DisplayArrayInTable(Fertiliser_SourceData.Fertiliser_Products_Data1(),FertiliserProducts[[#Headers],[Include or Exclude]], 0,4)</f>
        <v/>
      </c>
      <c r="AB101" s="197" t="str" cm="1">
        <f t="array" ref="AB101">Common_InputFunctions.Utility_DisplayArrayInTable(Fertiliser_SourceData.Fertiliser_Products_Data1(),FertiliserProducts[[#Headers],[Include or Exclude]], 0,4)</f>
        <v/>
      </c>
      <c r="AC101" s="197" t="str" cm="1">
        <f t="array" ref="AC101">Common_InputFunctions.Utility_DisplayArrayInTable(Fertiliser_SourceData.Fertiliser_Products_Data1(),FertiliserProducts[[#Headers],[Include or Exclude]], 0,4)</f>
        <v/>
      </c>
      <c r="AD101" s="197" t="str" cm="1">
        <f t="array" ref="AD101">Common_InputFunctions.Utility_DisplayArrayInTable(Fertiliser_SourceData.Fertiliser_Products_Data1(),FertiliserProducts[[#Headers],[Include or Exclude]], 0,4)</f>
        <v/>
      </c>
      <c r="AE101" s="197" t="str" cm="1">
        <f t="array" ref="AE101">Common_InputFunctions.Utility_DisplayArrayInTable(Fertiliser_SourceData.Fertiliser_Products_Data1(),FertiliserProducts[[#Headers],[Include or Exclude]], 0,4)</f>
        <v/>
      </c>
    </row>
    <row r="102" spans="4:31" ht="20.100000000000001" customHeight="1" x14ac:dyDescent="0.25">
      <c r="D102" s="197" t="str" cm="1">
        <f t="array" ref="D102">Common_InputFunctions.Utility_DisplayArrayInTable(Fertiliser_SourceData.Fertiliser_Products_Data1(),FertiliserProducts[[#Headers],[Include or Exclude]], -1)</f>
        <v>Exclude - Not relevant</v>
      </c>
      <c r="E102" s="197" t="str" cm="1">
        <f t="array" ref="E102">Common_InputFunctions.Utility_DisplayArrayInTable(Fertiliser_SourceData.Fertiliser_Products_Data1(),FertiliserProducts[[#Headers],[Include or Exclude]], 0)</f>
        <v/>
      </c>
      <c r="F102" s="197" t="str" cm="1">
        <f t="array" ref="F102">Common_InputFunctions.Utility_DisplayArrayInTable(Fertiliser_SourceData.Fertiliser_Products_Data1(),FertiliserProducts[[#Headers],[Include or Exclude]], 0)</f>
        <v>Campbells fertilisers Australia</v>
      </c>
      <c r="G102" s="197" t="str" cm="1">
        <f t="array" ref="G102">Common_InputFunctions.Utility_DisplayArrayInTable(Fertiliser_SourceData.Fertiliser_Products_Data1(),FertiliserProducts[[#Headers],[Include or Exclude]], 0)</f>
        <v>Asco Rhizo Plus</v>
      </c>
      <c r="H102" s="197" t="str" cm="1">
        <f t="array" ref="H102">Common_InputFunctions.Utility_DisplayArrayInTable(Fertiliser_SourceData.Fertiliser_Products_Data1(),FertiliserProducts[[#Headers],[Include or Exclude]], 0,4)</f>
        <v/>
      </c>
      <c r="I102" s="197" t="str" cm="1">
        <f t="array" ref="I102">Common_InputFunctions.Utility_DisplayArrayInTable(Fertiliser_SourceData.Fertiliser_Products_Data1(),FertiliserProducts[[#Headers],[Include or Exclude]], 0,4)</f>
        <v/>
      </c>
      <c r="J102" s="197" t="str" cm="1">
        <f t="array" ref="J102">Common_InputFunctions.Utility_DisplayArrayInTable(Fertiliser_SourceData.Fertiliser_Products_Data1(),FertiliserProducts[[#Headers],[Include or Exclude]], 0,4)</f>
        <v/>
      </c>
      <c r="K102" s="197" t="str" cm="1">
        <f t="array" ref="K102">Common_InputFunctions.Utility_DisplayArrayInTable(Fertiliser_SourceData.Fertiliser_Products_Data1(),FertiliserProducts[[#Headers],[Include or Exclude]], 0,4)</f>
        <v/>
      </c>
      <c r="L102" s="197" t="str" cm="1">
        <f t="array" ref="L102">Common_InputFunctions.Utility_DisplayArrayInTable(Fertiliser_SourceData.Fertiliser_Products_Data1(),FertiliserProducts[[#Headers],[Include or Exclude]], 0,4)</f>
        <v/>
      </c>
      <c r="M102" s="197" t="str" cm="1">
        <f t="array" ref="M102">Common_InputFunctions.Utility_DisplayArrayInTable(Fertiliser_SourceData.Fertiliser_Products_Data1(),FertiliserProducts[[#Headers],[Include or Exclude]], 0,4)</f>
        <v/>
      </c>
      <c r="N102" s="197" t="str" cm="1">
        <f t="array" ref="N102">Common_InputFunctions.Utility_DisplayArrayInTable(Fertiliser_SourceData.Fertiliser_Products_Data1(),FertiliserProducts[[#Headers],[Include or Exclude]], 0,4)</f>
        <v/>
      </c>
      <c r="O102" s="197" t="str" cm="1">
        <f t="array" ref="O102">Common_InputFunctions.Utility_DisplayArrayInTable(Fertiliser_SourceData.Fertiliser_Products_Data1(),FertiliserProducts[[#Headers],[Include or Exclude]], 0,4)</f>
        <v/>
      </c>
      <c r="P102" s="197" t="str" cm="1">
        <f t="array" ref="P102">Common_InputFunctions.Utility_DisplayArrayInTable(Fertiliser_SourceData.Fertiliser_Products_Data1(),FertiliserProducts[[#Headers],[Include or Exclude]], 0,4)</f>
        <v/>
      </c>
      <c r="Q102" s="197" t="str" cm="1">
        <f t="array" ref="Q102">Common_InputFunctions.Utility_DisplayArrayInTable(Fertiliser_SourceData.Fertiliser_Products_Data1(),FertiliserProducts[[#Headers],[Include or Exclude]], 0,4)</f>
        <v/>
      </c>
      <c r="R102" s="197" t="str" cm="1">
        <f t="array" ref="R102">Common_InputFunctions.Utility_DisplayArrayInTable(Fertiliser_SourceData.Fertiliser_Products_Data1(),FertiliserProducts[[#Headers],[Include or Exclude]], 0,4)</f>
        <v/>
      </c>
      <c r="S102" s="197" t="str" cm="1">
        <f t="array" ref="S102">Common_InputFunctions.Utility_DisplayArrayInTable(Fertiliser_SourceData.Fertiliser_Products_Data1(),FertiliserProducts[[#Headers],[Include or Exclude]], 0,4)</f>
        <v/>
      </c>
      <c r="T102" s="197" t="str" cm="1">
        <f t="array" ref="T102">Common_InputFunctions.Utility_DisplayArrayInTable(Fertiliser_SourceData.Fertiliser_Products_Data1(),FertiliserProducts[[#Headers],[Include or Exclude]], 0,4)</f>
        <v/>
      </c>
      <c r="U102" s="197" t="str" cm="1">
        <f t="array" ref="U102">Common_InputFunctions.Utility_DisplayArrayInTable(Fertiliser_SourceData.Fertiliser_Products_Data1(),FertiliserProducts[[#Headers],[Include or Exclude]], 0,4)</f>
        <v/>
      </c>
      <c r="V102" s="197" t="str" cm="1">
        <f t="array" ref="V102">Common_InputFunctions.Utility_DisplayArrayInTable(Fertiliser_SourceData.Fertiliser_Products_Data1(),FertiliserProducts[[#Headers],[Include or Exclude]], 0,4)</f>
        <v/>
      </c>
      <c r="W102" s="197" t="str" cm="1">
        <f t="array" ref="W102">Common_InputFunctions.Utility_DisplayArrayInTable(Fertiliser_SourceData.Fertiliser_Products_Data1(),FertiliserProducts[[#Headers],[Include or Exclude]], 0,4)</f>
        <v/>
      </c>
      <c r="X102" s="197" t="str" cm="1">
        <f t="array" ref="X102">Common_InputFunctions.Utility_DisplayArrayInTable(Fertiliser_SourceData.Fertiliser_Products_Data1(),FertiliserProducts[[#Headers],[Include or Exclude]], 0,4)</f>
        <v/>
      </c>
      <c r="Y102" s="197" t="str" cm="1">
        <f t="array" ref="Y102">Common_InputFunctions.Utility_DisplayArrayInTable(Fertiliser_SourceData.Fertiliser_Products_Data1(),FertiliserProducts[[#Headers],[Include or Exclude]], 0,4)</f>
        <v/>
      </c>
      <c r="Z102" s="197" t="str" cm="1">
        <f t="array" ref="Z102">Common_InputFunctions.Utility_DisplayArrayInTable(Fertiliser_SourceData.Fertiliser_Products_Data1(),FertiliserProducts[[#Headers],[Include or Exclude]], 0,4)</f>
        <v/>
      </c>
      <c r="AA102" s="197" t="str" cm="1">
        <f t="array" ref="AA102">Common_InputFunctions.Utility_DisplayArrayInTable(Fertiliser_SourceData.Fertiliser_Products_Data1(),FertiliserProducts[[#Headers],[Include or Exclude]], 0,4)</f>
        <v/>
      </c>
      <c r="AB102" s="197" t="str" cm="1">
        <f t="array" ref="AB102">Common_InputFunctions.Utility_DisplayArrayInTable(Fertiliser_SourceData.Fertiliser_Products_Data1(),FertiliserProducts[[#Headers],[Include or Exclude]], 0,4)</f>
        <v/>
      </c>
      <c r="AC102" s="197" t="str" cm="1">
        <f t="array" ref="AC102">Common_InputFunctions.Utility_DisplayArrayInTable(Fertiliser_SourceData.Fertiliser_Products_Data1(),FertiliserProducts[[#Headers],[Include or Exclude]], 0,4)</f>
        <v/>
      </c>
      <c r="AD102" s="197" t="str" cm="1">
        <f t="array" ref="AD102">Common_InputFunctions.Utility_DisplayArrayInTable(Fertiliser_SourceData.Fertiliser_Products_Data1(),FertiliserProducts[[#Headers],[Include or Exclude]], 0,4)</f>
        <v/>
      </c>
      <c r="AE102" s="197" t="str" cm="1">
        <f t="array" ref="AE102">Common_InputFunctions.Utility_DisplayArrayInTable(Fertiliser_SourceData.Fertiliser_Products_Data1(),FertiliserProducts[[#Headers],[Include or Exclude]], 0,4)</f>
        <v/>
      </c>
    </row>
    <row r="103" spans="4:31" ht="20.100000000000001" customHeight="1" x14ac:dyDescent="0.25">
      <c r="D103" s="197" t="str" cm="1">
        <f t="array" ref="D103">Common_InputFunctions.Utility_DisplayArrayInTable(Fertiliser_SourceData.Fertiliser_Products_Data1(),FertiliserProducts[[#Headers],[Include or Exclude]], -1)</f>
        <v>Include - Absent ingredients &lt; 2%</v>
      </c>
      <c r="E103" s="197" t="str" cm="1">
        <f t="array" ref="E103">Common_InputFunctions.Utility_DisplayArrayInTable(Fertiliser_SourceData.Fertiliser_Products_Data1(),FertiliserProducts[[#Headers],[Include or Exclude]], 0)</f>
        <v/>
      </c>
      <c r="F103" s="197" t="str" cm="1">
        <f t="array" ref="F103">Common_InputFunctions.Utility_DisplayArrayInTable(Fertiliser_SourceData.Fertiliser_Products_Data1(),FertiliserProducts[[#Headers],[Include or Exclude]], 0)</f>
        <v>Campbells fertilisers Australia</v>
      </c>
      <c r="G103" s="197" t="str" cm="1">
        <f t="array" ref="G103">Common_InputFunctions.Utility_DisplayArrayInTable(Fertiliser_SourceData.Fertiliser_Products_Data1(),FertiliserProducts[[#Headers],[Include or Exclude]], 0)</f>
        <v>Benefit PZ</v>
      </c>
      <c r="H103" s="197" t="str" cm="1">
        <f t="array" ref="H103">Common_InputFunctions.Utility_DisplayArrayInTable(Fertiliser_SourceData.Fertiliser_Products_Data1(),FertiliserProducts[[#Headers],[Include or Exclude]], 0,4)</f>
        <v/>
      </c>
      <c r="I103" s="197" t="str" cm="1">
        <f t="array" ref="I103">Common_InputFunctions.Utility_DisplayArrayInTable(Fertiliser_SourceData.Fertiliser_Products_Data1(),FertiliserProducts[[#Headers],[Include or Exclude]], 0,4)</f>
        <v/>
      </c>
      <c r="J103" s="197" t="str" cm="1">
        <f t="array" ref="J103">Common_InputFunctions.Utility_DisplayArrayInTable(Fertiliser_SourceData.Fertiliser_Products_Data1(),FertiliserProducts[[#Headers],[Include or Exclude]], 0,4)</f>
        <v/>
      </c>
      <c r="K103" s="197" t="str" cm="1">
        <f t="array" ref="K103">Common_InputFunctions.Utility_DisplayArrayInTable(Fertiliser_SourceData.Fertiliser_Products_Data1(),FertiliserProducts[[#Headers],[Include or Exclude]], 0,4)</f>
        <v/>
      </c>
      <c r="L103" s="197" t="str" cm="1">
        <f t="array" ref="L103">Common_InputFunctions.Utility_DisplayArrayInTable(Fertiliser_SourceData.Fertiliser_Products_Data1(),FertiliserProducts[[#Headers],[Include or Exclude]], 0,4)</f>
        <v/>
      </c>
      <c r="M103" s="197" t="str" cm="1">
        <f t="array" ref="M103">Common_InputFunctions.Utility_DisplayArrayInTable(Fertiliser_SourceData.Fertiliser_Products_Data1(),FertiliserProducts[[#Headers],[Include or Exclude]], 0,4)</f>
        <v/>
      </c>
      <c r="N103" s="197" t="str" cm="1">
        <f t="array" ref="N103">Common_InputFunctions.Utility_DisplayArrayInTable(Fertiliser_SourceData.Fertiliser_Products_Data1(),FertiliserProducts[[#Headers],[Include or Exclude]], 0,4)</f>
        <v/>
      </c>
      <c r="O103" s="197" t="str" cm="1">
        <f t="array" ref="O103">Common_InputFunctions.Utility_DisplayArrayInTable(Fertiliser_SourceData.Fertiliser_Products_Data1(),FertiliserProducts[[#Headers],[Include or Exclude]], 0,4)</f>
        <v/>
      </c>
      <c r="P103" s="197" t="str" cm="1">
        <f t="array" ref="P103">Common_InputFunctions.Utility_DisplayArrayInTable(Fertiliser_SourceData.Fertiliser_Products_Data1(),FertiliserProducts[[#Headers],[Include or Exclude]], 0,4)</f>
        <v/>
      </c>
      <c r="Q103" s="197" t="str" cm="1">
        <f t="array" ref="Q103">Common_InputFunctions.Utility_DisplayArrayInTable(Fertiliser_SourceData.Fertiliser_Products_Data1(),FertiliserProducts[[#Headers],[Include or Exclude]], 0,4)</f>
        <v/>
      </c>
      <c r="R103" s="197" t="str" cm="1">
        <f t="array" ref="R103">Common_InputFunctions.Utility_DisplayArrayInTable(Fertiliser_SourceData.Fertiliser_Products_Data1(),FertiliserProducts[[#Headers],[Include or Exclude]], 0,4)</f>
        <v/>
      </c>
      <c r="S103" s="197" t="str" cm="1">
        <f t="array" ref="S103">Common_InputFunctions.Utility_DisplayArrayInTable(Fertiliser_SourceData.Fertiliser_Products_Data1(),FertiliserProducts[[#Headers],[Include or Exclude]], 0,4)</f>
        <v/>
      </c>
      <c r="T103" s="197" t="str" cm="1">
        <f t="array" ref="T103">Common_InputFunctions.Utility_DisplayArrayInTable(Fertiliser_SourceData.Fertiliser_Products_Data1(),FertiliserProducts[[#Headers],[Include or Exclude]], 0,4)</f>
        <v/>
      </c>
      <c r="U103" s="197" t="str" cm="1">
        <f t="array" ref="U103">Common_InputFunctions.Utility_DisplayArrayInTable(Fertiliser_SourceData.Fertiliser_Products_Data1(),FertiliserProducts[[#Headers],[Include or Exclude]], 0,4)</f>
        <v/>
      </c>
      <c r="V103" s="197" t="str" cm="1">
        <f t="array" ref="V103">Common_InputFunctions.Utility_DisplayArrayInTable(Fertiliser_SourceData.Fertiliser_Products_Data1(),FertiliserProducts[[#Headers],[Include or Exclude]], 0,4)</f>
        <v/>
      </c>
      <c r="W103" s="197" t="str" cm="1">
        <f t="array" ref="W103">Common_InputFunctions.Utility_DisplayArrayInTable(Fertiliser_SourceData.Fertiliser_Products_Data1(),FertiliserProducts[[#Headers],[Include or Exclude]], 0,4)</f>
        <v/>
      </c>
      <c r="X103" s="197" t="str" cm="1">
        <f t="array" ref="X103">Common_InputFunctions.Utility_DisplayArrayInTable(Fertiliser_SourceData.Fertiliser_Products_Data1(),FertiliserProducts[[#Headers],[Include or Exclude]], 0,4)</f>
        <v/>
      </c>
      <c r="Y103" s="197" t="str" cm="1">
        <f t="array" ref="Y103">Common_InputFunctions.Utility_DisplayArrayInTable(Fertiliser_SourceData.Fertiliser_Products_Data1(),FertiliserProducts[[#Headers],[Include or Exclude]], 0,4)</f>
        <v/>
      </c>
      <c r="Z103" s="197" t="str" cm="1">
        <f t="array" ref="Z103">Common_InputFunctions.Utility_DisplayArrayInTable(Fertiliser_SourceData.Fertiliser_Products_Data1(),FertiliserProducts[[#Headers],[Include or Exclude]], 0,4)</f>
        <v/>
      </c>
      <c r="AA103" s="197" t="str" cm="1">
        <f t="array" ref="AA103">Common_InputFunctions.Utility_DisplayArrayInTable(Fertiliser_SourceData.Fertiliser_Products_Data1(),FertiliserProducts[[#Headers],[Include or Exclude]], 0,4)</f>
        <v/>
      </c>
      <c r="AB103" s="197" t="str" cm="1">
        <f t="array" ref="AB103">Common_InputFunctions.Utility_DisplayArrayInTable(Fertiliser_SourceData.Fertiliser_Products_Data1(),FertiliserProducts[[#Headers],[Include or Exclude]], 0,4)</f>
        <v/>
      </c>
      <c r="AC103" s="197" t="str" cm="1">
        <f t="array" ref="AC103">Common_InputFunctions.Utility_DisplayArrayInTable(Fertiliser_SourceData.Fertiliser_Products_Data1(),FertiliserProducts[[#Headers],[Include or Exclude]], 0,4)</f>
        <v/>
      </c>
      <c r="AD103" s="197" t="str" cm="1">
        <f t="array" ref="AD103">Common_InputFunctions.Utility_DisplayArrayInTable(Fertiliser_SourceData.Fertiliser_Products_Data1(),FertiliserProducts[[#Headers],[Include or Exclude]], 0,4)</f>
        <v/>
      </c>
      <c r="AE103" s="197" t="str" cm="1">
        <f t="array" ref="AE103">Common_InputFunctions.Utility_DisplayArrayInTable(Fertiliser_SourceData.Fertiliser_Products_Data1(),FertiliserProducts[[#Headers],[Include or Exclude]], 0,4)</f>
        <v/>
      </c>
    </row>
    <row r="104" spans="4:31" ht="20.100000000000001" customHeight="1" x14ac:dyDescent="0.25">
      <c r="D104" s="197" t="str" cm="1">
        <f t="array" ref="D104">Common_InputFunctions.Utility_DisplayArrayInTable(Fertiliser_SourceData.Fertiliser_Products_Data1(),FertiliserProducts[[#Headers],[Include or Exclude]], -1)</f>
        <v>Exclude - Not relevant</v>
      </c>
      <c r="E104" s="197" t="str" cm="1">
        <f t="array" ref="E104">Common_InputFunctions.Utility_DisplayArrayInTable(Fertiliser_SourceData.Fertiliser_Products_Data1(),FertiliserProducts[[#Headers],[Include or Exclude]], 0)</f>
        <v>Amount of urea calculated from urea nitrogen amount</v>
      </c>
      <c r="F104" s="197" t="str" cm="1">
        <f t="array" ref="F104">Common_InputFunctions.Utility_DisplayArrayInTable(Fertiliser_SourceData.Fertiliser_Products_Data1(),FertiliserProducts[[#Headers],[Include or Exclude]], 0)</f>
        <v>Campbells fertilisers Australia</v>
      </c>
      <c r="G104" s="197" t="str" cm="1">
        <f t="array" ref="G104">Common_InputFunctions.Utility_DisplayArrayInTable(Fertiliser_SourceData.Fertiliser_Products_Data1(),FertiliserProducts[[#Headers],[Include or Exclude]], 0)</f>
        <v>Boost-It</v>
      </c>
      <c r="H104" s="197" t="str" cm="1">
        <f t="array" ref="H104">Common_InputFunctions.Utility_DisplayArrayInTable(Fertiliser_SourceData.Fertiliser_Products_Data1(),FertiliserProducts[[#Headers],[Include or Exclude]], 0,4)</f>
        <v>kg</v>
      </c>
      <c r="I104" s="197" cm="1">
        <f t="array" ref="I104">Common_InputFunctions.Utility_DisplayArrayInTable(Fertiliser_SourceData.Fertiliser_Products_Data1(),FertiliserProducts[[#Headers],[Include or Exclude]], 0,4)</f>
        <v>1</v>
      </c>
      <c r="J104" s="197" t="str" cm="1">
        <f t="array" ref="J104">Common_InputFunctions.Utility_DisplayArrayInTable(Fertiliser_SourceData.Fertiliser_Products_Data1(),FertiliserProducts[[#Headers],[Include or Exclude]], 0,4)</f>
        <v/>
      </c>
      <c r="K104" s="197" t="str" cm="1">
        <f t="array" ref="K104">Common_InputFunctions.Utility_DisplayArrayInTable(Fertiliser_SourceData.Fertiliser_Products_Data1(),FertiliserProducts[[#Headers],[Include or Exclude]], 0,4)</f>
        <v/>
      </c>
      <c r="L104" s="197" t="str" cm="1">
        <f t="array" ref="L104">Common_InputFunctions.Utility_DisplayArrayInTable(Fertiliser_SourceData.Fertiliser_Products_Data1(),FertiliserProducts[[#Headers],[Include or Exclude]], 0,4)</f>
        <v>Urea</v>
      </c>
      <c r="M104" s="197" cm="1">
        <f t="array" ref="M104">Common_InputFunctions.Utility_DisplayArrayInTable(Fertiliser_SourceData.Fertiliser_Products_Data1(),FertiliserProducts[[#Headers],[Include or Exclude]], 0,4)</f>
        <v>0.52173913000000005</v>
      </c>
      <c r="N104" s="197" t="str" cm="1">
        <f t="array" ref="N104">Common_InputFunctions.Utility_DisplayArrayInTable(Fertiliser_SourceData.Fertiliser_Products_Data1(),FertiliserProducts[[#Headers],[Include or Exclude]], 0,4)</f>
        <v>Potassium - Generic</v>
      </c>
      <c r="O104" s="197" cm="1">
        <f t="array" ref="O104">Common_InputFunctions.Utility_DisplayArrayInTable(Fertiliser_SourceData.Fertiliser_Products_Data1(),FertiliserProducts[[#Headers],[Include or Exclude]], 0,4)</f>
        <v>0.08</v>
      </c>
      <c r="P104" s="197" t="str" cm="1">
        <f t="array" ref="P104">Common_InputFunctions.Utility_DisplayArrayInTable(Fertiliser_SourceData.Fertiliser_Products_Data1(),FertiliserProducts[[#Headers],[Include or Exclude]], 0,4)</f>
        <v>Sulfur - Generic</v>
      </c>
      <c r="Q104" s="197" cm="1">
        <f t="array" ref="Q104">Common_InputFunctions.Utility_DisplayArrayInTable(Fertiliser_SourceData.Fertiliser_Products_Data1(),FertiliserProducts[[#Headers],[Include or Exclude]], 0,4)</f>
        <v>5.2999999999999999E-2</v>
      </c>
      <c r="R104" s="197" t="str" cm="1">
        <f t="array" ref="R104">Common_InputFunctions.Utility_DisplayArrayInTable(Fertiliser_SourceData.Fertiliser_Products_Data1(),FertiliserProducts[[#Headers],[Include or Exclude]], 0,4)</f>
        <v>Phosphorus - Generic</v>
      </c>
      <c r="S104" s="197" cm="1">
        <f t="array" ref="S104">Common_InputFunctions.Utility_DisplayArrayInTable(Fertiliser_SourceData.Fertiliser_Products_Data1(),FertiliserProducts[[#Headers],[Include or Exclude]], 0,4)</f>
        <v>5.1999999999999998E-2</v>
      </c>
      <c r="T104" s="197" t="str" cm="1">
        <f t="array" ref="T104">Common_InputFunctions.Utility_DisplayArrayInTable(Fertiliser_SourceData.Fertiliser_Products_Data1(),FertiliserProducts[[#Headers],[Include or Exclude]], 0,4)</f>
        <v>Magnesium</v>
      </c>
      <c r="U104" s="197" cm="1">
        <f t="array" ref="U104">Common_InputFunctions.Utility_DisplayArrayInTable(Fertiliser_SourceData.Fertiliser_Products_Data1(),FertiliserProducts[[#Headers],[Include or Exclude]], 0,4)</f>
        <v>1.2999999999999999E-2</v>
      </c>
      <c r="V104" s="197" t="str" cm="1">
        <f t="array" ref="V104">Common_InputFunctions.Utility_DisplayArrayInTable(Fertiliser_SourceData.Fertiliser_Products_Data1(),FertiliserProducts[[#Headers],[Include or Exclude]], 0,4)</f>
        <v>Zinc</v>
      </c>
      <c r="W104" s="197" cm="1">
        <f t="array" ref="W104">Common_InputFunctions.Utility_DisplayArrayInTable(Fertiliser_SourceData.Fertiliser_Products_Data1(),FertiliserProducts[[#Headers],[Include or Exclude]], 0,4)</f>
        <v>2E-3</v>
      </c>
      <c r="X104" s="197" t="str" cm="1">
        <f t="array" ref="X104">Common_InputFunctions.Utility_DisplayArrayInTable(Fertiliser_SourceData.Fertiliser_Products_Data1(),FertiliserProducts[[#Headers],[Include or Exclude]], 0,4)</f>
        <v>Manganese</v>
      </c>
      <c r="Y104" s="197" cm="1">
        <f t="array" ref="Y104">Common_InputFunctions.Utility_DisplayArrayInTable(Fertiliser_SourceData.Fertiliser_Products_Data1(),FertiliserProducts[[#Headers],[Include or Exclude]], 0,4)</f>
        <v>3.5000000000000001E-3</v>
      </c>
      <c r="Z104" s="197" t="str" cm="1">
        <f t="array" ref="Z104">Common_InputFunctions.Utility_DisplayArrayInTable(Fertiliser_SourceData.Fertiliser_Products_Data1(),FertiliserProducts[[#Headers],[Include or Exclude]], 0,4)</f>
        <v>Iron</v>
      </c>
      <c r="AA104" s="197" cm="1">
        <f t="array" ref="AA104">Common_InputFunctions.Utility_DisplayArrayInTable(Fertiliser_SourceData.Fertiliser_Products_Data1(),FertiliserProducts[[#Headers],[Include or Exclude]], 0,4)</f>
        <v>1.2999999999999999E-3</v>
      </c>
      <c r="AB104" s="197" t="str" cm="1">
        <f t="array" ref="AB104">Common_InputFunctions.Utility_DisplayArrayInTable(Fertiliser_SourceData.Fertiliser_Products_Data1(),FertiliserProducts[[#Headers],[Include or Exclude]], 0,4)</f>
        <v>Copper</v>
      </c>
      <c r="AC104" s="197" cm="1">
        <f t="array" ref="AC104">Common_InputFunctions.Utility_DisplayArrayInTable(Fertiliser_SourceData.Fertiliser_Products_Data1(),FertiliserProducts[[#Headers],[Include or Exclude]], 0,4)</f>
        <v>6.9999999999999999E-4</v>
      </c>
      <c r="AD104" s="197" t="str" cm="1">
        <f t="array" ref="AD104">Common_InputFunctions.Utility_DisplayArrayInTable(Fertiliser_SourceData.Fertiliser_Products_Data1(),FertiliserProducts[[#Headers],[Include or Exclude]], 0,4)</f>
        <v>Boron</v>
      </c>
      <c r="AE104" s="197" cm="1">
        <f t="array" ref="AE104">Common_InputFunctions.Utility_DisplayArrayInTable(Fertiliser_SourceData.Fertiliser_Products_Data1(),FertiliserProducts[[#Headers],[Include or Exclude]], 0,4)</f>
        <v>6.9999999999999999E-4</v>
      </c>
    </row>
    <row r="105" spans="4:31" ht="20.100000000000001" customHeight="1" x14ac:dyDescent="0.25">
      <c r="D105" s="197" t="str" cm="1">
        <f t="array" ref="D105">Common_InputFunctions.Utility_DisplayArrayInTable(Fertiliser_SourceData.Fertiliser_Products_Data1(),FertiliserProducts[[#Headers],[Include or Exclude]], -1)</f>
        <v>Exclude - Not relevant</v>
      </c>
      <c r="E105" s="197" t="str" cm="1">
        <f t="array" ref="E105">Common_InputFunctions.Utility_DisplayArrayInTable(Fertiliser_SourceData.Fertiliser_Products_Data1(),FertiliserProducts[[#Headers],[Include or Exclude]], 0)</f>
        <v/>
      </c>
      <c r="F105" s="197" t="str" cm="1">
        <f t="array" ref="F105">Common_InputFunctions.Utility_DisplayArrayInTable(Fertiliser_SourceData.Fertiliser_Products_Data1(),FertiliserProducts[[#Headers],[Include or Exclude]], 0)</f>
        <v>Campbells fertilisers Australia</v>
      </c>
      <c r="G105" s="197" t="str" cm="1">
        <f t="array" ref="G105">Common_InputFunctions.Utility_DisplayArrayInTable(Fertiliser_SourceData.Fertiliser_Products_Data1(),FertiliserProducts[[#Headers],[Include or Exclude]], 0)</f>
        <v>Boroplus</v>
      </c>
      <c r="H105" s="197" t="str" cm="1">
        <f t="array" ref="H105">Common_InputFunctions.Utility_DisplayArrayInTable(Fertiliser_SourceData.Fertiliser_Products_Data1(),FertiliserProducts[[#Headers],[Include or Exclude]], 0,4)</f>
        <v/>
      </c>
      <c r="I105" s="197" t="str" cm="1">
        <f t="array" ref="I105">Common_InputFunctions.Utility_DisplayArrayInTable(Fertiliser_SourceData.Fertiliser_Products_Data1(),FertiliserProducts[[#Headers],[Include or Exclude]], 0,4)</f>
        <v/>
      </c>
      <c r="J105" s="197" t="str" cm="1">
        <f t="array" ref="J105">Common_InputFunctions.Utility_DisplayArrayInTable(Fertiliser_SourceData.Fertiliser_Products_Data1(),FertiliserProducts[[#Headers],[Include or Exclude]], 0,4)</f>
        <v/>
      </c>
      <c r="K105" s="197" t="str" cm="1">
        <f t="array" ref="K105">Common_InputFunctions.Utility_DisplayArrayInTable(Fertiliser_SourceData.Fertiliser_Products_Data1(),FertiliserProducts[[#Headers],[Include or Exclude]], 0,4)</f>
        <v/>
      </c>
      <c r="L105" s="197" t="str" cm="1">
        <f t="array" ref="L105">Common_InputFunctions.Utility_DisplayArrayInTable(Fertiliser_SourceData.Fertiliser_Products_Data1(),FertiliserProducts[[#Headers],[Include or Exclude]], 0,4)</f>
        <v/>
      </c>
      <c r="M105" s="197" t="str" cm="1">
        <f t="array" ref="M105">Common_InputFunctions.Utility_DisplayArrayInTable(Fertiliser_SourceData.Fertiliser_Products_Data1(),FertiliserProducts[[#Headers],[Include or Exclude]], 0,4)</f>
        <v/>
      </c>
      <c r="N105" s="197" t="str" cm="1">
        <f t="array" ref="N105">Common_InputFunctions.Utility_DisplayArrayInTable(Fertiliser_SourceData.Fertiliser_Products_Data1(),FertiliserProducts[[#Headers],[Include or Exclude]], 0,4)</f>
        <v/>
      </c>
      <c r="O105" s="197" t="str" cm="1">
        <f t="array" ref="O105">Common_InputFunctions.Utility_DisplayArrayInTable(Fertiliser_SourceData.Fertiliser_Products_Data1(),FertiliserProducts[[#Headers],[Include or Exclude]], 0,4)</f>
        <v/>
      </c>
      <c r="P105" s="197" t="str" cm="1">
        <f t="array" ref="P105">Common_InputFunctions.Utility_DisplayArrayInTable(Fertiliser_SourceData.Fertiliser_Products_Data1(),FertiliserProducts[[#Headers],[Include or Exclude]], 0,4)</f>
        <v/>
      </c>
      <c r="Q105" s="197" t="str" cm="1">
        <f t="array" ref="Q105">Common_InputFunctions.Utility_DisplayArrayInTable(Fertiliser_SourceData.Fertiliser_Products_Data1(),FertiliserProducts[[#Headers],[Include or Exclude]], 0,4)</f>
        <v/>
      </c>
      <c r="R105" s="197" t="str" cm="1">
        <f t="array" ref="R105">Common_InputFunctions.Utility_DisplayArrayInTable(Fertiliser_SourceData.Fertiliser_Products_Data1(),FertiliserProducts[[#Headers],[Include or Exclude]], 0,4)</f>
        <v/>
      </c>
      <c r="S105" s="197" t="str" cm="1">
        <f t="array" ref="S105">Common_InputFunctions.Utility_DisplayArrayInTable(Fertiliser_SourceData.Fertiliser_Products_Data1(),FertiliserProducts[[#Headers],[Include or Exclude]], 0,4)</f>
        <v/>
      </c>
      <c r="T105" s="197" t="str" cm="1">
        <f t="array" ref="T105">Common_InputFunctions.Utility_DisplayArrayInTable(Fertiliser_SourceData.Fertiliser_Products_Data1(),FertiliserProducts[[#Headers],[Include or Exclude]], 0,4)</f>
        <v/>
      </c>
      <c r="U105" s="197" t="str" cm="1">
        <f t="array" ref="U105">Common_InputFunctions.Utility_DisplayArrayInTable(Fertiliser_SourceData.Fertiliser_Products_Data1(),FertiliserProducts[[#Headers],[Include or Exclude]], 0,4)</f>
        <v/>
      </c>
      <c r="V105" s="197" t="str" cm="1">
        <f t="array" ref="V105">Common_InputFunctions.Utility_DisplayArrayInTable(Fertiliser_SourceData.Fertiliser_Products_Data1(),FertiliserProducts[[#Headers],[Include or Exclude]], 0,4)</f>
        <v/>
      </c>
      <c r="W105" s="197" t="str" cm="1">
        <f t="array" ref="W105">Common_InputFunctions.Utility_DisplayArrayInTable(Fertiliser_SourceData.Fertiliser_Products_Data1(),FertiliserProducts[[#Headers],[Include or Exclude]], 0,4)</f>
        <v/>
      </c>
      <c r="X105" s="197" t="str" cm="1">
        <f t="array" ref="X105">Common_InputFunctions.Utility_DisplayArrayInTable(Fertiliser_SourceData.Fertiliser_Products_Data1(),FertiliserProducts[[#Headers],[Include or Exclude]], 0,4)</f>
        <v/>
      </c>
      <c r="Y105" s="197" t="str" cm="1">
        <f t="array" ref="Y105">Common_InputFunctions.Utility_DisplayArrayInTable(Fertiliser_SourceData.Fertiliser_Products_Data1(),FertiliserProducts[[#Headers],[Include or Exclude]], 0,4)</f>
        <v/>
      </c>
      <c r="Z105" s="197" t="str" cm="1">
        <f t="array" ref="Z105">Common_InputFunctions.Utility_DisplayArrayInTable(Fertiliser_SourceData.Fertiliser_Products_Data1(),FertiliserProducts[[#Headers],[Include or Exclude]], 0,4)</f>
        <v/>
      </c>
      <c r="AA105" s="197" t="str" cm="1">
        <f t="array" ref="AA105">Common_InputFunctions.Utility_DisplayArrayInTable(Fertiliser_SourceData.Fertiliser_Products_Data1(),FertiliserProducts[[#Headers],[Include or Exclude]], 0,4)</f>
        <v/>
      </c>
      <c r="AB105" s="197" t="str" cm="1">
        <f t="array" ref="AB105">Common_InputFunctions.Utility_DisplayArrayInTable(Fertiliser_SourceData.Fertiliser_Products_Data1(),FertiliserProducts[[#Headers],[Include or Exclude]], 0,4)</f>
        <v/>
      </c>
      <c r="AC105" s="197" t="str" cm="1">
        <f t="array" ref="AC105">Common_InputFunctions.Utility_DisplayArrayInTable(Fertiliser_SourceData.Fertiliser_Products_Data1(),FertiliserProducts[[#Headers],[Include or Exclude]], 0,4)</f>
        <v/>
      </c>
      <c r="AD105" s="197" t="str" cm="1">
        <f t="array" ref="AD105">Common_InputFunctions.Utility_DisplayArrayInTable(Fertiliser_SourceData.Fertiliser_Products_Data1(),FertiliserProducts[[#Headers],[Include or Exclude]], 0,4)</f>
        <v/>
      </c>
      <c r="AE105" s="197" t="str" cm="1">
        <f t="array" ref="AE105">Common_InputFunctions.Utility_DisplayArrayInTable(Fertiliser_SourceData.Fertiliser_Products_Data1(),FertiliserProducts[[#Headers],[Include or Exclude]], 0,4)</f>
        <v/>
      </c>
    </row>
    <row r="106" spans="4:31" ht="20.100000000000001" customHeight="1" x14ac:dyDescent="0.25">
      <c r="D106" s="197" t="str" cm="1">
        <f t="array" ref="D106">Common_InputFunctions.Utility_DisplayArrayInTable(Fertiliser_SourceData.Fertiliser_Products_Data1(),FertiliserProducts[[#Headers],[Include or Exclude]], -1)</f>
        <v>Exclude - Not relevant</v>
      </c>
      <c r="E106" s="197" t="str" cm="1">
        <f t="array" ref="E106">Common_InputFunctions.Utility_DisplayArrayInTable(Fertiliser_SourceData.Fertiliser_Products_Data1(),FertiliserProducts[[#Headers],[Include or Exclude]], 0)</f>
        <v/>
      </c>
      <c r="F106" s="197" t="str" cm="1">
        <f t="array" ref="F106">Common_InputFunctions.Utility_DisplayArrayInTable(Fertiliser_SourceData.Fertiliser_Products_Data1(),FertiliserProducts[[#Headers],[Include or Exclude]], 0)</f>
        <v>Campbells fertilisers Australia</v>
      </c>
      <c r="G106" s="197" t="str" cm="1">
        <f t="array" ref="G106">Common_InputFunctions.Utility_DisplayArrayInTable(Fertiliser_SourceData.Fertiliser_Products_Data1(),FertiliserProducts[[#Headers],[Include or Exclude]], 0)</f>
        <v>Brevisol Range</v>
      </c>
      <c r="H106" s="197" t="str" cm="1">
        <f t="array" ref="H106">Common_InputFunctions.Utility_DisplayArrayInTable(Fertiliser_SourceData.Fertiliser_Products_Data1(),FertiliserProducts[[#Headers],[Include or Exclude]], 0,4)</f>
        <v/>
      </c>
      <c r="I106" s="197" t="str" cm="1">
        <f t="array" ref="I106">Common_InputFunctions.Utility_DisplayArrayInTable(Fertiliser_SourceData.Fertiliser_Products_Data1(),FertiliserProducts[[#Headers],[Include or Exclude]], 0,4)</f>
        <v/>
      </c>
      <c r="J106" s="197" t="str" cm="1">
        <f t="array" ref="J106">Common_InputFunctions.Utility_DisplayArrayInTable(Fertiliser_SourceData.Fertiliser_Products_Data1(),FertiliserProducts[[#Headers],[Include or Exclude]], 0,4)</f>
        <v/>
      </c>
      <c r="K106" s="197" t="str" cm="1">
        <f t="array" ref="K106">Common_InputFunctions.Utility_DisplayArrayInTable(Fertiliser_SourceData.Fertiliser_Products_Data1(),FertiliserProducts[[#Headers],[Include or Exclude]], 0,4)</f>
        <v/>
      </c>
      <c r="L106" s="197" t="str" cm="1">
        <f t="array" ref="L106">Common_InputFunctions.Utility_DisplayArrayInTable(Fertiliser_SourceData.Fertiliser_Products_Data1(),FertiliserProducts[[#Headers],[Include or Exclude]], 0,4)</f>
        <v/>
      </c>
      <c r="M106" s="197" t="str" cm="1">
        <f t="array" ref="M106">Common_InputFunctions.Utility_DisplayArrayInTable(Fertiliser_SourceData.Fertiliser_Products_Data1(),FertiliserProducts[[#Headers],[Include or Exclude]], 0,4)</f>
        <v/>
      </c>
      <c r="N106" s="197" t="str" cm="1">
        <f t="array" ref="N106">Common_InputFunctions.Utility_DisplayArrayInTable(Fertiliser_SourceData.Fertiliser_Products_Data1(),FertiliserProducts[[#Headers],[Include or Exclude]], 0,4)</f>
        <v/>
      </c>
      <c r="O106" s="197" t="str" cm="1">
        <f t="array" ref="O106">Common_InputFunctions.Utility_DisplayArrayInTable(Fertiliser_SourceData.Fertiliser_Products_Data1(),FertiliserProducts[[#Headers],[Include or Exclude]], 0,4)</f>
        <v/>
      </c>
      <c r="P106" s="197" t="str" cm="1">
        <f t="array" ref="P106">Common_InputFunctions.Utility_DisplayArrayInTable(Fertiliser_SourceData.Fertiliser_Products_Data1(),FertiliserProducts[[#Headers],[Include or Exclude]], 0,4)</f>
        <v/>
      </c>
      <c r="Q106" s="197" t="str" cm="1">
        <f t="array" ref="Q106">Common_InputFunctions.Utility_DisplayArrayInTable(Fertiliser_SourceData.Fertiliser_Products_Data1(),FertiliserProducts[[#Headers],[Include or Exclude]], 0,4)</f>
        <v/>
      </c>
      <c r="R106" s="197" t="str" cm="1">
        <f t="array" ref="R106">Common_InputFunctions.Utility_DisplayArrayInTable(Fertiliser_SourceData.Fertiliser_Products_Data1(),FertiliserProducts[[#Headers],[Include or Exclude]], 0,4)</f>
        <v/>
      </c>
      <c r="S106" s="197" t="str" cm="1">
        <f t="array" ref="S106">Common_InputFunctions.Utility_DisplayArrayInTable(Fertiliser_SourceData.Fertiliser_Products_Data1(),FertiliserProducts[[#Headers],[Include or Exclude]], 0,4)</f>
        <v/>
      </c>
      <c r="T106" s="197" t="str" cm="1">
        <f t="array" ref="T106">Common_InputFunctions.Utility_DisplayArrayInTable(Fertiliser_SourceData.Fertiliser_Products_Data1(),FertiliserProducts[[#Headers],[Include or Exclude]], 0,4)</f>
        <v/>
      </c>
      <c r="U106" s="197" t="str" cm="1">
        <f t="array" ref="U106">Common_InputFunctions.Utility_DisplayArrayInTable(Fertiliser_SourceData.Fertiliser_Products_Data1(),FertiliserProducts[[#Headers],[Include or Exclude]], 0,4)</f>
        <v/>
      </c>
      <c r="V106" s="197" t="str" cm="1">
        <f t="array" ref="V106">Common_InputFunctions.Utility_DisplayArrayInTable(Fertiliser_SourceData.Fertiliser_Products_Data1(),FertiliserProducts[[#Headers],[Include or Exclude]], 0,4)</f>
        <v/>
      </c>
      <c r="W106" s="197" t="str" cm="1">
        <f t="array" ref="W106">Common_InputFunctions.Utility_DisplayArrayInTable(Fertiliser_SourceData.Fertiliser_Products_Data1(),FertiliserProducts[[#Headers],[Include or Exclude]], 0,4)</f>
        <v/>
      </c>
      <c r="X106" s="197" t="str" cm="1">
        <f t="array" ref="X106">Common_InputFunctions.Utility_DisplayArrayInTable(Fertiliser_SourceData.Fertiliser_Products_Data1(),FertiliserProducts[[#Headers],[Include or Exclude]], 0,4)</f>
        <v/>
      </c>
      <c r="Y106" s="197" t="str" cm="1">
        <f t="array" ref="Y106">Common_InputFunctions.Utility_DisplayArrayInTable(Fertiliser_SourceData.Fertiliser_Products_Data1(),FertiliserProducts[[#Headers],[Include or Exclude]], 0,4)</f>
        <v/>
      </c>
      <c r="Z106" s="197" t="str" cm="1">
        <f t="array" ref="Z106">Common_InputFunctions.Utility_DisplayArrayInTable(Fertiliser_SourceData.Fertiliser_Products_Data1(),FertiliserProducts[[#Headers],[Include or Exclude]], 0,4)</f>
        <v/>
      </c>
      <c r="AA106" s="197" t="str" cm="1">
        <f t="array" ref="AA106">Common_InputFunctions.Utility_DisplayArrayInTable(Fertiliser_SourceData.Fertiliser_Products_Data1(),FertiliserProducts[[#Headers],[Include or Exclude]], 0,4)</f>
        <v/>
      </c>
      <c r="AB106" s="197" t="str" cm="1">
        <f t="array" ref="AB106">Common_InputFunctions.Utility_DisplayArrayInTable(Fertiliser_SourceData.Fertiliser_Products_Data1(),FertiliserProducts[[#Headers],[Include or Exclude]], 0,4)</f>
        <v/>
      </c>
      <c r="AC106" s="197" t="str" cm="1">
        <f t="array" ref="AC106">Common_InputFunctions.Utility_DisplayArrayInTable(Fertiliser_SourceData.Fertiliser_Products_Data1(),FertiliserProducts[[#Headers],[Include or Exclude]], 0,4)</f>
        <v/>
      </c>
      <c r="AD106" s="197" t="str" cm="1">
        <f t="array" ref="AD106">Common_InputFunctions.Utility_DisplayArrayInTable(Fertiliser_SourceData.Fertiliser_Products_Data1(),FertiliserProducts[[#Headers],[Include or Exclude]], 0,4)</f>
        <v/>
      </c>
      <c r="AE106" s="197" t="str" cm="1">
        <f t="array" ref="AE106">Common_InputFunctions.Utility_DisplayArrayInTable(Fertiliser_SourceData.Fertiliser_Products_Data1(),FertiliserProducts[[#Headers],[Include or Exclude]], 0,4)</f>
        <v/>
      </c>
    </row>
    <row r="107" spans="4:31" ht="20.100000000000001" customHeight="1" x14ac:dyDescent="0.25">
      <c r="D107" s="197" t="str" cm="1">
        <f t="array" ref="D107">Common_InputFunctions.Utility_DisplayArrayInTable(Fertiliser_SourceData.Fertiliser_Products_Data1(),FertiliserProducts[[#Headers],[Include or Exclude]], -1)</f>
        <v>Include</v>
      </c>
      <c r="E107" s="197" t="str" cm="1">
        <f t="array" ref="E107">Common_InputFunctions.Utility_DisplayArrayInTable(Fertiliser_SourceData.Fertiliser_Products_Data1(),FertiliserProducts[[#Headers],[Include or Exclude]], 0)</f>
        <v/>
      </c>
      <c r="F107" s="197" t="str" cm="1">
        <f t="array" ref="F107">Common_InputFunctions.Utility_DisplayArrayInTable(Fertiliser_SourceData.Fertiliser_Products_Data1(),FertiliserProducts[[#Headers],[Include or Exclude]], 0)</f>
        <v>Campbells fertilisers Australia</v>
      </c>
      <c r="G107" s="197" t="str" cm="1">
        <f t="array" ref="G107">Common_InputFunctions.Utility_DisplayArrayInTable(Fertiliser_SourceData.Fertiliser_Products_Data1(),FertiliserProducts[[#Headers],[Include or Exclude]], 0)</f>
        <v>Brexil Line</v>
      </c>
      <c r="H107" s="197" t="str" cm="1">
        <f t="array" ref="H107">Common_InputFunctions.Utility_DisplayArrayInTable(Fertiliser_SourceData.Fertiliser_Products_Data1(),FertiliserProducts[[#Headers],[Include or Exclude]], 0,4)</f>
        <v/>
      </c>
      <c r="I107" s="197" t="str" cm="1">
        <f t="array" ref="I107">Common_InputFunctions.Utility_DisplayArrayInTable(Fertiliser_SourceData.Fertiliser_Products_Data1(),FertiliserProducts[[#Headers],[Include or Exclude]], 0,4)</f>
        <v/>
      </c>
      <c r="J107" s="197" t="str" cm="1">
        <f t="array" ref="J107">Common_InputFunctions.Utility_DisplayArrayInTable(Fertiliser_SourceData.Fertiliser_Products_Data1(),FertiliserProducts[[#Headers],[Include or Exclude]], 0,4)</f>
        <v/>
      </c>
      <c r="K107" s="197" t="str" cm="1">
        <f t="array" ref="K107">Common_InputFunctions.Utility_DisplayArrayInTable(Fertiliser_SourceData.Fertiliser_Products_Data1(),FertiliserProducts[[#Headers],[Include or Exclude]], 0,4)</f>
        <v/>
      </c>
      <c r="L107" s="197" t="str" cm="1">
        <f t="array" ref="L107">Common_InputFunctions.Utility_DisplayArrayInTable(Fertiliser_SourceData.Fertiliser_Products_Data1(),FertiliserProducts[[#Headers],[Include or Exclude]], 0,4)</f>
        <v/>
      </c>
      <c r="M107" s="197" t="str" cm="1">
        <f t="array" ref="M107">Common_InputFunctions.Utility_DisplayArrayInTable(Fertiliser_SourceData.Fertiliser_Products_Data1(),FertiliserProducts[[#Headers],[Include or Exclude]], 0,4)</f>
        <v/>
      </c>
      <c r="N107" s="197" t="str" cm="1">
        <f t="array" ref="N107">Common_InputFunctions.Utility_DisplayArrayInTable(Fertiliser_SourceData.Fertiliser_Products_Data1(),FertiliserProducts[[#Headers],[Include or Exclude]], 0,4)</f>
        <v/>
      </c>
      <c r="O107" s="197" t="str" cm="1">
        <f t="array" ref="O107">Common_InputFunctions.Utility_DisplayArrayInTable(Fertiliser_SourceData.Fertiliser_Products_Data1(),FertiliserProducts[[#Headers],[Include or Exclude]], 0,4)</f>
        <v/>
      </c>
      <c r="P107" s="197" t="str" cm="1">
        <f t="array" ref="P107">Common_InputFunctions.Utility_DisplayArrayInTable(Fertiliser_SourceData.Fertiliser_Products_Data1(),FertiliserProducts[[#Headers],[Include or Exclude]], 0,4)</f>
        <v/>
      </c>
      <c r="Q107" s="197" t="str" cm="1">
        <f t="array" ref="Q107">Common_InputFunctions.Utility_DisplayArrayInTable(Fertiliser_SourceData.Fertiliser_Products_Data1(),FertiliserProducts[[#Headers],[Include or Exclude]], 0,4)</f>
        <v/>
      </c>
      <c r="R107" s="197" t="str" cm="1">
        <f t="array" ref="R107">Common_InputFunctions.Utility_DisplayArrayInTable(Fertiliser_SourceData.Fertiliser_Products_Data1(),FertiliserProducts[[#Headers],[Include or Exclude]], 0,4)</f>
        <v/>
      </c>
      <c r="S107" s="197" t="str" cm="1">
        <f t="array" ref="S107">Common_InputFunctions.Utility_DisplayArrayInTable(Fertiliser_SourceData.Fertiliser_Products_Data1(),FertiliserProducts[[#Headers],[Include or Exclude]], 0,4)</f>
        <v/>
      </c>
      <c r="T107" s="197" t="str" cm="1">
        <f t="array" ref="T107">Common_InputFunctions.Utility_DisplayArrayInTable(Fertiliser_SourceData.Fertiliser_Products_Data1(),FertiliserProducts[[#Headers],[Include or Exclude]], 0,4)</f>
        <v/>
      </c>
      <c r="U107" s="197" t="str" cm="1">
        <f t="array" ref="U107">Common_InputFunctions.Utility_DisplayArrayInTable(Fertiliser_SourceData.Fertiliser_Products_Data1(),FertiliserProducts[[#Headers],[Include or Exclude]], 0,4)</f>
        <v/>
      </c>
      <c r="V107" s="197" t="str" cm="1">
        <f t="array" ref="V107">Common_InputFunctions.Utility_DisplayArrayInTable(Fertiliser_SourceData.Fertiliser_Products_Data1(),FertiliserProducts[[#Headers],[Include or Exclude]], 0,4)</f>
        <v/>
      </c>
      <c r="W107" s="197" t="str" cm="1">
        <f t="array" ref="W107">Common_InputFunctions.Utility_DisplayArrayInTable(Fertiliser_SourceData.Fertiliser_Products_Data1(),FertiliserProducts[[#Headers],[Include or Exclude]], 0,4)</f>
        <v/>
      </c>
      <c r="X107" s="197" t="str" cm="1">
        <f t="array" ref="X107">Common_InputFunctions.Utility_DisplayArrayInTable(Fertiliser_SourceData.Fertiliser_Products_Data1(),FertiliserProducts[[#Headers],[Include or Exclude]], 0,4)</f>
        <v/>
      </c>
      <c r="Y107" s="197" t="str" cm="1">
        <f t="array" ref="Y107">Common_InputFunctions.Utility_DisplayArrayInTable(Fertiliser_SourceData.Fertiliser_Products_Data1(),FertiliserProducts[[#Headers],[Include or Exclude]], 0,4)</f>
        <v/>
      </c>
      <c r="Z107" s="197" t="str" cm="1">
        <f t="array" ref="Z107">Common_InputFunctions.Utility_DisplayArrayInTable(Fertiliser_SourceData.Fertiliser_Products_Data1(),FertiliserProducts[[#Headers],[Include or Exclude]], 0,4)</f>
        <v/>
      </c>
      <c r="AA107" s="197" t="str" cm="1">
        <f t="array" ref="AA107">Common_InputFunctions.Utility_DisplayArrayInTable(Fertiliser_SourceData.Fertiliser_Products_Data1(),FertiliserProducts[[#Headers],[Include or Exclude]], 0,4)</f>
        <v/>
      </c>
      <c r="AB107" s="197" t="str" cm="1">
        <f t="array" ref="AB107">Common_InputFunctions.Utility_DisplayArrayInTable(Fertiliser_SourceData.Fertiliser_Products_Data1(),FertiliserProducts[[#Headers],[Include or Exclude]], 0,4)</f>
        <v/>
      </c>
      <c r="AC107" s="197" t="str" cm="1">
        <f t="array" ref="AC107">Common_InputFunctions.Utility_DisplayArrayInTable(Fertiliser_SourceData.Fertiliser_Products_Data1(),FertiliserProducts[[#Headers],[Include or Exclude]], 0,4)</f>
        <v/>
      </c>
      <c r="AD107" s="197" t="str" cm="1">
        <f t="array" ref="AD107">Common_InputFunctions.Utility_DisplayArrayInTable(Fertiliser_SourceData.Fertiliser_Products_Data1(),FertiliserProducts[[#Headers],[Include or Exclude]], 0,4)</f>
        <v/>
      </c>
      <c r="AE107" s="197" t="str" cm="1">
        <f t="array" ref="AE107">Common_InputFunctions.Utility_DisplayArrayInTable(Fertiliser_SourceData.Fertiliser_Products_Data1(),FertiliserProducts[[#Headers],[Include or Exclude]], 0,4)</f>
        <v/>
      </c>
    </row>
    <row r="108" spans="4:31" ht="20.100000000000001" customHeight="1" x14ac:dyDescent="0.25">
      <c r="D108" s="197" t="str" cm="1">
        <f t="array" ref="D108">Common_InputFunctions.Utility_DisplayArrayInTable(Fertiliser_SourceData.Fertiliser_Products_Data1(),FertiliserProducts[[#Headers],[Include or Exclude]], -1)</f>
        <v>Exclude - Absent ingredients &gt; 2%</v>
      </c>
      <c r="E108" s="197" t="str" cm="1">
        <f t="array" ref="E108">Common_InputFunctions.Utility_DisplayArrayInTable(Fertiliser_SourceData.Fertiliser_Products_Data1(),FertiliserProducts[[#Headers],[Include or Exclude]], 0)</f>
        <v/>
      </c>
      <c r="F108" s="197" t="str" cm="1">
        <f t="array" ref="F108">Common_InputFunctions.Utility_DisplayArrayInTable(Fertiliser_SourceData.Fertiliser_Products_Data1(),FertiliserProducts[[#Headers],[Include or Exclude]], 0)</f>
        <v>Campbells fertilisers Australia</v>
      </c>
      <c r="G108" s="197" t="str" cm="1">
        <f t="array" ref="G108">Common_InputFunctions.Utility_DisplayArrayInTable(Fertiliser_SourceData.Fertiliser_Products_Data1(),FertiliserProducts[[#Headers],[Include or Exclude]], 0)</f>
        <v>Bronze</v>
      </c>
      <c r="H108" s="197" t="str" cm="1">
        <f t="array" ref="H108">Common_InputFunctions.Utility_DisplayArrayInTable(Fertiliser_SourceData.Fertiliser_Products_Data1(),FertiliserProducts[[#Headers],[Include or Exclude]], 0,4)</f>
        <v>kg</v>
      </c>
      <c r="I108" s="197" t="str" cm="1">
        <f t="array" ref="I108">Common_InputFunctions.Utility_DisplayArrayInTable(Fertiliser_SourceData.Fertiliser_Products_Data1(),FertiliserProducts[[#Headers],[Include or Exclude]], 0,4)</f>
        <v/>
      </c>
      <c r="J108" s="197" t="str" cm="1">
        <f t="array" ref="J108">Common_InputFunctions.Utility_DisplayArrayInTable(Fertiliser_SourceData.Fertiliser_Products_Data1(),FertiliserProducts[[#Headers],[Include or Exclude]], 0,4)</f>
        <v/>
      </c>
      <c r="K108" s="197" t="str" cm="1">
        <f t="array" ref="K108">Common_InputFunctions.Utility_DisplayArrayInTable(Fertiliser_SourceData.Fertiliser_Products_Data1(),FertiliserProducts[[#Headers],[Include or Exclude]], 0,4)</f>
        <v/>
      </c>
      <c r="L108" s="197" t="str" cm="1">
        <f t="array" ref="L108">Common_InputFunctions.Utility_DisplayArrayInTable(Fertiliser_SourceData.Fertiliser_Products_Data1(),FertiliserProducts[[#Headers],[Include or Exclude]], 0,4)</f>
        <v>Muriate of Potash (MOP)</v>
      </c>
      <c r="M108" s="197" cm="1">
        <f t="array" ref="M108">Common_InputFunctions.Utility_DisplayArrayInTable(Fertiliser_SourceData.Fertiliser_Products_Data1(),FertiliserProducts[[#Headers],[Include or Exclude]], 0,4)</f>
        <v>0.23200000000000001</v>
      </c>
      <c r="N108" s="197" t="str" cm="1">
        <f t="array" ref="N108">Common_InputFunctions.Utility_DisplayArrayInTable(Fertiliser_SourceData.Fertiliser_Products_Data1(),FertiliserProducts[[#Headers],[Include or Exclude]], 0,4)</f>
        <v>Nitrogen - Generic</v>
      </c>
      <c r="O108" s="197" cm="1">
        <f t="array" ref="O108">Common_InputFunctions.Utility_DisplayArrayInTable(Fertiliser_SourceData.Fertiliser_Products_Data1(),FertiliserProducts[[#Headers],[Include or Exclude]], 0,4)</f>
        <v>0.17</v>
      </c>
      <c r="P108" s="197" t="str" cm="1">
        <f t="array" ref="P108">Common_InputFunctions.Utility_DisplayArrayInTable(Fertiliser_SourceData.Fertiliser_Products_Data1(),FertiliserProducts[[#Headers],[Include or Exclude]], 0,4)</f>
        <v>Sulfur - Generic</v>
      </c>
      <c r="Q108" s="197" cm="1">
        <f t="array" ref="Q108">Common_InputFunctions.Utility_DisplayArrayInTable(Fertiliser_SourceData.Fertiliser_Products_Data1(),FertiliserProducts[[#Headers],[Include or Exclude]], 0,4)</f>
        <v>5.0000000000000001E-3</v>
      </c>
      <c r="R108" s="197" t="str" cm="1">
        <f t="array" ref="R108">Common_InputFunctions.Utility_DisplayArrayInTable(Fertiliser_SourceData.Fertiliser_Products_Data1(),FertiliserProducts[[#Headers],[Include or Exclude]], 0,4)</f>
        <v>Magnesium</v>
      </c>
      <c r="S108" s="197" cm="1">
        <f t="array" ref="S108">Common_InputFunctions.Utility_DisplayArrayInTable(Fertiliser_SourceData.Fertiliser_Products_Data1(),FertiliserProducts[[#Headers],[Include or Exclude]], 0,4)</f>
        <v>2.3999999999999998E-3</v>
      </c>
      <c r="T108" s="197" t="str" cm="1">
        <f t="array" ref="T108">Common_InputFunctions.Utility_DisplayArrayInTable(Fertiliser_SourceData.Fertiliser_Products_Data1(),FertiliserProducts[[#Headers],[Include or Exclude]], 0,4)</f>
        <v>Phosphorus - Generic</v>
      </c>
      <c r="U108" s="197" cm="1">
        <f t="array" ref="U108">Common_InputFunctions.Utility_DisplayArrayInTable(Fertiliser_SourceData.Fertiliser_Products_Data1(),FertiliserProducts[[#Headers],[Include or Exclude]], 0,4)</f>
        <v>4.0000000000000002E-4</v>
      </c>
      <c r="V108" s="197" t="str" cm="1">
        <f t="array" ref="V108">Common_InputFunctions.Utility_DisplayArrayInTable(Fertiliser_SourceData.Fertiliser_Products_Data1(),FertiliserProducts[[#Headers],[Include or Exclude]], 0,4)</f>
        <v/>
      </c>
      <c r="W108" s="197" t="str" cm="1">
        <f t="array" ref="W108">Common_InputFunctions.Utility_DisplayArrayInTable(Fertiliser_SourceData.Fertiliser_Products_Data1(),FertiliserProducts[[#Headers],[Include or Exclude]], 0,4)</f>
        <v/>
      </c>
      <c r="X108" s="197" t="str" cm="1">
        <f t="array" ref="X108">Common_InputFunctions.Utility_DisplayArrayInTable(Fertiliser_SourceData.Fertiliser_Products_Data1(),FertiliserProducts[[#Headers],[Include or Exclude]], 0,4)</f>
        <v/>
      </c>
      <c r="Y108" s="197" t="str" cm="1">
        <f t="array" ref="Y108">Common_InputFunctions.Utility_DisplayArrayInTable(Fertiliser_SourceData.Fertiliser_Products_Data1(),FertiliserProducts[[#Headers],[Include or Exclude]], 0,4)</f>
        <v/>
      </c>
      <c r="Z108" s="197" t="str" cm="1">
        <f t="array" ref="Z108">Common_InputFunctions.Utility_DisplayArrayInTable(Fertiliser_SourceData.Fertiliser_Products_Data1(),FertiliserProducts[[#Headers],[Include or Exclude]], 0,4)</f>
        <v/>
      </c>
      <c r="AA108" s="197" t="str" cm="1">
        <f t="array" ref="AA108">Common_InputFunctions.Utility_DisplayArrayInTable(Fertiliser_SourceData.Fertiliser_Products_Data1(),FertiliserProducts[[#Headers],[Include or Exclude]], 0,4)</f>
        <v/>
      </c>
      <c r="AB108" s="197" t="str" cm="1">
        <f t="array" ref="AB108">Common_InputFunctions.Utility_DisplayArrayInTable(Fertiliser_SourceData.Fertiliser_Products_Data1(),FertiliserProducts[[#Headers],[Include or Exclude]], 0,4)</f>
        <v/>
      </c>
      <c r="AC108" s="197" t="str" cm="1">
        <f t="array" ref="AC108">Common_InputFunctions.Utility_DisplayArrayInTable(Fertiliser_SourceData.Fertiliser_Products_Data1(),FertiliserProducts[[#Headers],[Include or Exclude]], 0,4)</f>
        <v/>
      </c>
      <c r="AD108" s="197" t="str" cm="1">
        <f t="array" ref="AD108">Common_InputFunctions.Utility_DisplayArrayInTable(Fertiliser_SourceData.Fertiliser_Products_Data1(),FertiliserProducts[[#Headers],[Include or Exclude]], 0,4)</f>
        <v/>
      </c>
      <c r="AE108" s="197" t="str" cm="1">
        <f t="array" ref="AE108">Common_InputFunctions.Utility_DisplayArrayInTable(Fertiliser_SourceData.Fertiliser_Products_Data1(),FertiliserProducts[[#Headers],[Include or Exclude]], 0,4)</f>
        <v/>
      </c>
    </row>
    <row r="109" spans="4:31" ht="20.100000000000001" customHeight="1" x14ac:dyDescent="0.25">
      <c r="D109" s="197" t="str" cm="1">
        <f t="array" ref="D109">Common_InputFunctions.Utility_DisplayArrayInTable(Fertiliser_SourceData.Fertiliser_Products_Data1(),FertiliserProducts[[#Headers],[Include or Exclude]], -1)</f>
        <v>Exclude - Not relevant</v>
      </c>
      <c r="E109" s="197" t="str" cm="1">
        <f t="array" ref="E109">Common_InputFunctions.Utility_DisplayArrayInTable(Fertiliser_SourceData.Fertiliser_Products_Data1(),FertiliserProducts[[#Headers],[Include or Exclude]], 0)</f>
        <v/>
      </c>
      <c r="F109" s="197" t="str" cm="1">
        <f t="array" ref="F109">Common_InputFunctions.Utility_DisplayArrayInTable(Fertiliser_SourceData.Fertiliser_Products_Data1(),FertiliserProducts[[#Headers],[Include or Exclude]], 0)</f>
        <v>Campbells fertilisers Australia</v>
      </c>
      <c r="G109" s="197" t="str" cm="1">
        <f t="array" ref="G109">Common_InputFunctions.Utility_DisplayArrayInTable(Fertiliser_SourceData.Fertiliser_Products_Data1(),FertiliserProducts[[#Headers],[Include or Exclude]], 0)</f>
        <v>Bud-Wiser Dry</v>
      </c>
      <c r="H109" s="197" t="str" cm="1">
        <f t="array" ref="H109">Common_InputFunctions.Utility_DisplayArrayInTable(Fertiliser_SourceData.Fertiliser_Products_Data1(),FertiliserProducts[[#Headers],[Include or Exclude]], 0,4)</f>
        <v>kg</v>
      </c>
      <c r="I109" s="197" t="str" cm="1">
        <f t="array" ref="I109">Common_InputFunctions.Utility_DisplayArrayInTable(Fertiliser_SourceData.Fertiliser_Products_Data1(),FertiliserProducts[[#Headers],[Include or Exclude]], 0,4)</f>
        <v/>
      </c>
      <c r="J109" s="197" t="str" cm="1">
        <f t="array" ref="J109">Common_InputFunctions.Utility_DisplayArrayInTable(Fertiliser_SourceData.Fertiliser_Products_Data1(),FertiliserProducts[[#Headers],[Include or Exclude]], 0,4)</f>
        <v/>
      </c>
      <c r="K109" s="197" t="str" cm="1">
        <f t="array" ref="K109">Common_InputFunctions.Utility_DisplayArrayInTable(Fertiliser_SourceData.Fertiliser_Products_Data1(),FertiliserProducts[[#Headers],[Include or Exclude]], 0,4)</f>
        <v/>
      </c>
      <c r="L109" s="197" t="str" cm="1">
        <f t="array" ref="L109">Common_InputFunctions.Utility_DisplayArrayInTable(Fertiliser_SourceData.Fertiliser_Products_Data1(),FertiliserProducts[[#Headers],[Include or Exclude]], 0,4)</f>
        <v>Sulfur - Generic</v>
      </c>
      <c r="M109" s="197" cm="1">
        <f t="array" ref="M109">Common_InputFunctions.Utility_DisplayArrayInTable(Fertiliser_SourceData.Fertiliser_Products_Data1(),FertiliserProducts[[#Headers],[Include or Exclude]], 0,4)</f>
        <v>9.4E-2</v>
      </c>
      <c r="N109" s="197" t="str" cm="1">
        <f t="array" ref="N109">Common_InputFunctions.Utility_DisplayArrayInTable(Fertiliser_SourceData.Fertiliser_Products_Data1(),FertiliserProducts[[#Headers],[Include or Exclude]], 0,4)</f>
        <v>Magnesium</v>
      </c>
      <c r="O109" s="197" cm="1">
        <f t="array" ref="O109">Common_InputFunctions.Utility_DisplayArrayInTable(Fertiliser_SourceData.Fertiliser_Products_Data1(),FertiliserProducts[[#Headers],[Include or Exclude]], 0,4)</f>
        <v>0.06</v>
      </c>
      <c r="P109" s="197" t="str" cm="1">
        <f t="array" ref="P109">Common_InputFunctions.Utility_DisplayArrayInTable(Fertiliser_SourceData.Fertiliser_Products_Data1(),FertiliserProducts[[#Headers],[Include or Exclude]], 0,4)</f>
        <v>Boron</v>
      </c>
      <c r="Q109" s="197" cm="1">
        <f t="array" ref="Q109">Common_InputFunctions.Utility_DisplayArrayInTable(Fertiliser_SourceData.Fertiliser_Products_Data1(),FertiliserProducts[[#Headers],[Include or Exclude]], 0,4)</f>
        <v>4.4999999999999998E-2</v>
      </c>
      <c r="R109" s="197" t="str" cm="1">
        <f t="array" ref="R109">Common_InputFunctions.Utility_DisplayArrayInTable(Fertiliser_SourceData.Fertiliser_Products_Data1(),FertiliserProducts[[#Headers],[Include or Exclude]], 0,4)</f>
        <v>Zinc</v>
      </c>
      <c r="S109" s="197" cm="1">
        <f t="array" ref="S109">Common_InputFunctions.Utility_DisplayArrayInTable(Fertiliser_SourceData.Fertiliser_Products_Data1(),FertiliserProducts[[#Headers],[Include or Exclude]], 0,4)</f>
        <v>2.7E-2</v>
      </c>
      <c r="T109" s="197" t="str" cm="1">
        <f t="array" ref="T109">Common_InputFunctions.Utility_DisplayArrayInTable(Fertiliser_SourceData.Fertiliser_Products_Data1(),FertiliserProducts[[#Headers],[Include or Exclude]], 0,4)</f>
        <v/>
      </c>
      <c r="U109" s="197" t="str" cm="1">
        <f t="array" ref="U109">Common_InputFunctions.Utility_DisplayArrayInTable(Fertiliser_SourceData.Fertiliser_Products_Data1(),FertiliserProducts[[#Headers],[Include or Exclude]], 0,4)</f>
        <v/>
      </c>
      <c r="V109" s="197" t="str" cm="1">
        <f t="array" ref="V109">Common_InputFunctions.Utility_DisplayArrayInTable(Fertiliser_SourceData.Fertiliser_Products_Data1(),FertiliserProducts[[#Headers],[Include or Exclude]], 0,4)</f>
        <v/>
      </c>
      <c r="W109" s="197" t="str" cm="1">
        <f t="array" ref="W109">Common_InputFunctions.Utility_DisplayArrayInTable(Fertiliser_SourceData.Fertiliser_Products_Data1(),FertiliserProducts[[#Headers],[Include or Exclude]], 0,4)</f>
        <v/>
      </c>
      <c r="X109" s="197" t="str" cm="1">
        <f t="array" ref="X109">Common_InputFunctions.Utility_DisplayArrayInTable(Fertiliser_SourceData.Fertiliser_Products_Data1(),FertiliserProducts[[#Headers],[Include or Exclude]], 0,4)</f>
        <v/>
      </c>
      <c r="Y109" s="197" t="str" cm="1">
        <f t="array" ref="Y109">Common_InputFunctions.Utility_DisplayArrayInTable(Fertiliser_SourceData.Fertiliser_Products_Data1(),FertiliserProducts[[#Headers],[Include or Exclude]], 0,4)</f>
        <v/>
      </c>
      <c r="Z109" s="197" t="str" cm="1">
        <f t="array" ref="Z109">Common_InputFunctions.Utility_DisplayArrayInTable(Fertiliser_SourceData.Fertiliser_Products_Data1(),FertiliserProducts[[#Headers],[Include or Exclude]], 0,4)</f>
        <v/>
      </c>
      <c r="AA109" s="197" t="str" cm="1">
        <f t="array" ref="AA109">Common_InputFunctions.Utility_DisplayArrayInTable(Fertiliser_SourceData.Fertiliser_Products_Data1(),FertiliserProducts[[#Headers],[Include or Exclude]], 0,4)</f>
        <v/>
      </c>
      <c r="AB109" s="197" t="str" cm="1">
        <f t="array" ref="AB109">Common_InputFunctions.Utility_DisplayArrayInTable(Fertiliser_SourceData.Fertiliser_Products_Data1(),FertiliserProducts[[#Headers],[Include or Exclude]], 0,4)</f>
        <v/>
      </c>
      <c r="AC109" s="197" t="str" cm="1">
        <f t="array" ref="AC109">Common_InputFunctions.Utility_DisplayArrayInTable(Fertiliser_SourceData.Fertiliser_Products_Data1(),FertiliserProducts[[#Headers],[Include or Exclude]], 0,4)</f>
        <v/>
      </c>
      <c r="AD109" s="197" t="str" cm="1">
        <f t="array" ref="AD109">Common_InputFunctions.Utility_DisplayArrayInTable(Fertiliser_SourceData.Fertiliser_Products_Data1(),FertiliserProducts[[#Headers],[Include or Exclude]], 0,4)</f>
        <v/>
      </c>
      <c r="AE109" s="197" t="str" cm="1">
        <f t="array" ref="AE109">Common_InputFunctions.Utility_DisplayArrayInTable(Fertiliser_SourceData.Fertiliser_Products_Data1(),FertiliserProducts[[#Headers],[Include or Exclude]], 0,4)</f>
        <v/>
      </c>
    </row>
    <row r="110" spans="4:31" ht="20.100000000000001" customHeight="1" x14ac:dyDescent="0.25">
      <c r="D110" s="197" t="str" cm="1">
        <f t="array" ref="D110">Common_InputFunctions.Utility_DisplayArrayInTable(Fertiliser_SourceData.Fertiliser_Products_Data1(),FertiliserProducts[[#Headers],[Include or Exclude]], -1)</f>
        <v>Exclude - Not relevant</v>
      </c>
      <c r="E110" s="197" t="str" cm="1">
        <f t="array" ref="E110">Common_InputFunctions.Utility_DisplayArrayInTable(Fertiliser_SourceData.Fertiliser_Products_Data1(),FertiliserProducts[[#Headers],[Include or Exclude]], 0)</f>
        <v/>
      </c>
      <c r="F110" s="197" t="str" cm="1">
        <f t="array" ref="F110">Common_InputFunctions.Utility_DisplayArrayInTable(Fertiliser_SourceData.Fertiliser_Products_Data1(),FertiliserProducts[[#Headers],[Include or Exclude]], 0)</f>
        <v>Campbells fertilisers Australia</v>
      </c>
      <c r="G110" s="197" t="str" cm="1">
        <f t="array" ref="G110">Common_InputFunctions.Utility_DisplayArrayInTable(Fertiliser_SourceData.Fertiliser_Products_Data1(),FertiliserProducts[[#Headers],[Include or Exclude]], 0)</f>
        <v>Calbit C</v>
      </c>
      <c r="H110" s="197" t="str" cm="1">
        <f t="array" ref="H110">Common_InputFunctions.Utility_DisplayArrayInTable(Fertiliser_SourceData.Fertiliser_Products_Data1(),FertiliserProducts[[#Headers],[Include or Exclude]], 0,4)</f>
        <v>L</v>
      </c>
      <c r="I110" s="197" t="str" cm="1">
        <f t="array" ref="I110">Common_InputFunctions.Utility_DisplayArrayInTable(Fertiliser_SourceData.Fertiliser_Products_Data1(),FertiliserProducts[[#Headers],[Include or Exclude]], 0,4)</f>
        <v/>
      </c>
      <c r="J110" s="197" t="str" cm="1">
        <f t="array" ref="J110">Common_InputFunctions.Utility_DisplayArrayInTable(Fertiliser_SourceData.Fertiliser_Products_Data1(),FertiliserProducts[[#Headers],[Include or Exclude]], 0,4)</f>
        <v/>
      </c>
      <c r="K110" s="197" t="str" cm="1">
        <f t="array" ref="K110">Common_InputFunctions.Utility_DisplayArrayInTable(Fertiliser_SourceData.Fertiliser_Products_Data1(),FertiliserProducts[[#Headers],[Include or Exclude]], 0,4)</f>
        <v/>
      </c>
      <c r="L110" s="197" t="str" cm="1">
        <f t="array" ref="L110">Common_InputFunctions.Utility_DisplayArrayInTable(Fertiliser_SourceData.Fertiliser_Products_Data1(),FertiliserProducts[[#Headers],[Include or Exclude]], 0,4)</f>
        <v/>
      </c>
      <c r="M110" s="197" t="str" cm="1">
        <f t="array" ref="M110">Common_InputFunctions.Utility_DisplayArrayInTable(Fertiliser_SourceData.Fertiliser_Products_Data1(),FertiliserProducts[[#Headers],[Include or Exclude]], 0,4)</f>
        <v/>
      </c>
      <c r="N110" s="197" t="str" cm="1">
        <f t="array" ref="N110">Common_InputFunctions.Utility_DisplayArrayInTable(Fertiliser_SourceData.Fertiliser_Products_Data1(),FertiliserProducts[[#Headers],[Include or Exclude]], 0,4)</f>
        <v/>
      </c>
      <c r="O110" s="197" t="str" cm="1">
        <f t="array" ref="O110">Common_InputFunctions.Utility_DisplayArrayInTable(Fertiliser_SourceData.Fertiliser_Products_Data1(),FertiliserProducts[[#Headers],[Include or Exclude]], 0,4)</f>
        <v/>
      </c>
      <c r="P110" s="197" t="str" cm="1">
        <f t="array" ref="P110">Common_InputFunctions.Utility_DisplayArrayInTable(Fertiliser_SourceData.Fertiliser_Products_Data1(),FertiliserProducts[[#Headers],[Include or Exclude]], 0,4)</f>
        <v/>
      </c>
      <c r="Q110" s="197" t="str" cm="1">
        <f t="array" ref="Q110">Common_InputFunctions.Utility_DisplayArrayInTable(Fertiliser_SourceData.Fertiliser_Products_Data1(),FertiliserProducts[[#Headers],[Include or Exclude]], 0,4)</f>
        <v/>
      </c>
      <c r="R110" s="197" t="str" cm="1">
        <f t="array" ref="R110">Common_InputFunctions.Utility_DisplayArrayInTable(Fertiliser_SourceData.Fertiliser_Products_Data1(),FertiliserProducts[[#Headers],[Include or Exclude]], 0,4)</f>
        <v/>
      </c>
      <c r="S110" s="197" t="str" cm="1">
        <f t="array" ref="S110">Common_InputFunctions.Utility_DisplayArrayInTable(Fertiliser_SourceData.Fertiliser_Products_Data1(),FertiliserProducts[[#Headers],[Include or Exclude]], 0,4)</f>
        <v/>
      </c>
      <c r="T110" s="197" t="str" cm="1">
        <f t="array" ref="T110">Common_InputFunctions.Utility_DisplayArrayInTable(Fertiliser_SourceData.Fertiliser_Products_Data1(),FertiliserProducts[[#Headers],[Include or Exclude]], 0,4)</f>
        <v/>
      </c>
      <c r="U110" s="197" t="str" cm="1">
        <f t="array" ref="U110">Common_InputFunctions.Utility_DisplayArrayInTable(Fertiliser_SourceData.Fertiliser_Products_Data1(),FertiliserProducts[[#Headers],[Include or Exclude]], 0,4)</f>
        <v/>
      </c>
      <c r="V110" s="197" t="str" cm="1">
        <f t="array" ref="V110">Common_InputFunctions.Utility_DisplayArrayInTable(Fertiliser_SourceData.Fertiliser_Products_Data1(),FertiliserProducts[[#Headers],[Include or Exclude]], 0,4)</f>
        <v/>
      </c>
      <c r="W110" s="197" t="str" cm="1">
        <f t="array" ref="W110">Common_InputFunctions.Utility_DisplayArrayInTable(Fertiliser_SourceData.Fertiliser_Products_Data1(),FertiliserProducts[[#Headers],[Include or Exclude]], 0,4)</f>
        <v/>
      </c>
      <c r="X110" s="197" t="str" cm="1">
        <f t="array" ref="X110">Common_InputFunctions.Utility_DisplayArrayInTable(Fertiliser_SourceData.Fertiliser_Products_Data1(),FertiliserProducts[[#Headers],[Include or Exclude]], 0,4)</f>
        <v/>
      </c>
      <c r="Y110" s="197" t="str" cm="1">
        <f t="array" ref="Y110">Common_InputFunctions.Utility_DisplayArrayInTable(Fertiliser_SourceData.Fertiliser_Products_Data1(),FertiliserProducts[[#Headers],[Include or Exclude]], 0,4)</f>
        <v/>
      </c>
      <c r="Z110" s="197" t="str" cm="1">
        <f t="array" ref="Z110">Common_InputFunctions.Utility_DisplayArrayInTable(Fertiliser_SourceData.Fertiliser_Products_Data1(),FertiliserProducts[[#Headers],[Include or Exclude]], 0,4)</f>
        <v/>
      </c>
      <c r="AA110" s="197" t="str" cm="1">
        <f t="array" ref="AA110">Common_InputFunctions.Utility_DisplayArrayInTable(Fertiliser_SourceData.Fertiliser_Products_Data1(),FertiliserProducts[[#Headers],[Include or Exclude]], 0,4)</f>
        <v/>
      </c>
      <c r="AB110" s="197" t="str" cm="1">
        <f t="array" ref="AB110">Common_InputFunctions.Utility_DisplayArrayInTable(Fertiliser_SourceData.Fertiliser_Products_Data1(),FertiliserProducts[[#Headers],[Include or Exclude]], 0,4)</f>
        <v/>
      </c>
      <c r="AC110" s="197" t="str" cm="1">
        <f t="array" ref="AC110">Common_InputFunctions.Utility_DisplayArrayInTable(Fertiliser_SourceData.Fertiliser_Products_Data1(),FertiliserProducts[[#Headers],[Include or Exclude]], 0,4)</f>
        <v/>
      </c>
      <c r="AD110" s="197" t="str" cm="1">
        <f t="array" ref="AD110">Common_InputFunctions.Utility_DisplayArrayInTable(Fertiliser_SourceData.Fertiliser_Products_Data1(),FertiliserProducts[[#Headers],[Include or Exclude]], 0,4)</f>
        <v/>
      </c>
      <c r="AE110" s="197" t="str" cm="1">
        <f t="array" ref="AE110">Common_InputFunctions.Utility_DisplayArrayInTable(Fertiliser_SourceData.Fertiliser_Products_Data1(),FertiliserProducts[[#Headers],[Include or Exclude]], 0,4)</f>
        <v/>
      </c>
    </row>
    <row r="111" spans="4:31" ht="20.100000000000001" customHeight="1" x14ac:dyDescent="0.25">
      <c r="D111" s="197" t="str" cm="1">
        <f t="array" ref="D111">Common_InputFunctions.Utility_DisplayArrayInTable(Fertiliser_SourceData.Fertiliser_Products_Data1(),FertiliserProducts[[#Headers],[Include or Exclude]], -1)</f>
        <v>Include</v>
      </c>
      <c r="E111" s="197" t="str" cm="1">
        <f t="array" ref="E111">Common_InputFunctions.Utility_DisplayArrayInTable(Fertiliser_SourceData.Fertiliser_Products_Data1(),FertiliserProducts[[#Headers],[Include or Exclude]], 0)</f>
        <v/>
      </c>
      <c r="F111" s="197" t="str" cm="1">
        <f t="array" ref="F111">Common_InputFunctions.Utility_DisplayArrayInTable(Fertiliser_SourceData.Fertiliser_Products_Data1(),FertiliserProducts[[#Headers],[Include or Exclude]], 0)</f>
        <v>Campbells fertilisers Australia</v>
      </c>
      <c r="G111" s="197" t="str" cm="1">
        <f t="array" ref="G111">Common_InputFunctions.Utility_DisplayArrayInTable(Fertiliser_SourceData.Fertiliser_Products_Data1(),FertiliserProducts[[#Headers],[Include or Exclude]], 0)</f>
        <v>Calcium 175</v>
      </c>
      <c r="H111" s="197" t="str" cm="1">
        <f t="array" ref="H111">Common_InputFunctions.Utility_DisplayArrayInTable(Fertiliser_SourceData.Fertiliser_Products_Data1(),FertiliserProducts[[#Headers],[Include or Exclude]], 0,4)</f>
        <v>L</v>
      </c>
      <c r="I111" s="197" t="str" cm="1">
        <f t="array" ref="I111">Common_InputFunctions.Utility_DisplayArrayInTable(Fertiliser_SourceData.Fertiliser_Products_Data1(),FertiliserProducts[[#Headers],[Include or Exclude]], 0,4)</f>
        <v/>
      </c>
      <c r="J111" s="197" t="str" cm="1">
        <f t="array" ref="J111">Common_InputFunctions.Utility_DisplayArrayInTable(Fertiliser_SourceData.Fertiliser_Products_Data1(),FertiliserProducts[[#Headers],[Include or Exclude]], 0,4)</f>
        <v/>
      </c>
      <c r="K111" s="197" t="str" cm="1">
        <f t="array" ref="K111">Common_InputFunctions.Utility_DisplayArrayInTable(Fertiliser_SourceData.Fertiliser_Products_Data1(),FertiliserProducts[[#Headers],[Include or Exclude]], 0,4)</f>
        <v/>
      </c>
      <c r="L111" s="197" t="str" cm="1">
        <f t="array" ref="L111">Common_InputFunctions.Utility_DisplayArrayInTable(Fertiliser_SourceData.Fertiliser_Products_Data1(),FertiliserProducts[[#Headers],[Include or Exclude]], 0,4)</f>
        <v/>
      </c>
      <c r="M111" s="197" t="str" cm="1">
        <f t="array" ref="M111">Common_InputFunctions.Utility_DisplayArrayInTable(Fertiliser_SourceData.Fertiliser_Products_Data1(),FertiliserProducts[[#Headers],[Include or Exclude]], 0,4)</f>
        <v/>
      </c>
      <c r="N111" s="197" t="str" cm="1">
        <f t="array" ref="N111">Common_InputFunctions.Utility_DisplayArrayInTable(Fertiliser_SourceData.Fertiliser_Products_Data1(),FertiliserProducts[[#Headers],[Include or Exclude]], 0,4)</f>
        <v/>
      </c>
      <c r="O111" s="197" t="str" cm="1">
        <f t="array" ref="O111">Common_InputFunctions.Utility_DisplayArrayInTable(Fertiliser_SourceData.Fertiliser_Products_Data1(),FertiliserProducts[[#Headers],[Include or Exclude]], 0,4)</f>
        <v/>
      </c>
      <c r="P111" s="197" t="str" cm="1">
        <f t="array" ref="P111">Common_InputFunctions.Utility_DisplayArrayInTable(Fertiliser_SourceData.Fertiliser_Products_Data1(),FertiliserProducts[[#Headers],[Include or Exclude]], 0,4)</f>
        <v/>
      </c>
      <c r="Q111" s="197" t="str" cm="1">
        <f t="array" ref="Q111">Common_InputFunctions.Utility_DisplayArrayInTable(Fertiliser_SourceData.Fertiliser_Products_Data1(),FertiliserProducts[[#Headers],[Include or Exclude]], 0,4)</f>
        <v/>
      </c>
      <c r="R111" s="197" t="str" cm="1">
        <f t="array" ref="R111">Common_InputFunctions.Utility_DisplayArrayInTable(Fertiliser_SourceData.Fertiliser_Products_Data1(),FertiliserProducts[[#Headers],[Include or Exclude]], 0,4)</f>
        <v/>
      </c>
      <c r="S111" s="197" t="str" cm="1">
        <f t="array" ref="S111">Common_InputFunctions.Utility_DisplayArrayInTable(Fertiliser_SourceData.Fertiliser_Products_Data1(),FertiliserProducts[[#Headers],[Include or Exclude]], 0,4)</f>
        <v/>
      </c>
      <c r="T111" s="197" t="str" cm="1">
        <f t="array" ref="T111">Common_InputFunctions.Utility_DisplayArrayInTable(Fertiliser_SourceData.Fertiliser_Products_Data1(),FertiliserProducts[[#Headers],[Include or Exclude]], 0,4)</f>
        <v/>
      </c>
      <c r="U111" s="197" t="str" cm="1">
        <f t="array" ref="U111">Common_InputFunctions.Utility_DisplayArrayInTable(Fertiliser_SourceData.Fertiliser_Products_Data1(),FertiliserProducts[[#Headers],[Include or Exclude]], 0,4)</f>
        <v/>
      </c>
      <c r="V111" s="197" t="str" cm="1">
        <f t="array" ref="V111">Common_InputFunctions.Utility_DisplayArrayInTable(Fertiliser_SourceData.Fertiliser_Products_Data1(),FertiliserProducts[[#Headers],[Include or Exclude]], 0,4)</f>
        <v/>
      </c>
      <c r="W111" s="197" t="str" cm="1">
        <f t="array" ref="W111">Common_InputFunctions.Utility_DisplayArrayInTable(Fertiliser_SourceData.Fertiliser_Products_Data1(),FertiliserProducts[[#Headers],[Include or Exclude]], 0,4)</f>
        <v/>
      </c>
      <c r="X111" s="197" t="str" cm="1">
        <f t="array" ref="X111">Common_InputFunctions.Utility_DisplayArrayInTable(Fertiliser_SourceData.Fertiliser_Products_Data1(),FertiliserProducts[[#Headers],[Include or Exclude]], 0,4)</f>
        <v/>
      </c>
      <c r="Y111" s="197" t="str" cm="1">
        <f t="array" ref="Y111">Common_InputFunctions.Utility_DisplayArrayInTable(Fertiliser_SourceData.Fertiliser_Products_Data1(),FertiliserProducts[[#Headers],[Include or Exclude]], 0,4)</f>
        <v/>
      </c>
      <c r="Z111" s="197" t="str" cm="1">
        <f t="array" ref="Z111">Common_InputFunctions.Utility_DisplayArrayInTable(Fertiliser_SourceData.Fertiliser_Products_Data1(),FertiliserProducts[[#Headers],[Include or Exclude]], 0,4)</f>
        <v/>
      </c>
      <c r="AA111" s="197" t="str" cm="1">
        <f t="array" ref="AA111">Common_InputFunctions.Utility_DisplayArrayInTable(Fertiliser_SourceData.Fertiliser_Products_Data1(),FertiliserProducts[[#Headers],[Include or Exclude]], 0,4)</f>
        <v/>
      </c>
      <c r="AB111" s="197" t="str" cm="1">
        <f t="array" ref="AB111">Common_InputFunctions.Utility_DisplayArrayInTable(Fertiliser_SourceData.Fertiliser_Products_Data1(),FertiliserProducts[[#Headers],[Include or Exclude]], 0,4)</f>
        <v/>
      </c>
      <c r="AC111" s="197" t="str" cm="1">
        <f t="array" ref="AC111">Common_InputFunctions.Utility_DisplayArrayInTable(Fertiliser_SourceData.Fertiliser_Products_Data1(),FertiliserProducts[[#Headers],[Include or Exclude]], 0,4)</f>
        <v/>
      </c>
      <c r="AD111" s="197" t="str" cm="1">
        <f t="array" ref="AD111">Common_InputFunctions.Utility_DisplayArrayInTable(Fertiliser_SourceData.Fertiliser_Products_Data1(),FertiliserProducts[[#Headers],[Include or Exclude]], 0,4)</f>
        <v/>
      </c>
      <c r="AE111" s="197" t="str" cm="1">
        <f t="array" ref="AE111">Common_InputFunctions.Utility_DisplayArrayInTable(Fertiliser_SourceData.Fertiliser_Products_Data1(),FertiliserProducts[[#Headers],[Include or Exclude]], 0,4)</f>
        <v/>
      </c>
    </row>
    <row r="112" spans="4:31" ht="20.100000000000001" customHeight="1" x14ac:dyDescent="0.25">
      <c r="D112" s="197" t="str" cm="1">
        <f t="array" ref="D112">Common_InputFunctions.Utility_DisplayArrayInTable(Fertiliser_SourceData.Fertiliser_Products_Data1(),FertiliserProducts[[#Headers],[Include or Exclude]], -1)</f>
        <v/>
      </c>
      <c r="E112" s="197" t="str" cm="1">
        <f t="array" ref="E112">Common_InputFunctions.Utility_DisplayArrayInTable(Fertiliser_SourceData.Fertiliser_Products_Data1(),FertiliserProducts[[#Headers],[Include or Exclude]], 0)</f>
        <v>Use Lime EF for calcium</v>
      </c>
      <c r="F112" s="197" t="str" cm="1">
        <f t="array" ref="F112">Common_InputFunctions.Utility_DisplayArrayInTable(Fertiliser_SourceData.Fertiliser_Products_Data1(),FertiliserProducts[[#Headers],[Include or Exclude]], 0)</f>
        <v>Campbells fertilisers Australia</v>
      </c>
      <c r="G112" s="197" t="str" cm="1">
        <f t="array" ref="G112">Common_InputFunctions.Utility_DisplayArrayInTable(Fertiliser_SourceData.Fertiliser_Products_Data1(),FertiliserProducts[[#Headers],[Include or Exclude]], 0)</f>
        <v>CalPhos</v>
      </c>
      <c r="H112" s="197" t="str" cm="1">
        <f t="array" ref="H112">Common_InputFunctions.Utility_DisplayArrayInTable(Fertiliser_SourceData.Fertiliser_Products_Data1(),FertiliserProducts[[#Headers],[Include or Exclude]], 0,4)</f>
        <v>L</v>
      </c>
      <c r="I112" s="197" cm="1">
        <f t="array" ref="I112">Common_InputFunctions.Utility_DisplayArrayInTable(Fertiliser_SourceData.Fertiliser_Products_Data1(),FertiliserProducts[[#Headers],[Include or Exclude]], 0,4)</f>
        <v>1.2849999999999999</v>
      </c>
      <c r="J112" s="197" t="str" cm="1">
        <f t="array" ref="J112">Common_InputFunctions.Utility_DisplayArrayInTable(Fertiliser_SourceData.Fertiliser_Products_Data1(),FertiliserProducts[[#Headers],[Include or Exclude]], 0,4)</f>
        <v/>
      </c>
      <c r="K112" s="197" t="str" cm="1">
        <f t="array" ref="K112">Common_InputFunctions.Utility_DisplayArrayInTable(Fertiliser_SourceData.Fertiliser_Products_Data1(),FertiliserProducts[[#Headers],[Include or Exclude]], 0,4)</f>
        <v/>
      </c>
      <c r="L112" s="197" t="str" cm="1">
        <f t="array" ref="L112">Common_InputFunctions.Utility_DisplayArrayInTable(Fertiliser_SourceData.Fertiliser_Products_Data1(),FertiliserProducts[[#Headers],[Include or Exclude]], 0,4)</f>
        <v>Phosphorus - Generic</v>
      </c>
      <c r="M112" s="197" cm="1">
        <f t="array" ref="M112">Common_InputFunctions.Utility_DisplayArrayInTable(Fertiliser_SourceData.Fertiliser_Products_Data1(),FertiliserProducts[[#Headers],[Include or Exclude]], 0,4)</f>
        <v>0.13500000000000001</v>
      </c>
      <c r="N112" s="197" t="str" cm="1">
        <f t="array" ref="N112">Common_InputFunctions.Utility_DisplayArrayInTable(Fertiliser_SourceData.Fertiliser_Products_Data1(),FertiliserProducts[[#Headers],[Include or Exclude]], 0,4)</f>
        <v>Calcium - Generic</v>
      </c>
      <c r="O112" s="197" cm="1">
        <f t="array" ref="O112">Common_InputFunctions.Utility_DisplayArrayInTable(Fertiliser_SourceData.Fertiliser_Products_Data1(),FertiliserProducts[[#Headers],[Include or Exclude]], 0,4)</f>
        <v>0.04</v>
      </c>
      <c r="P112" s="197" t="str" cm="1">
        <f t="array" ref="P112">Common_InputFunctions.Utility_DisplayArrayInTable(Fertiliser_SourceData.Fertiliser_Products_Data1(),FertiliserProducts[[#Headers],[Include or Exclude]], 0,4)</f>
        <v/>
      </c>
      <c r="Q112" s="197" t="str" cm="1">
        <f t="array" ref="Q112">Common_InputFunctions.Utility_DisplayArrayInTable(Fertiliser_SourceData.Fertiliser_Products_Data1(),FertiliserProducts[[#Headers],[Include or Exclude]], 0,4)</f>
        <v/>
      </c>
      <c r="R112" s="197" t="str" cm="1">
        <f t="array" ref="R112">Common_InputFunctions.Utility_DisplayArrayInTable(Fertiliser_SourceData.Fertiliser_Products_Data1(),FertiliserProducts[[#Headers],[Include or Exclude]], 0,4)</f>
        <v/>
      </c>
      <c r="S112" s="197" t="str" cm="1">
        <f t="array" ref="S112">Common_InputFunctions.Utility_DisplayArrayInTable(Fertiliser_SourceData.Fertiliser_Products_Data1(),FertiliserProducts[[#Headers],[Include or Exclude]], 0,4)</f>
        <v/>
      </c>
      <c r="T112" s="197" t="str" cm="1">
        <f t="array" ref="T112">Common_InputFunctions.Utility_DisplayArrayInTable(Fertiliser_SourceData.Fertiliser_Products_Data1(),FertiliserProducts[[#Headers],[Include or Exclude]], 0,4)</f>
        <v/>
      </c>
      <c r="U112" s="197" t="str" cm="1">
        <f t="array" ref="U112">Common_InputFunctions.Utility_DisplayArrayInTable(Fertiliser_SourceData.Fertiliser_Products_Data1(),FertiliserProducts[[#Headers],[Include or Exclude]], 0,4)</f>
        <v/>
      </c>
      <c r="V112" s="197" t="str" cm="1">
        <f t="array" ref="V112">Common_InputFunctions.Utility_DisplayArrayInTable(Fertiliser_SourceData.Fertiliser_Products_Data1(),FertiliserProducts[[#Headers],[Include or Exclude]], 0,4)</f>
        <v/>
      </c>
      <c r="W112" s="197" t="str" cm="1">
        <f t="array" ref="W112">Common_InputFunctions.Utility_DisplayArrayInTable(Fertiliser_SourceData.Fertiliser_Products_Data1(),FertiliserProducts[[#Headers],[Include or Exclude]], 0,4)</f>
        <v/>
      </c>
      <c r="X112" s="197" t="str" cm="1">
        <f t="array" ref="X112">Common_InputFunctions.Utility_DisplayArrayInTable(Fertiliser_SourceData.Fertiliser_Products_Data1(),FertiliserProducts[[#Headers],[Include or Exclude]], 0,4)</f>
        <v/>
      </c>
      <c r="Y112" s="197" t="str" cm="1">
        <f t="array" ref="Y112">Common_InputFunctions.Utility_DisplayArrayInTable(Fertiliser_SourceData.Fertiliser_Products_Data1(),FertiliserProducts[[#Headers],[Include or Exclude]], 0,4)</f>
        <v/>
      </c>
      <c r="Z112" s="197" t="str" cm="1">
        <f t="array" ref="Z112">Common_InputFunctions.Utility_DisplayArrayInTable(Fertiliser_SourceData.Fertiliser_Products_Data1(),FertiliserProducts[[#Headers],[Include or Exclude]], 0,4)</f>
        <v/>
      </c>
      <c r="AA112" s="197" t="str" cm="1">
        <f t="array" ref="AA112">Common_InputFunctions.Utility_DisplayArrayInTable(Fertiliser_SourceData.Fertiliser_Products_Data1(),FertiliserProducts[[#Headers],[Include or Exclude]], 0,4)</f>
        <v/>
      </c>
      <c r="AB112" s="197" t="str" cm="1">
        <f t="array" ref="AB112">Common_InputFunctions.Utility_DisplayArrayInTable(Fertiliser_SourceData.Fertiliser_Products_Data1(),FertiliserProducts[[#Headers],[Include or Exclude]], 0,4)</f>
        <v/>
      </c>
      <c r="AC112" s="197" t="str" cm="1">
        <f t="array" ref="AC112">Common_InputFunctions.Utility_DisplayArrayInTable(Fertiliser_SourceData.Fertiliser_Products_Data1(),FertiliserProducts[[#Headers],[Include or Exclude]], 0,4)</f>
        <v/>
      </c>
      <c r="AD112" s="197" t="str" cm="1">
        <f t="array" ref="AD112">Common_InputFunctions.Utility_DisplayArrayInTable(Fertiliser_SourceData.Fertiliser_Products_Data1(),FertiliserProducts[[#Headers],[Include or Exclude]], 0,4)</f>
        <v/>
      </c>
      <c r="AE112" s="197" t="str" cm="1">
        <f t="array" ref="AE112">Common_InputFunctions.Utility_DisplayArrayInTable(Fertiliser_SourceData.Fertiliser_Products_Data1(),FertiliserProducts[[#Headers],[Include or Exclude]], 0,4)</f>
        <v/>
      </c>
    </row>
    <row r="113" spans="4:31" ht="20.100000000000001" customHeight="1" x14ac:dyDescent="0.25">
      <c r="D113" s="197" t="str" cm="1">
        <f t="array" ref="D113">Common_InputFunctions.Utility_DisplayArrayInTable(Fertiliser_SourceData.Fertiliser_Products_Data1(),FertiliserProducts[[#Headers],[Include or Exclude]], -1)</f>
        <v/>
      </c>
      <c r="E113" s="197" t="str" cm="1">
        <f t="array" ref="E113">Common_InputFunctions.Utility_DisplayArrayInTable(Fertiliser_SourceData.Fertiliser_Products_Data1(),FertiliserProducts[[#Headers],[Include or Exclude]], 0)</f>
        <v/>
      </c>
      <c r="F113" s="197" t="str" cm="1">
        <f t="array" ref="F113">Common_InputFunctions.Utility_DisplayArrayInTable(Fertiliser_SourceData.Fertiliser_Products_Data1(),FertiliserProducts[[#Headers],[Include or Exclude]], 0)</f>
        <v/>
      </c>
      <c r="G113" s="197" t="str" cm="1">
        <f t="array" ref="G113">Common_InputFunctions.Utility_DisplayArrayInTable(Fertiliser_SourceData.Fertiliser_Products_Data1(),FertiliserProducts[[#Headers],[Include or Exclude]], 0)</f>
        <v/>
      </c>
      <c r="H113" s="197" t="str" cm="1">
        <f t="array" ref="H113">Common_InputFunctions.Utility_DisplayArrayInTable(Fertiliser_SourceData.Fertiliser_Products_Data1(),FertiliserProducts[[#Headers],[Include or Exclude]], 0,4)</f>
        <v/>
      </c>
      <c r="I113" s="197" t="str" cm="1">
        <f t="array" ref="I113">Common_InputFunctions.Utility_DisplayArrayInTable(Fertiliser_SourceData.Fertiliser_Products_Data1(),FertiliserProducts[[#Headers],[Include or Exclude]], 0,4)</f>
        <v/>
      </c>
      <c r="J113" s="197" t="str" cm="1">
        <f t="array" ref="J113">Common_InputFunctions.Utility_DisplayArrayInTable(Fertiliser_SourceData.Fertiliser_Products_Data1(),FertiliserProducts[[#Headers],[Include or Exclude]], 0,4)</f>
        <v/>
      </c>
      <c r="K113" s="197" t="str" cm="1">
        <f t="array" ref="K113">Common_InputFunctions.Utility_DisplayArrayInTable(Fertiliser_SourceData.Fertiliser_Products_Data1(),FertiliserProducts[[#Headers],[Include or Exclude]], 0,4)</f>
        <v/>
      </c>
      <c r="L113" s="197" t="str" cm="1">
        <f t="array" ref="L113">Common_InputFunctions.Utility_DisplayArrayInTable(Fertiliser_SourceData.Fertiliser_Products_Data1(),FertiliserProducts[[#Headers],[Include or Exclude]], 0,4)</f>
        <v/>
      </c>
      <c r="M113" s="197" t="str" cm="1">
        <f t="array" ref="M113">Common_InputFunctions.Utility_DisplayArrayInTable(Fertiliser_SourceData.Fertiliser_Products_Data1(),FertiliserProducts[[#Headers],[Include or Exclude]], 0,4)</f>
        <v/>
      </c>
      <c r="N113" s="197" t="str" cm="1">
        <f t="array" ref="N113">Common_InputFunctions.Utility_DisplayArrayInTable(Fertiliser_SourceData.Fertiliser_Products_Data1(),FertiliserProducts[[#Headers],[Include or Exclude]], 0,4)</f>
        <v/>
      </c>
      <c r="O113" s="197" t="str" cm="1">
        <f t="array" ref="O113">Common_InputFunctions.Utility_DisplayArrayInTable(Fertiliser_SourceData.Fertiliser_Products_Data1(),FertiliserProducts[[#Headers],[Include or Exclude]], 0,4)</f>
        <v/>
      </c>
      <c r="P113" s="197" t="str" cm="1">
        <f t="array" ref="P113">Common_InputFunctions.Utility_DisplayArrayInTable(Fertiliser_SourceData.Fertiliser_Products_Data1(),FertiliserProducts[[#Headers],[Include or Exclude]], 0,4)</f>
        <v/>
      </c>
      <c r="Q113" s="197" t="str" cm="1">
        <f t="array" ref="Q113">Common_InputFunctions.Utility_DisplayArrayInTable(Fertiliser_SourceData.Fertiliser_Products_Data1(),FertiliserProducts[[#Headers],[Include or Exclude]], 0,4)</f>
        <v/>
      </c>
      <c r="R113" s="197" t="str" cm="1">
        <f t="array" ref="R113">Common_InputFunctions.Utility_DisplayArrayInTable(Fertiliser_SourceData.Fertiliser_Products_Data1(),FertiliserProducts[[#Headers],[Include or Exclude]], 0,4)</f>
        <v/>
      </c>
      <c r="S113" s="197" t="str" cm="1">
        <f t="array" ref="S113">Common_InputFunctions.Utility_DisplayArrayInTable(Fertiliser_SourceData.Fertiliser_Products_Data1(),FertiliserProducts[[#Headers],[Include or Exclude]], 0,4)</f>
        <v/>
      </c>
      <c r="T113" s="197" t="str" cm="1">
        <f t="array" ref="T113">Common_InputFunctions.Utility_DisplayArrayInTable(Fertiliser_SourceData.Fertiliser_Products_Data1(),FertiliserProducts[[#Headers],[Include or Exclude]], 0,4)</f>
        <v/>
      </c>
      <c r="U113" s="197" t="str" cm="1">
        <f t="array" ref="U113">Common_InputFunctions.Utility_DisplayArrayInTable(Fertiliser_SourceData.Fertiliser_Products_Data1(),FertiliserProducts[[#Headers],[Include or Exclude]], 0,4)</f>
        <v/>
      </c>
      <c r="V113" s="197" t="str" cm="1">
        <f t="array" ref="V113">Common_InputFunctions.Utility_DisplayArrayInTable(Fertiliser_SourceData.Fertiliser_Products_Data1(),FertiliserProducts[[#Headers],[Include or Exclude]], 0,4)</f>
        <v/>
      </c>
      <c r="W113" s="197" t="str" cm="1">
        <f t="array" ref="W113">Common_InputFunctions.Utility_DisplayArrayInTable(Fertiliser_SourceData.Fertiliser_Products_Data1(),FertiliserProducts[[#Headers],[Include or Exclude]], 0,4)</f>
        <v/>
      </c>
      <c r="X113" s="197" t="str" cm="1">
        <f t="array" ref="X113">Common_InputFunctions.Utility_DisplayArrayInTable(Fertiliser_SourceData.Fertiliser_Products_Data1(),FertiliserProducts[[#Headers],[Include or Exclude]], 0,4)</f>
        <v/>
      </c>
      <c r="Y113" s="197" t="str" cm="1">
        <f t="array" ref="Y113">Common_InputFunctions.Utility_DisplayArrayInTable(Fertiliser_SourceData.Fertiliser_Products_Data1(),FertiliserProducts[[#Headers],[Include or Exclude]], 0,4)</f>
        <v/>
      </c>
      <c r="Z113" s="197" t="str" cm="1">
        <f t="array" ref="Z113">Common_InputFunctions.Utility_DisplayArrayInTable(Fertiliser_SourceData.Fertiliser_Products_Data1(),FertiliserProducts[[#Headers],[Include or Exclude]], 0,4)</f>
        <v/>
      </c>
      <c r="AA113" s="197" t="str" cm="1">
        <f t="array" ref="AA113">Common_InputFunctions.Utility_DisplayArrayInTable(Fertiliser_SourceData.Fertiliser_Products_Data1(),FertiliserProducts[[#Headers],[Include or Exclude]], 0,4)</f>
        <v/>
      </c>
      <c r="AB113" s="197" t="str" cm="1">
        <f t="array" ref="AB113">Common_InputFunctions.Utility_DisplayArrayInTable(Fertiliser_SourceData.Fertiliser_Products_Data1(),FertiliserProducts[[#Headers],[Include or Exclude]], 0,4)</f>
        <v/>
      </c>
      <c r="AC113" s="197" t="str" cm="1">
        <f t="array" ref="AC113">Common_InputFunctions.Utility_DisplayArrayInTable(Fertiliser_SourceData.Fertiliser_Products_Data1(),FertiliserProducts[[#Headers],[Include or Exclude]], 0,4)</f>
        <v/>
      </c>
      <c r="AD113" s="197" t="str" cm="1">
        <f t="array" ref="AD113">Common_InputFunctions.Utility_DisplayArrayInTable(Fertiliser_SourceData.Fertiliser_Products_Data1(),FertiliserProducts[[#Headers],[Include or Exclude]], 0,4)</f>
        <v/>
      </c>
      <c r="AE113" s="197" t="str" cm="1">
        <f t="array" ref="AE113">Common_InputFunctions.Utility_DisplayArrayInTable(Fertiliser_SourceData.Fertiliser_Products_Data1(),FertiliserProducts[[#Headers],[Include or Exclude]], 0,4)</f>
        <v/>
      </c>
    </row>
    <row r="114" spans="4:31" ht="20.100000000000001" customHeight="1" x14ac:dyDescent="0.25">
      <c r="D114" s="197" t="str" cm="1">
        <f t="array" ref="D114">Common_InputFunctions.Utility_DisplayArrayInTable(Fertiliser_SourceData.Fertiliser_Products_Data1(),FertiliserProducts[[#Headers],[Include or Exclude]], -1)</f>
        <v/>
      </c>
      <c r="E114" s="197" t="str" cm="1">
        <f t="array" ref="E114">Common_InputFunctions.Utility_DisplayArrayInTable(Fertiliser_SourceData.Fertiliser_Products_Data1(),FertiliserProducts[[#Headers],[Include or Exclude]], 0)</f>
        <v/>
      </c>
      <c r="F114" s="197" t="str" cm="1">
        <f t="array" ref="F114">Common_InputFunctions.Utility_DisplayArrayInTable(Fertiliser_SourceData.Fertiliser_Products_Data1(),FertiliserProducts[[#Headers],[Include or Exclude]], 0)</f>
        <v/>
      </c>
      <c r="G114" s="197" t="str" cm="1">
        <f t="array" ref="G114">Common_InputFunctions.Utility_DisplayArrayInTable(Fertiliser_SourceData.Fertiliser_Products_Data1(),FertiliserProducts[[#Headers],[Include or Exclude]], 0)</f>
        <v/>
      </c>
      <c r="H114" s="197" t="str" cm="1">
        <f t="array" ref="H114">Common_InputFunctions.Utility_DisplayArrayInTable(Fertiliser_SourceData.Fertiliser_Products_Data1(),FertiliserProducts[[#Headers],[Include or Exclude]], 0,4)</f>
        <v/>
      </c>
      <c r="I114" s="197" t="str" cm="1">
        <f t="array" ref="I114">Common_InputFunctions.Utility_DisplayArrayInTable(Fertiliser_SourceData.Fertiliser_Products_Data1(),FertiliserProducts[[#Headers],[Include or Exclude]], 0,4)</f>
        <v/>
      </c>
      <c r="J114" s="197" t="str" cm="1">
        <f t="array" ref="J114">Common_InputFunctions.Utility_DisplayArrayInTable(Fertiliser_SourceData.Fertiliser_Products_Data1(),FertiliserProducts[[#Headers],[Include or Exclude]], 0,4)</f>
        <v/>
      </c>
      <c r="K114" s="197" t="str" cm="1">
        <f t="array" ref="K114">Common_InputFunctions.Utility_DisplayArrayInTable(Fertiliser_SourceData.Fertiliser_Products_Data1(),FertiliserProducts[[#Headers],[Include or Exclude]], 0,4)</f>
        <v/>
      </c>
      <c r="L114" s="197" t="str" cm="1">
        <f t="array" ref="L114">Common_InputFunctions.Utility_DisplayArrayInTable(Fertiliser_SourceData.Fertiliser_Products_Data1(),FertiliserProducts[[#Headers],[Include or Exclude]], 0,4)</f>
        <v/>
      </c>
      <c r="M114" s="197" t="str" cm="1">
        <f t="array" ref="M114">Common_InputFunctions.Utility_DisplayArrayInTable(Fertiliser_SourceData.Fertiliser_Products_Data1(),FertiliserProducts[[#Headers],[Include or Exclude]], 0,4)</f>
        <v/>
      </c>
      <c r="N114" s="197" t="str" cm="1">
        <f t="array" ref="N114">Common_InputFunctions.Utility_DisplayArrayInTable(Fertiliser_SourceData.Fertiliser_Products_Data1(),FertiliserProducts[[#Headers],[Include or Exclude]], 0,4)</f>
        <v/>
      </c>
      <c r="O114" s="197" t="str" cm="1">
        <f t="array" ref="O114">Common_InputFunctions.Utility_DisplayArrayInTable(Fertiliser_SourceData.Fertiliser_Products_Data1(),FertiliserProducts[[#Headers],[Include or Exclude]], 0,4)</f>
        <v/>
      </c>
      <c r="P114" s="197" t="str" cm="1">
        <f t="array" ref="P114">Common_InputFunctions.Utility_DisplayArrayInTable(Fertiliser_SourceData.Fertiliser_Products_Data1(),FertiliserProducts[[#Headers],[Include or Exclude]], 0,4)</f>
        <v/>
      </c>
      <c r="Q114" s="197" t="str" cm="1">
        <f t="array" ref="Q114">Common_InputFunctions.Utility_DisplayArrayInTable(Fertiliser_SourceData.Fertiliser_Products_Data1(),FertiliserProducts[[#Headers],[Include or Exclude]], 0,4)</f>
        <v/>
      </c>
      <c r="R114" s="197" t="str" cm="1">
        <f t="array" ref="R114">Common_InputFunctions.Utility_DisplayArrayInTable(Fertiliser_SourceData.Fertiliser_Products_Data1(),FertiliserProducts[[#Headers],[Include or Exclude]], 0,4)</f>
        <v/>
      </c>
      <c r="S114" s="197" t="str" cm="1">
        <f t="array" ref="S114">Common_InputFunctions.Utility_DisplayArrayInTable(Fertiliser_SourceData.Fertiliser_Products_Data1(),FertiliserProducts[[#Headers],[Include or Exclude]], 0,4)</f>
        <v/>
      </c>
      <c r="T114" s="197" t="str" cm="1">
        <f t="array" ref="T114">Common_InputFunctions.Utility_DisplayArrayInTable(Fertiliser_SourceData.Fertiliser_Products_Data1(),FertiliserProducts[[#Headers],[Include or Exclude]], 0,4)</f>
        <v/>
      </c>
      <c r="U114" s="197" t="str" cm="1">
        <f t="array" ref="U114">Common_InputFunctions.Utility_DisplayArrayInTable(Fertiliser_SourceData.Fertiliser_Products_Data1(),FertiliserProducts[[#Headers],[Include or Exclude]], 0,4)</f>
        <v/>
      </c>
      <c r="V114" s="197" t="str" cm="1">
        <f t="array" ref="V114">Common_InputFunctions.Utility_DisplayArrayInTable(Fertiliser_SourceData.Fertiliser_Products_Data1(),FertiliserProducts[[#Headers],[Include or Exclude]], 0,4)</f>
        <v/>
      </c>
      <c r="W114" s="197" t="str" cm="1">
        <f t="array" ref="W114">Common_InputFunctions.Utility_DisplayArrayInTable(Fertiliser_SourceData.Fertiliser_Products_Data1(),FertiliserProducts[[#Headers],[Include or Exclude]], 0,4)</f>
        <v/>
      </c>
      <c r="X114" s="197" t="str" cm="1">
        <f t="array" ref="X114">Common_InputFunctions.Utility_DisplayArrayInTable(Fertiliser_SourceData.Fertiliser_Products_Data1(),FertiliserProducts[[#Headers],[Include or Exclude]], 0,4)</f>
        <v/>
      </c>
      <c r="Y114" s="197" t="str" cm="1">
        <f t="array" ref="Y114">Common_InputFunctions.Utility_DisplayArrayInTable(Fertiliser_SourceData.Fertiliser_Products_Data1(),FertiliserProducts[[#Headers],[Include or Exclude]], 0,4)</f>
        <v/>
      </c>
      <c r="Z114" s="197" t="str" cm="1">
        <f t="array" ref="Z114">Common_InputFunctions.Utility_DisplayArrayInTable(Fertiliser_SourceData.Fertiliser_Products_Data1(),FertiliserProducts[[#Headers],[Include or Exclude]], 0,4)</f>
        <v/>
      </c>
      <c r="AA114" s="197" t="str" cm="1">
        <f t="array" ref="AA114">Common_InputFunctions.Utility_DisplayArrayInTable(Fertiliser_SourceData.Fertiliser_Products_Data1(),FertiliserProducts[[#Headers],[Include or Exclude]], 0,4)</f>
        <v/>
      </c>
      <c r="AB114" s="197" t="str" cm="1">
        <f t="array" ref="AB114">Common_InputFunctions.Utility_DisplayArrayInTable(Fertiliser_SourceData.Fertiliser_Products_Data1(),FertiliserProducts[[#Headers],[Include or Exclude]], 0,4)</f>
        <v/>
      </c>
      <c r="AC114" s="197" t="str" cm="1">
        <f t="array" ref="AC114">Common_InputFunctions.Utility_DisplayArrayInTable(Fertiliser_SourceData.Fertiliser_Products_Data1(),FertiliserProducts[[#Headers],[Include or Exclude]], 0,4)</f>
        <v/>
      </c>
      <c r="AD114" s="197" t="str" cm="1">
        <f t="array" ref="AD114">Common_InputFunctions.Utility_DisplayArrayInTable(Fertiliser_SourceData.Fertiliser_Products_Data1(),FertiliserProducts[[#Headers],[Include or Exclude]], 0,4)</f>
        <v/>
      </c>
      <c r="AE114" s="197" t="str" cm="1">
        <f t="array" ref="AE114">Common_InputFunctions.Utility_DisplayArrayInTable(Fertiliser_SourceData.Fertiliser_Products_Data1(),FertiliserProducts[[#Headers],[Include or Exclude]], 0,4)</f>
        <v/>
      </c>
    </row>
    <row r="115" spans="4:31" ht="20.100000000000001" customHeight="1" x14ac:dyDescent="0.25">
      <c r="D115" s="197" t="str" cm="1">
        <f t="array" ref="D115">Common_InputFunctions.Utility_DisplayArrayInTable(Fertiliser_SourceData.Fertiliser_Products_Data1(),FertiliserProducts[[#Headers],[Include or Exclude]], -1)</f>
        <v/>
      </c>
      <c r="E115" s="197" t="str" cm="1">
        <f t="array" ref="E115">Common_InputFunctions.Utility_DisplayArrayInTable(Fertiliser_SourceData.Fertiliser_Products_Data1(),FertiliserProducts[[#Headers],[Include or Exclude]], 0)</f>
        <v/>
      </c>
      <c r="F115" s="197" t="str" cm="1">
        <f t="array" ref="F115">Common_InputFunctions.Utility_DisplayArrayInTable(Fertiliser_SourceData.Fertiliser_Products_Data1(),FertiliserProducts[[#Headers],[Include or Exclude]], 0)</f>
        <v/>
      </c>
      <c r="G115" s="197" t="str" cm="1">
        <f t="array" ref="G115">Common_InputFunctions.Utility_DisplayArrayInTable(Fertiliser_SourceData.Fertiliser_Products_Data1(),FertiliserProducts[[#Headers],[Include or Exclude]], 0)</f>
        <v/>
      </c>
      <c r="H115" s="197" t="str" cm="1">
        <f t="array" ref="H115">Common_InputFunctions.Utility_DisplayArrayInTable(Fertiliser_SourceData.Fertiliser_Products_Data1(),FertiliserProducts[[#Headers],[Include or Exclude]], 0,4)</f>
        <v/>
      </c>
      <c r="I115" s="197" t="str" cm="1">
        <f t="array" ref="I115">Common_InputFunctions.Utility_DisplayArrayInTable(Fertiliser_SourceData.Fertiliser_Products_Data1(),FertiliserProducts[[#Headers],[Include or Exclude]], 0,4)</f>
        <v/>
      </c>
      <c r="J115" s="197" t="str" cm="1">
        <f t="array" ref="J115">Common_InputFunctions.Utility_DisplayArrayInTable(Fertiliser_SourceData.Fertiliser_Products_Data1(),FertiliserProducts[[#Headers],[Include or Exclude]], 0,4)</f>
        <v/>
      </c>
      <c r="K115" s="197" t="str" cm="1">
        <f t="array" ref="K115">Common_InputFunctions.Utility_DisplayArrayInTable(Fertiliser_SourceData.Fertiliser_Products_Data1(),FertiliserProducts[[#Headers],[Include or Exclude]], 0,4)</f>
        <v/>
      </c>
      <c r="L115" s="197" t="str" cm="1">
        <f t="array" ref="L115">Common_InputFunctions.Utility_DisplayArrayInTable(Fertiliser_SourceData.Fertiliser_Products_Data1(),FertiliserProducts[[#Headers],[Include or Exclude]], 0,4)</f>
        <v/>
      </c>
      <c r="M115" s="197" t="str" cm="1">
        <f t="array" ref="M115">Common_InputFunctions.Utility_DisplayArrayInTable(Fertiliser_SourceData.Fertiliser_Products_Data1(),FertiliserProducts[[#Headers],[Include or Exclude]], 0,4)</f>
        <v/>
      </c>
      <c r="N115" s="197" t="str" cm="1">
        <f t="array" ref="N115">Common_InputFunctions.Utility_DisplayArrayInTable(Fertiliser_SourceData.Fertiliser_Products_Data1(),FertiliserProducts[[#Headers],[Include or Exclude]], 0,4)</f>
        <v/>
      </c>
      <c r="O115" s="197" t="str" cm="1">
        <f t="array" ref="O115">Common_InputFunctions.Utility_DisplayArrayInTable(Fertiliser_SourceData.Fertiliser_Products_Data1(),FertiliserProducts[[#Headers],[Include or Exclude]], 0,4)</f>
        <v/>
      </c>
      <c r="P115" s="197" t="str" cm="1">
        <f t="array" ref="P115">Common_InputFunctions.Utility_DisplayArrayInTable(Fertiliser_SourceData.Fertiliser_Products_Data1(),FertiliserProducts[[#Headers],[Include or Exclude]], 0,4)</f>
        <v/>
      </c>
      <c r="Q115" s="197" t="str" cm="1">
        <f t="array" ref="Q115">Common_InputFunctions.Utility_DisplayArrayInTable(Fertiliser_SourceData.Fertiliser_Products_Data1(),FertiliserProducts[[#Headers],[Include or Exclude]], 0,4)</f>
        <v/>
      </c>
      <c r="R115" s="197" t="str" cm="1">
        <f t="array" ref="R115">Common_InputFunctions.Utility_DisplayArrayInTable(Fertiliser_SourceData.Fertiliser_Products_Data1(),FertiliserProducts[[#Headers],[Include or Exclude]], 0,4)</f>
        <v/>
      </c>
      <c r="S115" s="197" t="str" cm="1">
        <f t="array" ref="S115">Common_InputFunctions.Utility_DisplayArrayInTable(Fertiliser_SourceData.Fertiliser_Products_Data1(),FertiliserProducts[[#Headers],[Include or Exclude]], 0,4)</f>
        <v/>
      </c>
      <c r="T115" s="197" t="str" cm="1">
        <f t="array" ref="T115">Common_InputFunctions.Utility_DisplayArrayInTable(Fertiliser_SourceData.Fertiliser_Products_Data1(),FertiliserProducts[[#Headers],[Include or Exclude]], 0,4)</f>
        <v/>
      </c>
      <c r="U115" s="197" t="str" cm="1">
        <f t="array" ref="U115">Common_InputFunctions.Utility_DisplayArrayInTable(Fertiliser_SourceData.Fertiliser_Products_Data1(),FertiliserProducts[[#Headers],[Include or Exclude]], 0,4)</f>
        <v/>
      </c>
      <c r="V115" s="197" t="str" cm="1">
        <f t="array" ref="V115">Common_InputFunctions.Utility_DisplayArrayInTable(Fertiliser_SourceData.Fertiliser_Products_Data1(),FertiliserProducts[[#Headers],[Include or Exclude]], 0,4)</f>
        <v/>
      </c>
      <c r="W115" s="197" t="str" cm="1">
        <f t="array" ref="W115">Common_InputFunctions.Utility_DisplayArrayInTable(Fertiliser_SourceData.Fertiliser_Products_Data1(),FertiliserProducts[[#Headers],[Include or Exclude]], 0,4)</f>
        <v/>
      </c>
      <c r="X115" s="197" t="str" cm="1">
        <f t="array" ref="X115">Common_InputFunctions.Utility_DisplayArrayInTable(Fertiliser_SourceData.Fertiliser_Products_Data1(),FertiliserProducts[[#Headers],[Include or Exclude]], 0,4)</f>
        <v/>
      </c>
      <c r="Y115" s="197" t="str" cm="1">
        <f t="array" ref="Y115">Common_InputFunctions.Utility_DisplayArrayInTable(Fertiliser_SourceData.Fertiliser_Products_Data1(),FertiliserProducts[[#Headers],[Include or Exclude]], 0,4)</f>
        <v/>
      </c>
      <c r="Z115" s="197" t="str" cm="1">
        <f t="array" ref="Z115">Common_InputFunctions.Utility_DisplayArrayInTable(Fertiliser_SourceData.Fertiliser_Products_Data1(),FertiliserProducts[[#Headers],[Include or Exclude]], 0,4)</f>
        <v/>
      </c>
      <c r="AA115" s="197" t="str" cm="1">
        <f t="array" ref="AA115">Common_InputFunctions.Utility_DisplayArrayInTable(Fertiliser_SourceData.Fertiliser_Products_Data1(),FertiliserProducts[[#Headers],[Include or Exclude]], 0,4)</f>
        <v/>
      </c>
      <c r="AB115" s="197" t="str" cm="1">
        <f t="array" ref="AB115">Common_InputFunctions.Utility_DisplayArrayInTable(Fertiliser_SourceData.Fertiliser_Products_Data1(),FertiliserProducts[[#Headers],[Include or Exclude]], 0,4)</f>
        <v/>
      </c>
      <c r="AC115" s="197" t="str" cm="1">
        <f t="array" ref="AC115">Common_InputFunctions.Utility_DisplayArrayInTable(Fertiliser_SourceData.Fertiliser_Products_Data1(),FertiliserProducts[[#Headers],[Include or Exclude]], 0,4)</f>
        <v/>
      </c>
      <c r="AD115" s="197" t="str" cm="1">
        <f t="array" ref="AD115">Common_InputFunctions.Utility_DisplayArrayInTable(Fertiliser_SourceData.Fertiliser_Products_Data1(),FertiliserProducts[[#Headers],[Include or Exclude]], 0,4)</f>
        <v/>
      </c>
      <c r="AE115" s="197" t="str" cm="1">
        <f t="array" ref="AE115">Common_InputFunctions.Utility_DisplayArrayInTable(Fertiliser_SourceData.Fertiliser_Products_Data1(),FertiliserProducts[[#Headers],[Include or Exclude]], 0,4)</f>
        <v/>
      </c>
    </row>
    <row r="116" spans="4:31" ht="20.100000000000001" customHeight="1" x14ac:dyDescent="0.25">
      <c r="D116" s="197" t="str" cm="1">
        <f t="array" ref="D116">Common_InputFunctions.Utility_DisplayArrayInTable(Fertiliser_SourceData.Fertiliser_Products_Data1(),FertiliserProducts[[#Headers],[Include or Exclude]], -1)</f>
        <v/>
      </c>
      <c r="E116" s="197" t="str" cm="1">
        <f t="array" ref="E116">Common_InputFunctions.Utility_DisplayArrayInTable(Fertiliser_SourceData.Fertiliser_Products_Data1(),FertiliserProducts[[#Headers],[Include or Exclude]], 0)</f>
        <v/>
      </c>
      <c r="F116" s="197" t="str" cm="1">
        <f t="array" ref="F116">Common_InputFunctions.Utility_DisplayArrayInTable(Fertiliser_SourceData.Fertiliser_Products_Data1(),FertiliserProducts[[#Headers],[Include or Exclude]], 0)</f>
        <v/>
      </c>
      <c r="G116" s="197" t="str" cm="1">
        <f t="array" ref="G116">Common_InputFunctions.Utility_DisplayArrayInTable(Fertiliser_SourceData.Fertiliser_Products_Data1(),FertiliserProducts[[#Headers],[Include or Exclude]], 0)</f>
        <v/>
      </c>
      <c r="H116" s="197" t="str" cm="1">
        <f t="array" ref="H116">Common_InputFunctions.Utility_DisplayArrayInTable(Fertiliser_SourceData.Fertiliser_Products_Data1(),FertiliserProducts[[#Headers],[Include or Exclude]], 0,4)</f>
        <v/>
      </c>
      <c r="I116" s="197" t="str" cm="1">
        <f t="array" ref="I116">Common_InputFunctions.Utility_DisplayArrayInTable(Fertiliser_SourceData.Fertiliser_Products_Data1(),FertiliserProducts[[#Headers],[Include or Exclude]], 0,4)</f>
        <v/>
      </c>
      <c r="J116" s="197" t="str" cm="1">
        <f t="array" ref="J116">Common_InputFunctions.Utility_DisplayArrayInTable(Fertiliser_SourceData.Fertiliser_Products_Data1(),FertiliserProducts[[#Headers],[Include or Exclude]], 0,4)</f>
        <v/>
      </c>
      <c r="K116" s="197" t="str" cm="1">
        <f t="array" ref="K116">Common_InputFunctions.Utility_DisplayArrayInTable(Fertiliser_SourceData.Fertiliser_Products_Data1(),FertiliserProducts[[#Headers],[Include or Exclude]], 0,4)</f>
        <v/>
      </c>
      <c r="L116" s="197" t="str" cm="1">
        <f t="array" ref="L116">Common_InputFunctions.Utility_DisplayArrayInTable(Fertiliser_SourceData.Fertiliser_Products_Data1(),FertiliserProducts[[#Headers],[Include or Exclude]], 0,4)</f>
        <v/>
      </c>
      <c r="M116" s="197" t="str" cm="1">
        <f t="array" ref="M116">Common_InputFunctions.Utility_DisplayArrayInTable(Fertiliser_SourceData.Fertiliser_Products_Data1(),FertiliserProducts[[#Headers],[Include or Exclude]], 0,4)</f>
        <v/>
      </c>
      <c r="N116" s="197" t="str" cm="1">
        <f t="array" ref="N116">Common_InputFunctions.Utility_DisplayArrayInTable(Fertiliser_SourceData.Fertiliser_Products_Data1(),FertiliserProducts[[#Headers],[Include or Exclude]], 0,4)</f>
        <v/>
      </c>
      <c r="O116" s="197" t="str" cm="1">
        <f t="array" ref="O116">Common_InputFunctions.Utility_DisplayArrayInTable(Fertiliser_SourceData.Fertiliser_Products_Data1(),FertiliserProducts[[#Headers],[Include or Exclude]], 0,4)</f>
        <v/>
      </c>
      <c r="P116" s="197" t="str" cm="1">
        <f t="array" ref="P116">Common_InputFunctions.Utility_DisplayArrayInTable(Fertiliser_SourceData.Fertiliser_Products_Data1(),FertiliserProducts[[#Headers],[Include or Exclude]], 0,4)</f>
        <v/>
      </c>
      <c r="Q116" s="197" t="str" cm="1">
        <f t="array" ref="Q116">Common_InputFunctions.Utility_DisplayArrayInTable(Fertiliser_SourceData.Fertiliser_Products_Data1(),FertiliserProducts[[#Headers],[Include or Exclude]], 0,4)</f>
        <v/>
      </c>
      <c r="R116" s="197" t="str" cm="1">
        <f t="array" ref="R116">Common_InputFunctions.Utility_DisplayArrayInTable(Fertiliser_SourceData.Fertiliser_Products_Data1(),FertiliserProducts[[#Headers],[Include or Exclude]], 0,4)</f>
        <v/>
      </c>
      <c r="S116" s="197" t="str" cm="1">
        <f t="array" ref="S116">Common_InputFunctions.Utility_DisplayArrayInTable(Fertiliser_SourceData.Fertiliser_Products_Data1(),FertiliserProducts[[#Headers],[Include or Exclude]], 0,4)</f>
        <v/>
      </c>
      <c r="T116" s="197" t="str" cm="1">
        <f t="array" ref="T116">Common_InputFunctions.Utility_DisplayArrayInTable(Fertiliser_SourceData.Fertiliser_Products_Data1(),FertiliserProducts[[#Headers],[Include or Exclude]], 0,4)</f>
        <v/>
      </c>
      <c r="U116" s="197" t="str" cm="1">
        <f t="array" ref="U116">Common_InputFunctions.Utility_DisplayArrayInTable(Fertiliser_SourceData.Fertiliser_Products_Data1(),FertiliserProducts[[#Headers],[Include or Exclude]], 0,4)</f>
        <v/>
      </c>
      <c r="V116" s="197" t="str" cm="1">
        <f t="array" ref="V116">Common_InputFunctions.Utility_DisplayArrayInTable(Fertiliser_SourceData.Fertiliser_Products_Data1(),FertiliserProducts[[#Headers],[Include or Exclude]], 0,4)</f>
        <v/>
      </c>
      <c r="W116" s="197" t="str" cm="1">
        <f t="array" ref="W116">Common_InputFunctions.Utility_DisplayArrayInTable(Fertiliser_SourceData.Fertiliser_Products_Data1(),FertiliserProducts[[#Headers],[Include or Exclude]], 0,4)</f>
        <v/>
      </c>
      <c r="X116" s="197" t="str" cm="1">
        <f t="array" ref="X116">Common_InputFunctions.Utility_DisplayArrayInTable(Fertiliser_SourceData.Fertiliser_Products_Data1(),FertiliserProducts[[#Headers],[Include or Exclude]], 0,4)</f>
        <v/>
      </c>
      <c r="Y116" s="197" t="str" cm="1">
        <f t="array" ref="Y116">Common_InputFunctions.Utility_DisplayArrayInTable(Fertiliser_SourceData.Fertiliser_Products_Data1(),FertiliserProducts[[#Headers],[Include or Exclude]], 0,4)</f>
        <v/>
      </c>
      <c r="Z116" s="197" t="str" cm="1">
        <f t="array" ref="Z116">Common_InputFunctions.Utility_DisplayArrayInTable(Fertiliser_SourceData.Fertiliser_Products_Data1(),FertiliserProducts[[#Headers],[Include or Exclude]], 0,4)</f>
        <v/>
      </c>
      <c r="AA116" s="197" t="str" cm="1">
        <f t="array" ref="AA116">Common_InputFunctions.Utility_DisplayArrayInTable(Fertiliser_SourceData.Fertiliser_Products_Data1(),FertiliserProducts[[#Headers],[Include or Exclude]], 0,4)</f>
        <v/>
      </c>
      <c r="AB116" s="197" t="str" cm="1">
        <f t="array" ref="AB116">Common_InputFunctions.Utility_DisplayArrayInTable(Fertiliser_SourceData.Fertiliser_Products_Data1(),FertiliserProducts[[#Headers],[Include or Exclude]], 0,4)</f>
        <v/>
      </c>
      <c r="AC116" s="197" t="str" cm="1">
        <f t="array" ref="AC116">Common_InputFunctions.Utility_DisplayArrayInTable(Fertiliser_SourceData.Fertiliser_Products_Data1(),FertiliserProducts[[#Headers],[Include or Exclude]], 0,4)</f>
        <v/>
      </c>
      <c r="AD116" s="197" t="str" cm="1">
        <f t="array" ref="AD116">Common_InputFunctions.Utility_DisplayArrayInTable(Fertiliser_SourceData.Fertiliser_Products_Data1(),FertiliserProducts[[#Headers],[Include or Exclude]], 0,4)</f>
        <v/>
      </c>
      <c r="AE116" s="197" t="str" cm="1">
        <f t="array" ref="AE116">Common_InputFunctions.Utility_DisplayArrayInTable(Fertiliser_SourceData.Fertiliser_Products_Data1(),FertiliserProducts[[#Headers],[Include or Exclude]], 0,4)</f>
        <v/>
      </c>
    </row>
    <row r="117" spans="4:31" ht="20.100000000000001" customHeight="1" x14ac:dyDescent="0.25">
      <c r="D117" s="197" t="str" cm="1">
        <f t="array" ref="D117">Common_InputFunctions.Utility_DisplayArrayInTable(Fertiliser_SourceData.Fertiliser_Products_Data1(),FertiliserProducts[[#Headers],[Include or Exclude]], -1)</f>
        <v/>
      </c>
      <c r="E117" s="197" t="str" cm="1">
        <f t="array" ref="E117">Common_InputFunctions.Utility_DisplayArrayInTable(Fertiliser_SourceData.Fertiliser_Products_Data1(),FertiliserProducts[[#Headers],[Include or Exclude]], 0)</f>
        <v/>
      </c>
      <c r="F117" s="197" t="str" cm="1">
        <f t="array" ref="F117">Common_InputFunctions.Utility_DisplayArrayInTable(Fertiliser_SourceData.Fertiliser_Products_Data1(),FertiliserProducts[[#Headers],[Include or Exclude]], 0)</f>
        <v/>
      </c>
      <c r="G117" s="197" t="str" cm="1">
        <f t="array" ref="G117">Common_InputFunctions.Utility_DisplayArrayInTable(Fertiliser_SourceData.Fertiliser_Products_Data1(),FertiliserProducts[[#Headers],[Include or Exclude]], 0)</f>
        <v/>
      </c>
      <c r="H117" s="197" t="str" cm="1">
        <f t="array" ref="H117">Common_InputFunctions.Utility_DisplayArrayInTable(Fertiliser_SourceData.Fertiliser_Products_Data1(),FertiliserProducts[[#Headers],[Include or Exclude]], 0,4)</f>
        <v/>
      </c>
      <c r="I117" s="197" t="str" cm="1">
        <f t="array" ref="I117">Common_InputFunctions.Utility_DisplayArrayInTable(Fertiliser_SourceData.Fertiliser_Products_Data1(),FertiliserProducts[[#Headers],[Include or Exclude]], 0,4)</f>
        <v/>
      </c>
      <c r="J117" s="197" t="str" cm="1">
        <f t="array" ref="J117">Common_InputFunctions.Utility_DisplayArrayInTable(Fertiliser_SourceData.Fertiliser_Products_Data1(),FertiliserProducts[[#Headers],[Include or Exclude]], 0,4)</f>
        <v/>
      </c>
      <c r="K117" s="197" t="str" cm="1">
        <f t="array" ref="K117">Common_InputFunctions.Utility_DisplayArrayInTable(Fertiliser_SourceData.Fertiliser_Products_Data1(),FertiliserProducts[[#Headers],[Include or Exclude]], 0,4)</f>
        <v/>
      </c>
      <c r="L117" s="197" t="str" cm="1">
        <f t="array" ref="L117">Common_InputFunctions.Utility_DisplayArrayInTable(Fertiliser_SourceData.Fertiliser_Products_Data1(),FertiliserProducts[[#Headers],[Include or Exclude]], 0,4)</f>
        <v/>
      </c>
      <c r="M117" s="197" t="str" cm="1">
        <f t="array" ref="M117">Common_InputFunctions.Utility_DisplayArrayInTable(Fertiliser_SourceData.Fertiliser_Products_Data1(),FertiliserProducts[[#Headers],[Include or Exclude]], 0,4)</f>
        <v/>
      </c>
      <c r="N117" s="197" t="str" cm="1">
        <f t="array" ref="N117">Common_InputFunctions.Utility_DisplayArrayInTable(Fertiliser_SourceData.Fertiliser_Products_Data1(),FertiliserProducts[[#Headers],[Include or Exclude]], 0,4)</f>
        <v/>
      </c>
      <c r="O117" s="197" t="str" cm="1">
        <f t="array" ref="O117">Common_InputFunctions.Utility_DisplayArrayInTable(Fertiliser_SourceData.Fertiliser_Products_Data1(),FertiliserProducts[[#Headers],[Include or Exclude]], 0,4)</f>
        <v/>
      </c>
      <c r="P117" s="197" t="str" cm="1">
        <f t="array" ref="P117">Common_InputFunctions.Utility_DisplayArrayInTable(Fertiliser_SourceData.Fertiliser_Products_Data1(),FertiliserProducts[[#Headers],[Include or Exclude]], 0,4)</f>
        <v/>
      </c>
      <c r="Q117" s="197" t="str" cm="1">
        <f t="array" ref="Q117">Common_InputFunctions.Utility_DisplayArrayInTable(Fertiliser_SourceData.Fertiliser_Products_Data1(),FertiliserProducts[[#Headers],[Include or Exclude]], 0,4)</f>
        <v/>
      </c>
      <c r="R117" s="197" t="str" cm="1">
        <f t="array" ref="R117">Common_InputFunctions.Utility_DisplayArrayInTable(Fertiliser_SourceData.Fertiliser_Products_Data1(),FertiliserProducts[[#Headers],[Include or Exclude]], 0,4)</f>
        <v/>
      </c>
      <c r="S117" s="197" t="str" cm="1">
        <f t="array" ref="S117">Common_InputFunctions.Utility_DisplayArrayInTable(Fertiliser_SourceData.Fertiliser_Products_Data1(),FertiliserProducts[[#Headers],[Include or Exclude]], 0,4)</f>
        <v/>
      </c>
      <c r="T117" s="197" t="str" cm="1">
        <f t="array" ref="T117">Common_InputFunctions.Utility_DisplayArrayInTable(Fertiliser_SourceData.Fertiliser_Products_Data1(),FertiliserProducts[[#Headers],[Include or Exclude]], 0,4)</f>
        <v/>
      </c>
      <c r="U117" s="197" t="str" cm="1">
        <f t="array" ref="U117">Common_InputFunctions.Utility_DisplayArrayInTable(Fertiliser_SourceData.Fertiliser_Products_Data1(),FertiliserProducts[[#Headers],[Include or Exclude]], 0,4)</f>
        <v/>
      </c>
      <c r="V117" s="197" t="str" cm="1">
        <f t="array" ref="V117">Common_InputFunctions.Utility_DisplayArrayInTable(Fertiliser_SourceData.Fertiliser_Products_Data1(),FertiliserProducts[[#Headers],[Include or Exclude]], 0,4)</f>
        <v/>
      </c>
      <c r="W117" s="197" t="str" cm="1">
        <f t="array" ref="W117">Common_InputFunctions.Utility_DisplayArrayInTable(Fertiliser_SourceData.Fertiliser_Products_Data1(),FertiliserProducts[[#Headers],[Include or Exclude]], 0,4)</f>
        <v/>
      </c>
      <c r="X117" s="197" t="str" cm="1">
        <f t="array" ref="X117">Common_InputFunctions.Utility_DisplayArrayInTable(Fertiliser_SourceData.Fertiliser_Products_Data1(),FertiliserProducts[[#Headers],[Include or Exclude]], 0,4)</f>
        <v/>
      </c>
      <c r="Y117" s="197" t="str" cm="1">
        <f t="array" ref="Y117">Common_InputFunctions.Utility_DisplayArrayInTable(Fertiliser_SourceData.Fertiliser_Products_Data1(),FertiliserProducts[[#Headers],[Include or Exclude]], 0,4)</f>
        <v/>
      </c>
      <c r="Z117" s="197" t="str" cm="1">
        <f t="array" ref="Z117">Common_InputFunctions.Utility_DisplayArrayInTable(Fertiliser_SourceData.Fertiliser_Products_Data1(),FertiliserProducts[[#Headers],[Include or Exclude]], 0,4)</f>
        <v/>
      </c>
      <c r="AA117" s="197" t="str" cm="1">
        <f t="array" ref="AA117">Common_InputFunctions.Utility_DisplayArrayInTable(Fertiliser_SourceData.Fertiliser_Products_Data1(),FertiliserProducts[[#Headers],[Include or Exclude]], 0,4)</f>
        <v/>
      </c>
      <c r="AB117" s="197" t="str" cm="1">
        <f t="array" ref="AB117">Common_InputFunctions.Utility_DisplayArrayInTable(Fertiliser_SourceData.Fertiliser_Products_Data1(),FertiliserProducts[[#Headers],[Include or Exclude]], 0,4)</f>
        <v/>
      </c>
      <c r="AC117" s="197" t="str" cm="1">
        <f t="array" ref="AC117">Common_InputFunctions.Utility_DisplayArrayInTable(Fertiliser_SourceData.Fertiliser_Products_Data1(),FertiliserProducts[[#Headers],[Include or Exclude]], 0,4)</f>
        <v/>
      </c>
      <c r="AD117" s="197" t="str" cm="1">
        <f t="array" ref="AD117">Common_InputFunctions.Utility_DisplayArrayInTable(Fertiliser_SourceData.Fertiliser_Products_Data1(),FertiliserProducts[[#Headers],[Include or Exclude]], 0,4)</f>
        <v/>
      </c>
      <c r="AE117" s="197" t="str" cm="1">
        <f t="array" ref="AE117">Common_InputFunctions.Utility_DisplayArrayInTable(Fertiliser_SourceData.Fertiliser_Products_Data1(),FertiliserProducts[[#Headers],[Include or Exclude]], 0,4)</f>
        <v/>
      </c>
    </row>
    <row r="118" spans="4:31" ht="20.100000000000001" customHeight="1" x14ac:dyDescent="0.25">
      <c r="D118" s="197" t="str" cm="1">
        <f t="array" ref="D118">Common_InputFunctions.Utility_DisplayArrayInTable(Fertiliser_SourceData.Fertiliser_Products_Data1(),FertiliserProducts[[#Headers],[Include or Exclude]], -1)</f>
        <v/>
      </c>
      <c r="E118" s="197" t="str" cm="1">
        <f t="array" ref="E118">Common_InputFunctions.Utility_DisplayArrayInTable(Fertiliser_SourceData.Fertiliser_Products_Data1(),FertiliserProducts[[#Headers],[Include or Exclude]], 0)</f>
        <v/>
      </c>
      <c r="F118" s="197" t="str" cm="1">
        <f t="array" ref="F118">Common_InputFunctions.Utility_DisplayArrayInTable(Fertiliser_SourceData.Fertiliser_Products_Data1(),FertiliserProducts[[#Headers],[Include or Exclude]], 0)</f>
        <v/>
      </c>
      <c r="G118" s="197" t="str" cm="1">
        <f t="array" ref="G118">Common_InputFunctions.Utility_DisplayArrayInTable(Fertiliser_SourceData.Fertiliser_Products_Data1(),FertiliserProducts[[#Headers],[Include or Exclude]], 0)</f>
        <v/>
      </c>
      <c r="H118" s="197" t="str" cm="1">
        <f t="array" ref="H118">Common_InputFunctions.Utility_DisplayArrayInTable(Fertiliser_SourceData.Fertiliser_Products_Data1(),FertiliserProducts[[#Headers],[Include or Exclude]], 0,4)</f>
        <v/>
      </c>
      <c r="I118" s="197" t="str" cm="1">
        <f t="array" ref="I118">Common_InputFunctions.Utility_DisplayArrayInTable(Fertiliser_SourceData.Fertiliser_Products_Data1(),FertiliserProducts[[#Headers],[Include or Exclude]], 0,4)</f>
        <v/>
      </c>
      <c r="J118" s="197" t="str" cm="1">
        <f t="array" ref="J118">Common_InputFunctions.Utility_DisplayArrayInTable(Fertiliser_SourceData.Fertiliser_Products_Data1(),FertiliserProducts[[#Headers],[Include or Exclude]], 0,4)</f>
        <v/>
      </c>
      <c r="K118" s="197" t="str" cm="1">
        <f t="array" ref="K118">Common_InputFunctions.Utility_DisplayArrayInTable(Fertiliser_SourceData.Fertiliser_Products_Data1(),FertiliserProducts[[#Headers],[Include or Exclude]], 0,4)</f>
        <v/>
      </c>
      <c r="L118" s="197" t="str" cm="1">
        <f t="array" ref="L118">Common_InputFunctions.Utility_DisplayArrayInTable(Fertiliser_SourceData.Fertiliser_Products_Data1(),FertiliserProducts[[#Headers],[Include or Exclude]], 0,4)</f>
        <v/>
      </c>
      <c r="M118" s="197" t="str" cm="1">
        <f t="array" ref="M118">Common_InputFunctions.Utility_DisplayArrayInTable(Fertiliser_SourceData.Fertiliser_Products_Data1(),FertiliserProducts[[#Headers],[Include or Exclude]], 0,4)</f>
        <v/>
      </c>
      <c r="N118" s="197" t="str" cm="1">
        <f t="array" ref="N118">Common_InputFunctions.Utility_DisplayArrayInTable(Fertiliser_SourceData.Fertiliser_Products_Data1(),FertiliserProducts[[#Headers],[Include or Exclude]], 0,4)</f>
        <v/>
      </c>
      <c r="O118" s="197" t="str" cm="1">
        <f t="array" ref="O118">Common_InputFunctions.Utility_DisplayArrayInTable(Fertiliser_SourceData.Fertiliser_Products_Data1(),FertiliserProducts[[#Headers],[Include or Exclude]], 0,4)</f>
        <v/>
      </c>
      <c r="P118" s="197" t="str" cm="1">
        <f t="array" ref="P118">Common_InputFunctions.Utility_DisplayArrayInTable(Fertiliser_SourceData.Fertiliser_Products_Data1(),FertiliserProducts[[#Headers],[Include or Exclude]], 0,4)</f>
        <v/>
      </c>
      <c r="Q118" s="197" t="str" cm="1">
        <f t="array" ref="Q118">Common_InputFunctions.Utility_DisplayArrayInTable(Fertiliser_SourceData.Fertiliser_Products_Data1(),FertiliserProducts[[#Headers],[Include or Exclude]], 0,4)</f>
        <v/>
      </c>
      <c r="R118" s="197" t="str" cm="1">
        <f t="array" ref="R118">Common_InputFunctions.Utility_DisplayArrayInTable(Fertiliser_SourceData.Fertiliser_Products_Data1(),FertiliserProducts[[#Headers],[Include or Exclude]], 0,4)</f>
        <v/>
      </c>
      <c r="S118" s="197" t="str" cm="1">
        <f t="array" ref="S118">Common_InputFunctions.Utility_DisplayArrayInTable(Fertiliser_SourceData.Fertiliser_Products_Data1(),FertiliserProducts[[#Headers],[Include or Exclude]], 0,4)</f>
        <v/>
      </c>
      <c r="T118" s="197" t="str" cm="1">
        <f t="array" ref="T118">Common_InputFunctions.Utility_DisplayArrayInTable(Fertiliser_SourceData.Fertiliser_Products_Data1(),FertiliserProducts[[#Headers],[Include or Exclude]], 0,4)</f>
        <v/>
      </c>
      <c r="U118" s="197" t="str" cm="1">
        <f t="array" ref="U118">Common_InputFunctions.Utility_DisplayArrayInTable(Fertiliser_SourceData.Fertiliser_Products_Data1(),FertiliserProducts[[#Headers],[Include or Exclude]], 0,4)</f>
        <v/>
      </c>
      <c r="V118" s="197" t="str" cm="1">
        <f t="array" ref="V118">Common_InputFunctions.Utility_DisplayArrayInTable(Fertiliser_SourceData.Fertiliser_Products_Data1(),FertiliserProducts[[#Headers],[Include or Exclude]], 0,4)</f>
        <v/>
      </c>
      <c r="W118" s="197" t="str" cm="1">
        <f t="array" ref="W118">Common_InputFunctions.Utility_DisplayArrayInTable(Fertiliser_SourceData.Fertiliser_Products_Data1(),FertiliserProducts[[#Headers],[Include or Exclude]], 0,4)</f>
        <v/>
      </c>
      <c r="X118" s="197" t="str" cm="1">
        <f t="array" ref="X118">Common_InputFunctions.Utility_DisplayArrayInTable(Fertiliser_SourceData.Fertiliser_Products_Data1(),FertiliserProducts[[#Headers],[Include or Exclude]], 0,4)</f>
        <v/>
      </c>
      <c r="Y118" s="197" t="str" cm="1">
        <f t="array" ref="Y118">Common_InputFunctions.Utility_DisplayArrayInTable(Fertiliser_SourceData.Fertiliser_Products_Data1(),FertiliserProducts[[#Headers],[Include or Exclude]], 0,4)</f>
        <v/>
      </c>
      <c r="Z118" s="197" t="str" cm="1">
        <f t="array" ref="Z118">Common_InputFunctions.Utility_DisplayArrayInTable(Fertiliser_SourceData.Fertiliser_Products_Data1(),FertiliserProducts[[#Headers],[Include or Exclude]], 0,4)</f>
        <v/>
      </c>
      <c r="AA118" s="197" t="str" cm="1">
        <f t="array" ref="AA118">Common_InputFunctions.Utility_DisplayArrayInTable(Fertiliser_SourceData.Fertiliser_Products_Data1(),FertiliserProducts[[#Headers],[Include or Exclude]], 0,4)</f>
        <v/>
      </c>
      <c r="AB118" s="197" t="str" cm="1">
        <f t="array" ref="AB118">Common_InputFunctions.Utility_DisplayArrayInTable(Fertiliser_SourceData.Fertiliser_Products_Data1(),FertiliserProducts[[#Headers],[Include or Exclude]], 0,4)</f>
        <v/>
      </c>
      <c r="AC118" s="197" t="str" cm="1">
        <f t="array" ref="AC118">Common_InputFunctions.Utility_DisplayArrayInTable(Fertiliser_SourceData.Fertiliser_Products_Data1(),FertiliserProducts[[#Headers],[Include or Exclude]], 0,4)</f>
        <v/>
      </c>
      <c r="AD118" s="197" t="str" cm="1">
        <f t="array" ref="AD118">Common_InputFunctions.Utility_DisplayArrayInTable(Fertiliser_SourceData.Fertiliser_Products_Data1(),FertiliserProducts[[#Headers],[Include or Exclude]], 0,4)</f>
        <v/>
      </c>
      <c r="AE118" s="197" t="str" cm="1">
        <f t="array" ref="AE118">Common_InputFunctions.Utility_DisplayArrayInTable(Fertiliser_SourceData.Fertiliser_Products_Data1(),FertiliserProducts[[#Headers],[Include or Exclude]], 0,4)</f>
        <v/>
      </c>
    </row>
    <row r="119" spans="4:31" ht="20.100000000000001" customHeight="1" x14ac:dyDescent="0.25">
      <c r="D119" s="197" t="str" cm="1">
        <f t="array" ref="D119">Common_InputFunctions.Utility_DisplayArrayInTable(Fertiliser_SourceData.Fertiliser_Products_Data1(),FertiliserProducts[[#Headers],[Include or Exclude]], -1)</f>
        <v/>
      </c>
      <c r="E119" s="197" t="str" cm="1">
        <f t="array" ref="E119">Common_InputFunctions.Utility_DisplayArrayInTable(Fertiliser_SourceData.Fertiliser_Products_Data1(),FertiliserProducts[[#Headers],[Include or Exclude]], 0)</f>
        <v/>
      </c>
      <c r="F119" s="197" t="str" cm="1">
        <f t="array" ref="F119">Common_InputFunctions.Utility_DisplayArrayInTable(Fertiliser_SourceData.Fertiliser_Products_Data1(),FertiliserProducts[[#Headers],[Include or Exclude]], 0)</f>
        <v/>
      </c>
      <c r="G119" s="197" t="str" cm="1">
        <f t="array" ref="G119">Common_InputFunctions.Utility_DisplayArrayInTable(Fertiliser_SourceData.Fertiliser_Products_Data1(),FertiliserProducts[[#Headers],[Include or Exclude]], 0)</f>
        <v/>
      </c>
      <c r="H119" s="197" t="str" cm="1">
        <f t="array" ref="H119">Common_InputFunctions.Utility_DisplayArrayInTable(Fertiliser_SourceData.Fertiliser_Products_Data1(),FertiliserProducts[[#Headers],[Include or Exclude]], 0,4)</f>
        <v/>
      </c>
      <c r="I119" s="197" t="str" cm="1">
        <f t="array" ref="I119">Common_InputFunctions.Utility_DisplayArrayInTable(Fertiliser_SourceData.Fertiliser_Products_Data1(),FertiliserProducts[[#Headers],[Include or Exclude]], 0,4)</f>
        <v/>
      </c>
      <c r="J119" s="197" t="str" cm="1">
        <f t="array" ref="J119">Common_InputFunctions.Utility_DisplayArrayInTable(Fertiliser_SourceData.Fertiliser_Products_Data1(),FertiliserProducts[[#Headers],[Include or Exclude]], 0,4)</f>
        <v/>
      </c>
      <c r="K119" s="197" t="str" cm="1">
        <f t="array" ref="K119">Common_InputFunctions.Utility_DisplayArrayInTable(Fertiliser_SourceData.Fertiliser_Products_Data1(),FertiliserProducts[[#Headers],[Include or Exclude]], 0,4)</f>
        <v/>
      </c>
      <c r="L119" s="197" t="str" cm="1">
        <f t="array" ref="L119">Common_InputFunctions.Utility_DisplayArrayInTable(Fertiliser_SourceData.Fertiliser_Products_Data1(),FertiliserProducts[[#Headers],[Include or Exclude]], 0,4)</f>
        <v/>
      </c>
      <c r="M119" s="197" t="str" cm="1">
        <f t="array" ref="M119">Common_InputFunctions.Utility_DisplayArrayInTable(Fertiliser_SourceData.Fertiliser_Products_Data1(),FertiliserProducts[[#Headers],[Include or Exclude]], 0,4)</f>
        <v/>
      </c>
      <c r="N119" s="197" t="str" cm="1">
        <f t="array" ref="N119">Common_InputFunctions.Utility_DisplayArrayInTable(Fertiliser_SourceData.Fertiliser_Products_Data1(),FertiliserProducts[[#Headers],[Include or Exclude]], 0,4)</f>
        <v/>
      </c>
      <c r="O119" s="197" t="str" cm="1">
        <f t="array" ref="O119">Common_InputFunctions.Utility_DisplayArrayInTable(Fertiliser_SourceData.Fertiliser_Products_Data1(),FertiliserProducts[[#Headers],[Include or Exclude]], 0,4)</f>
        <v/>
      </c>
      <c r="P119" s="197" t="str" cm="1">
        <f t="array" ref="P119">Common_InputFunctions.Utility_DisplayArrayInTable(Fertiliser_SourceData.Fertiliser_Products_Data1(),FertiliserProducts[[#Headers],[Include or Exclude]], 0,4)</f>
        <v/>
      </c>
      <c r="Q119" s="197" t="str" cm="1">
        <f t="array" ref="Q119">Common_InputFunctions.Utility_DisplayArrayInTable(Fertiliser_SourceData.Fertiliser_Products_Data1(),FertiliserProducts[[#Headers],[Include or Exclude]], 0,4)</f>
        <v/>
      </c>
      <c r="R119" s="197" t="str" cm="1">
        <f t="array" ref="R119">Common_InputFunctions.Utility_DisplayArrayInTable(Fertiliser_SourceData.Fertiliser_Products_Data1(),FertiliserProducts[[#Headers],[Include or Exclude]], 0,4)</f>
        <v/>
      </c>
      <c r="S119" s="197" t="str" cm="1">
        <f t="array" ref="S119">Common_InputFunctions.Utility_DisplayArrayInTable(Fertiliser_SourceData.Fertiliser_Products_Data1(),FertiliserProducts[[#Headers],[Include or Exclude]], 0,4)</f>
        <v/>
      </c>
      <c r="T119" s="197" t="str" cm="1">
        <f t="array" ref="T119">Common_InputFunctions.Utility_DisplayArrayInTable(Fertiliser_SourceData.Fertiliser_Products_Data1(),FertiliserProducts[[#Headers],[Include or Exclude]], 0,4)</f>
        <v/>
      </c>
      <c r="U119" s="197" t="str" cm="1">
        <f t="array" ref="U119">Common_InputFunctions.Utility_DisplayArrayInTable(Fertiliser_SourceData.Fertiliser_Products_Data1(),FertiliserProducts[[#Headers],[Include or Exclude]], 0,4)</f>
        <v/>
      </c>
      <c r="V119" s="197" t="str" cm="1">
        <f t="array" ref="V119">Common_InputFunctions.Utility_DisplayArrayInTable(Fertiliser_SourceData.Fertiliser_Products_Data1(),FertiliserProducts[[#Headers],[Include or Exclude]], 0,4)</f>
        <v/>
      </c>
      <c r="W119" s="197" t="str" cm="1">
        <f t="array" ref="W119">Common_InputFunctions.Utility_DisplayArrayInTable(Fertiliser_SourceData.Fertiliser_Products_Data1(),FertiliserProducts[[#Headers],[Include or Exclude]], 0,4)</f>
        <v/>
      </c>
      <c r="X119" s="197" t="str" cm="1">
        <f t="array" ref="X119">Common_InputFunctions.Utility_DisplayArrayInTable(Fertiliser_SourceData.Fertiliser_Products_Data1(),FertiliserProducts[[#Headers],[Include or Exclude]], 0,4)</f>
        <v/>
      </c>
      <c r="Y119" s="197" t="str" cm="1">
        <f t="array" ref="Y119">Common_InputFunctions.Utility_DisplayArrayInTable(Fertiliser_SourceData.Fertiliser_Products_Data1(),FertiliserProducts[[#Headers],[Include or Exclude]], 0,4)</f>
        <v/>
      </c>
      <c r="Z119" s="197" t="str" cm="1">
        <f t="array" ref="Z119">Common_InputFunctions.Utility_DisplayArrayInTable(Fertiliser_SourceData.Fertiliser_Products_Data1(),FertiliserProducts[[#Headers],[Include or Exclude]], 0,4)</f>
        <v/>
      </c>
      <c r="AA119" s="197" t="str" cm="1">
        <f t="array" ref="AA119">Common_InputFunctions.Utility_DisplayArrayInTable(Fertiliser_SourceData.Fertiliser_Products_Data1(),FertiliserProducts[[#Headers],[Include or Exclude]], 0,4)</f>
        <v/>
      </c>
      <c r="AB119" s="197" t="str" cm="1">
        <f t="array" ref="AB119">Common_InputFunctions.Utility_DisplayArrayInTable(Fertiliser_SourceData.Fertiliser_Products_Data1(),FertiliserProducts[[#Headers],[Include or Exclude]], 0,4)</f>
        <v/>
      </c>
      <c r="AC119" s="197" t="str" cm="1">
        <f t="array" ref="AC119">Common_InputFunctions.Utility_DisplayArrayInTable(Fertiliser_SourceData.Fertiliser_Products_Data1(),FertiliserProducts[[#Headers],[Include or Exclude]], 0,4)</f>
        <v/>
      </c>
      <c r="AD119" s="197" t="str" cm="1">
        <f t="array" ref="AD119">Common_InputFunctions.Utility_DisplayArrayInTable(Fertiliser_SourceData.Fertiliser_Products_Data1(),FertiliserProducts[[#Headers],[Include or Exclude]], 0,4)</f>
        <v/>
      </c>
      <c r="AE119" s="197" t="str" cm="1">
        <f t="array" ref="AE119">Common_InputFunctions.Utility_DisplayArrayInTable(Fertiliser_SourceData.Fertiliser_Products_Data1(),FertiliserProducts[[#Headers],[Include or Exclude]], 0,4)</f>
        <v/>
      </c>
    </row>
    <row r="120" spans="4:31" ht="20.100000000000001" customHeight="1" x14ac:dyDescent="0.25">
      <c r="D120" s="197" t="str" cm="1">
        <f t="array" ref="D120">Common_InputFunctions.Utility_DisplayArrayInTable(Fertiliser_SourceData.Fertiliser_Products_Data1(),FertiliserProducts[[#Headers],[Include or Exclude]], -1)</f>
        <v/>
      </c>
      <c r="E120" s="197" t="str" cm="1">
        <f t="array" ref="E120">Common_InputFunctions.Utility_DisplayArrayInTable(Fertiliser_SourceData.Fertiliser_Products_Data1(),FertiliserProducts[[#Headers],[Include or Exclude]], 0)</f>
        <v/>
      </c>
      <c r="F120" s="197" t="str" cm="1">
        <f t="array" ref="F120">Common_InputFunctions.Utility_DisplayArrayInTable(Fertiliser_SourceData.Fertiliser_Products_Data1(),FertiliserProducts[[#Headers],[Include or Exclude]], 0)</f>
        <v/>
      </c>
      <c r="G120" s="197" t="str" cm="1">
        <f t="array" ref="G120">Common_InputFunctions.Utility_DisplayArrayInTable(Fertiliser_SourceData.Fertiliser_Products_Data1(),FertiliserProducts[[#Headers],[Include or Exclude]], 0)</f>
        <v/>
      </c>
      <c r="H120" s="197" t="str" cm="1">
        <f t="array" ref="H120">Common_InputFunctions.Utility_DisplayArrayInTable(Fertiliser_SourceData.Fertiliser_Products_Data1(),FertiliserProducts[[#Headers],[Include or Exclude]], 0,4)</f>
        <v/>
      </c>
      <c r="I120" s="197" t="str" cm="1">
        <f t="array" ref="I120">Common_InputFunctions.Utility_DisplayArrayInTable(Fertiliser_SourceData.Fertiliser_Products_Data1(),FertiliserProducts[[#Headers],[Include or Exclude]], 0,4)</f>
        <v/>
      </c>
      <c r="J120" s="197" t="str" cm="1">
        <f t="array" ref="J120">Common_InputFunctions.Utility_DisplayArrayInTable(Fertiliser_SourceData.Fertiliser_Products_Data1(),FertiliserProducts[[#Headers],[Include or Exclude]], 0,4)</f>
        <v/>
      </c>
      <c r="K120" s="197" t="str" cm="1">
        <f t="array" ref="K120">Common_InputFunctions.Utility_DisplayArrayInTable(Fertiliser_SourceData.Fertiliser_Products_Data1(),FertiliserProducts[[#Headers],[Include or Exclude]], 0,4)</f>
        <v/>
      </c>
      <c r="L120" s="197" t="str" cm="1">
        <f t="array" ref="L120">Common_InputFunctions.Utility_DisplayArrayInTable(Fertiliser_SourceData.Fertiliser_Products_Data1(),FertiliserProducts[[#Headers],[Include or Exclude]], 0,4)</f>
        <v/>
      </c>
      <c r="M120" s="197" t="str" cm="1">
        <f t="array" ref="M120">Common_InputFunctions.Utility_DisplayArrayInTable(Fertiliser_SourceData.Fertiliser_Products_Data1(),FertiliserProducts[[#Headers],[Include or Exclude]], 0,4)</f>
        <v/>
      </c>
      <c r="N120" s="197" t="str" cm="1">
        <f t="array" ref="N120">Common_InputFunctions.Utility_DisplayArrayInTable(Fertiliser_SourceData.Fertiliser_Products_Data1(),FertiliserProducts[[#Headers],[Include or Exclude]], 0,4)</f>
        <v/>
      </c>
      <c r="O120" s="197" t="str" cm="1">
        <f t="array" ref="O120">Common_InputFunctions.Utility_DisplayArrayInTable(Fertiliser_SourceData.Fertiliser_Products_Data1(),FertiliserProducts[[#Headers],[Include or Exclude]], 0,4)</f>
        <v/>
      </c>
      <c r="P120" s="197" t="str" cm="1">
        <f t="array" ref="P120">Common_InputFunctions.Utility_DisplayArrayInTable(Fertiliser_SourceData.Fertiliser_Products_Data1(),FertiliserProducts[[#Headers],[Include or Exclude]], 0,4)</f>
        <v/>
      </c>
      <c r="Q120" s="197" t="str" cm="1">
        <f t="array" ref="Q120">Common_InputFunctions.Utility_DisplayArrayInTable(Fertiliser_SourceData.Fertiliser_Products_Data1(),FertiliserProducts[[#Headers],[Include or Exclude]], 0,4)</f>
        <v/>
      </c>
      <c r="R120" s="197" t="str" cm="1">
        <f t="array" ref="R120">Common_InputFunctions.Utility_DisplayArrayInTable(Fertiliser_SourceData.Fertiliser_Products_Data1(),FertiliserProducts[[#Headers],[Include or Exclude]], 0,4)</f>
        <v/>
      </c>
      <c r="S120" s="197" t="str" cm="1">
        <f t="array" ref="S120">Common_InputFunctions.Utility_DisplayArrayInTable(Fertiliser_SourceData.Fertiliser_Products_Data1(),FertiliserProducts[[#Headers],[Include or Exclude]], 0,4)</f>
        <v/>
      </c>
      <c r="T120" s="197" t="str" cm="1">
        <f t="array" ref="T120">Common_InputFunctions.Utility_DisplayArrayInTable(Fertiliser_SourceData.Fertiliser_Products_Data1(),FertiliserProducts[[#Headers],[Include or Exclude]], 0,4)</f>
        <v/>
      </c>
      <c r="U120" s="197" t="str" cm="1">
        <f t="array" ref="U120">Common_InputFunctions.Utility_DisplayArrayInTable(Fertiliser_SourceData.Fertiliser_Products_Data1(),FertiliserProducts[[#Headers],[Include or Exclude]], 0,4)</f>
        <v/>
      </c>
      <c r="V120" s="197" t="str" cm="1">
        <f t="array" ref="V120">Common_InputFunctions.Utility_DisplayArrayInTable(Fertiliser_SourceData.Fertiliser_Products_Data1(),FertiliserProducts[[#Headers],[Include or Exclude]], 0,4)</f>
        <v/>
      </c>
      <c r="W120" s="197" t="str" cm="1">
        <f t="array" ref="W120">Common_InputFunctions.Utility_DisplayArrayInTable(Fertiliser_SourceData.Fertiliser_Products_Data1(),FertiliserProducts[[#Headers],[Include or Exclude]], 0,4)</f>
        <v/>
      </c>
      <c r="X120" s="197" t="str" cm="1">
        <f t="array" ref="X120">Common_InputFunctions.Utility_DisplayArrayInTable(Fertiliser_SourceData.Fertiliser_Products_Data1(),FertiliserProducts[[#Headers],[Include or Exclude]], 0,4)</f>
        <v/>
      </c>
      <c r="Y120" s="197" t="str" cm="1">
        <f t="array" ref="Y120">Common_InputFunctions.Utility_DisplayArrayInTable(Fertiliser_SourceData.Fertiliser_Products_Data1(),FertiliserProducts[[#Headers],[Include or Exclude]], 0,4)</f>
        <v/>
      </c>
      <c r="Z120" s="197" t="str" cm="1">
        <f t="array" ref="Z120">Common_InputFunctions.Utility_DisplayArrayInTable(Fertiliser_SourceData.Fertiliser_Products_Data1(),FertiliserProducts[[#Headers],[Include or Exclude]], 0,4)</f>
        <v/>
      </c>
      <c r="AA120" s="197" t="str" cm="1">
        <f t="array" ref="AA120">Common_InputFunctions.Utility_DisplayArrayInTable(Fertiliser_SourceData.Fertiliser_Products_Data1(),FertiliserProducts[[#Headers],[Include or Exclude]], 0,4)</f>
        <v/>
      </c>
      <c r="AB120" s="197" t="str" cm="1">
        <f t="array" ref="AB120">Common_InputFunctions.Utility_DisplayArrayInTable(Fertiliser_SourceData.Fertiliser_Products_Data1(),FertiliserProducts[[#Headers],[Include or Exclude]], 0,4)</f>
        <v/>
      </c>
      <c r="AC120" s="197" t="str" cm="1">
        <f t="array" ref="AC120">Common_InputFunctions.Utility_DisplayArrayInTable(Fertiliser_SourceData.Fertiliser_Products_Data1(),FertiliserProducts[[#Headers],[Include or Exclude]], 0,4)</f>
        <v/>
      </c>
      <c r="AD120" s="197" t="str" cm="1">
        <f t="array" ref="AD120">Common_InputFunctions.Utility_DisplayArrayInTable(Fertiliser_SourceData.Fertiliser_Products_Data1(),FertiliserProducts[[#Headers],[Include or Exclude]], 0,4)</f>
        <v/>
      </c>
      <c r="AE120" s="197" t="str" cm="1">
        <f t="array" ref="AE120">Common_InputFunctions.Utility_DisplayArrayInTable(Fertiliser_SourceData.Fertiliser_Products_Data1(),FertiliserProducts[[#Headers],[Include or Exclude]], 0,4)</f>
        <v/>
      </c>
    </row>
    <row r="121" spans="4:31" ht="20.100000000000001" customHeight="1" x14ac:dyDescent="0.25">
      <c r="D121" s="197" t="str" cm="1">
        <f t="array" ref="D121">Common_InputFunctions.Utility_DisplayArrayInTable(Fertiliser_SourceData.Fertiliser_Products_Data1(),FertiliserProducts[[#Headers],[Include or Exclude]], -1)</f>
        <v/>
      </c>
      <c r="E121" s="197" t="str" cm="1">
        <f t="array" ref="E121">Common_InputFunctions.Utility_DisplayArrayInTable(Fertiliser_SourceData.Fertiliser_Products_Data1(),FertiliserProducts[[#Headers],[Include or Exclude]], 0)</f>
        <v/>
      </c>
      <c r="F121" s="197" t="str" cm="1">
        <f t="array" ref="F121">Common_InputFunctions.Utility_DisplayArrayInTable(Fertiliser_SourceData.Fertiliser_Products_Data1(),FertiliserProducts[[#Headers],[Include or Exclude]], 0)</f>
        <v/>
      </c>
      <c r="G121" s="197" t="str" cm="1">
        <f t="array" ref="G121">Common_InputFunctions.Utility_DisplayArrayInTable(Fertiliser_SourceData.Fertiliser_Products_Data1(),FertiliserProducts[[#Headers],[Include or Exclude]], 0)</f>
        <v/>
      </c>
      <c r="H121" s="197" t="str" cm="1">
        <f t="array" ref="H121">Common_InputFunctions.Utility_DisplayArrayInTable(Fertiliser_SourceData.Fertiliser_Products_Data1(),FertiliserProducts[[#Headers],[Include or Exclude]], 0,4)</f>
        <v/>
      </c>
      <c r="I121" s="197" t="str" cm="1">
        <f t="array" ref="I121">Common_InputFunctions.Utility_DisplayArrayInTable(Fertiliser_SourceData.Fertiliser_Products_Data1(),FertiliserProducts[[#Headers],[Include or Exclude]], 0,4)</f>
        <v/>
      </c>
      <c r="J121" s="197" t="str" cm="1">
        <f t="array" ref="J121">Common_InputFunctions.Utility_DisplayArrayInTable(Fertiliser_SourceData.Fertiliser_Products_Data1(),FertiliserProducts[[#Headers],[Include or Exclude]], 0,4)</f>
        <v/>
      </c>
      <c r="K121" s="197" t="str" cm="1">
        <f t="array" ref="K121">Common_InputFunctions.Utility_DisplayArrayInTable(Fertiliser_SourceData.Fertiliser_Products_Data1(),FertiliserProducts[[#Headers],[Include or Exclude]], 0,4)</f>
        <v/>
      </c>
      <c r="L121" s="197" t="str" cm="1">
        <f t="array" ref="L121">Common_InputFunctions.Utility_DisplayArrayInTable(Fertiliser_SourceData.Fertiliser_Products_Data1(),FertiliserProducts[[#Headers],[Include or Exclude]], 0,4)</f>
        <v/>
      </c>
      <c r="M121" s="197" t="str" cm="1">
        <f t="array" ref="M121">Common_InputFunctions.Utility_DisplayArrayInTable(Fertiliser_SourceData.Fertiliser_Products_Data1(),FertiliserProducts[[#Headers],[Include or Exclude]], 0,4)</f>
        <v/>
      </c>
      <c r="N121" s="197" t="str" cm="1">
        <f t="array" ref="N121">Common_InputFunctions.Utility_DisplayArrayInTable(Fertiliser_SourceData.Fertiliser_Products_Data1(),FertiliserProducts[[#Headers],[Include or Exclude]], 0,4)</f>
        <v/>
      </c>
      <c r="O121" s="197" t="str" cm="1">
        <f t="array" ref="O121">Common_InputFunctions.Utility_DisplayArrayInTable(Fertiliser_SourceData.Fertiliser_Products_Data1(),FertiliserProducts[[#Headers],[Include or Exclude]], 0,4)</f>
        <v/>
      </c>
      <c r="P121" s="197" t="str" cm="1">
        <f t="array" ref="P121">Common_InputFunctions.Utility_DisplayArrayInTable(Fertiliser_SourceData.Fertiliser_Products_Data1(),FertiliserProducts[[#Headers],[Include or Exclude]], 0,4)</f>
        <v/>
      </c>
      <c r="Q121" s="197" t="str" cm="1">
        <f t="array" ref="Q121">Common_InputFunctions.Utility_DisplayArrayInTable(Fertiliser_SourceData.Fertiliser_Products_Data1(),FertiliserProducts[[#Headers],[Include or Exclude]], 0,4)</f>
        <v/>
      </c>
      <c r="R121" s="197" t="str" cm="1">
        <f t="array" ref="R121">Common_InputFunctions.Utility_DisplayArrayInTable(Fertiliser_SourceData.Fertiliser_Products_Data1(),FertiliserProducts[[#Headers],[Include or Exclude]], 0,4)</f>
        <v/>
      </c>
      <c r="S121" s="197" t="str" cm="1">
        <f t="array" ref="S121">Common_InputFunctions.Utility_DisplayArrayInTable(Fertiliser_SourceData.Fertiliser_Products_Data1(),FertiliserProducts[[#Headers],[Include or Exclude]], 0,4)</f>
        <v/>
      </c>
      <c r="T121" s="197" t="str" cm="1">
        <f t="array" ref="T121">Common_InputFunctions.Utility_DisplayArrayInTable(Fertiliser_SourceData.Fertiliser_Products_Data1(),FertiliserProducts[[#Headers],[Include or Exclude]], 0,4)</f>
        <v/>
      </c>
      <c r="U121" s="197" t="str" cm="1">
        <f t="array" ref="U121">Common_InputFunctions.Utility_DisplayArrayInTable(Fertiliser_SourceData.Fertiliser_Products_Data1(),FertiliserProducts[[#Headers],[Include or Exclude]], 0,4)</f>
        <v/>
      </c>
      <c r="V121" s="197" t="str" cm="1">
        <f t="array" ref="V121">Common_InputFunctions.Utility_DisplayArrayInTable(Fertiliser_SourceData.Fertiliser_Products_Data1(),FertiliserProducts[[#Headers],[Include or Exclude]], 0,4)</f>
        <v/>
      </c>
      <c r="W121" s="197" t="str" cm="1">
        <f t="array" ref="W121">Common_InputFunctions.Utility_DisplayArrayInTable(Fertiliser_SourceData.Fertiliser_Products_Data1(),FertiliserProducts[[#Headers],[Include or Exclude]], 0,4)</f>
        <v/>
      </c>
      <c r="X121" s="197" t="str" cm="1">
        <f t="array" ref="X121">Common_InputFunctions.Utility_DisplayArrayInTable(Fertiliser_SourceData.Fertiliser_Products_Data1(),FertiliserProducts[[#Headers],[Include or Exclude]], 0,4)</f>
        <v/>
      </c>
      <c r="Y121" s="197" t="str" cm="1">
        <f t="array" ref="Y121">Common_InputFunctions.Utility_DisplayArrayInTable(Fertiliser_SourceData.Fertiliser_Products_Data1(),FertiliserProducts[[#Headers],[Include or Exclude]], 0,4)</f>
        <v/>
      </c>
      <c r="Z121" s="197" t="str" cm="1">
        <f t="array" ref="Z121">Common_InputFunctions.Utility_DisplayArrayInTable(Fertiliser_SourceData.Fertiliser_Products_Data1(),FertiliserProducts[[#Headers],[Include or Exclude]], 0,4)</f>
        <v/>
      </c>
      <c r="AA121" s="197" t="str" cm="1">
        <f t="array" ref="AA121">Common_InputFunctions.Utility_DisplayArrayInTable(Fertiliser_SourceData.Fertiliser_Products_Data1(),FertiliserProducts[[#Headers],[Include or Exclude]], 0,4)</f>
        <v/>
      </c>
      <c r="AB121" s="197" t="str" cm="1">
        <f t="array" ref="AB121">Common_InputFunctions.Utility_DisplayArrayInTable(Fertiliser_SourceData.Fertiliser_Products_Data1(),FertiliserProducts[[#Headers],[Include or Exclude]], 0,4)</f>
        <v/>
      </c>
      <c r="AC121" s="197" t="str" cm="1">
        <f t="array" ref="AC121">Common_InputFunctions.Utility_DisplayArrayInTable(Fertiliser_SourceData.Fertiliser_Products_Data1(),FertiliserProducts[[#Headers],[Include or Exclude]], 0,4)</f>
        <v/>
      </c>
      <c r="AD121" s="197" t="str" cm="1">
        <f t="array" ref="AD121">Common_InputFunctions.Utility_DisplayArrayInTable(Fertiliser_SourceData.Fertiliser_Products_Data1(),FertiliserProducts[[#Headers],[Include or Exclude]], 0,4)</f>
        <v/>
      </c>
      <c r="AE121" s="197" t="str" cm="1">
        <f t="array" ref="AE121">Common_InputFunctions.Utility_DisplayArrayInTable(Fertiliser_SourceData.Fertiliser_Products_Data1(),FertiliserProducts[[#Headers],[Include or Exclude]], 0,4)</f>
        <v/>
      </c>
    </row>
    <row r="122" spans="4:31" ht="20.100000000000001" customHeight="1" x14ac:dyDescent="0.25">
      <c r="D122" s="197" t="str" cm="1">
        <f t="array" ref="D122">Common_InputFunctions.Utility_DisplayArrayInTable(Fertiliser_SourceData.Fertiliser_Products_Data1(),FertiliserProducts[[#Headers],[Include or Exclude]], -1)</f>
        <v/>
      </c>
      <c r="E122" s="197" t="str" cm="1">
        <f t="array" ref="E122">Common_InputFunctions.Utility_DisplayArrayInTable(Fertiliser_SourceData.Fertiliser_Products_Data1(),FertiliserProducts[[#Headers],[Include or Exclude]], 0)</f>
        <v/>
      </c>
      <c r="F122" s="197" t="str" cm="1">
        <f t="array" ref="F122">Common_InputFunctions.Utility_DisplayArrayInTable(Fertiliser_SourceData.Fertiliser_Products_Data1(),FertiliserProducts[[#Headers],[Include or Exclude]], 0)</f>
        <v/>
      </c>
      <c r="G122" s="197" t="str" cm="1">
        <f t="array" ref="G122">Common_InputFunctions.Utility_DisplayArrayInTable(Fertiliser_SourceData.Fertiliser_Products_Data1(),FertiliserProducts[[#Headers],[Include or Exclude]], 0)</f>
        <v/>
      </c>
      <c r="H122" s="197" t="str" cm="1">
        <f t="array" ref="H122">Common_InputFunctions.Utility_DisplayArrayInTable(Fertiliser_SourceData.Fertiliser_Products_Data1(),FertiliserProducts[[#Headers],[Include or Exclude]], 0,4)</f>
        <v/>
      </c>
      <c r="I122" s="197" t="str" cm="1">
        <f t="array" ref="I122">Common_InputFunctions.Utility_DisplayArrayInTable(Fertiliser_SourceData.Fertiliser_Products_Data1(),FertiliserProducts[[#Headers],[Include or Exclude]], 0,4)</f>
        <v/>
      </c>
      <c r="J122" s="197" t="str" cm="1">
        <f t="array" ref="J122">Common_InputFunctions.Utility_DisplayArrayInTable(Fertiliser_SourceData.Fertiliser_Products_Data1(),FertiliserProducts[[#Headers],[Include or Exclude]], 0,4)</f>
        <v/>
      </c>
      <c r="K122" s="197" t="str" cm="1">
        <f t="array" ref="K122">Common_InputFunctions.Utility_DisplayArrayInTable(Fertiliser_SourceData.Fertiliser_Products_Data1(),FertiliserProducts[[#Headers],[Include or Exclude]], 0,4)</f>
        <v/>
      </c>
      <c r="L122" s="197" t="str" cm="1">
        <f t="array" ref="L122">Common_InputFunctions.Utility_DisplayArrayInTable(Fertiliser_SourceData.Fertiliser_Products_Data1(),FertiliserProducts[[#Headers],[Include or Exclude]], 0,4)</f>
        <v/>
      </c>
      <c r="M122" s="197" t="str" cm="1">
        <f t="array" ref="M122">Common_InputFunctions.Utility_DisplayArrayInTable(Fertiliser_SourceData.Fertiliser_Products_Data1(),FertiliserProducts[[#Headers],[Include or Exclude]], 0,4)</f>
        <v/>
      </c>
      <c r="N122" s="197" t="str" cm="1">
        <f t="array" ref="N122">Common_InputFunctions.Utility_DisplayArrayInTable(Fertiliser_SourceData.Fertiliser_Products_Data1(),FertiliserProducts[[#Headers],[Include or Exclude]], 0,4)</f>
        <v/>
      </c>
      <c r="O122" s="197" t="str" cm="1">
        <f t="array" ref="O122">Common_InputFunctions.Utility_DisplayArrayInTable(Fertiliser_SourceData.Fertiliser_Products_Data1(),FertiliserProducts[[#Headers],[Include or Exclude]], 0,4)</f>
        <v/>
      </c>
      <c r="P122" s="197" t="str" cm="1">
        <f t="array" ref="P122">Common_InputFunctions.Utility_DisplayArrayInTable(Fertiliser_SourceData.Fertiliser_Products_Data1(),FertiliserProducts[[#Headers],[Include or Exclude]], 0,4)</f>
        <v/>
      </c>
      <c r="Q122" s="197" t="str" cm="1">
        <f t="array" ref="Q122">Common_InputFunctions.Utility_DisplayArrayInTable(Fertiliser_SourceData.Fertiliser_Products_Data1(),FertiliserProducts[[#Headers],[Include or Exclude]], 0,4)</f>
        <v/>
      </c>
      <c r="R122" s="197" t="str" cm="1">
        <f t="array" ref="R122">Common_InputFunctions.Utility_DisplayArrayInTable(Fertiliser_SourceData.Fertiliser_Products_Data1(),FertiliserProducts[[#Headers],[Include or Exclude]], 0,4)</f>
        <v/>
      </c>
      <c r="S122" s="197" t="str" cm="1">
        <f t="array" ref="S122">Common_InputFunctions.Utility_DisplayArrayInTable(Fertiliser_SourceData.Fertiliser_Products_Data1(),FertiliserProducts[[#Headers],[Include or Exclude]], 0,4)</f>
        <v/>
      </c>
      <c r="T122" s="197" t="str" cm="1">
        <f t="array" ref="T122">Common_InputFunctions.Utility_DisplayArrayInTable(Fertiliser_SourceData.Fertiliser_Products_Data1(),FertiliserProducts[[#Headers],[Include or Exclude]], 0,4)</f>
        <v/>
      </c>
      <c r="U122" s="197" t="str" cm="1">
        <f t="array" ref="U122">Common_InputFunctions.Utility_DisplayArrayInTable(Fertiliser_SourceData.Fertiliser_Products_Data1(),FertiliserProducts[[#Headers],[Include or Exclude]], 0,4)</f>
        <v/>
      </c>
      <c r="V122" s="197" t="str" cm="1">
        <f t="array" ref="V122">Common_InputFunctions.Utility_DisplayArrayInTable(Fertiliser_SourceData.Fertiliser_Products_Data1(),FertiliserProducts[[#Headers],[Include or Exclude]], 0,4)</f>
        <v/>
      </c>
      <c r="W122" s="197" t="str" cm="1">
        <f t="array" ref="W122">Common_InputFunctions.Utility_DisplayArrayInTable(Fertiliser_SourceData.Fertiliser_Products_Data1(),FertiliserProducts[[#Headers],[Include or Exclude]], 0,4)</f>
        <v/>
      </c>
      <c r="X122" s="197" t="str" cm="1">
        <f t="array" ref="X122">Common_InputFunctions.Utility_DisplayArrayInTable(Fertiliser_SourceData.Fertiliser_Products_Data1(),FertiliserProducts[[#Headers],[Include or Exclude]], 0,4)</f>
        <v/>
      </c>
      <c r="Y122" s="197" t="str" cm="1">
        <f t="array" ref="Y122">Common_InputFunctions.Utility_DisplayArrayInTable(Fertiliser_SourceData.Fertiliser_Products_Data1(),FertiliserProducts[[#Headers],[Include or Exclude]], 0,4)</f>
        <v/>
      </c>
      <c r="Z122" s="197" t="str" cm="1">
        <f t="array" ref="Z122">Common_InputFunctions.Utility_DisplayArrayInTable(Fertiliser_SourceData.Fertiliser_Products_Data1(),FertiliserProducts[[#Headers],[Include or Exclude]], 0,4)</f>
        <v/>
      </c>
      <c r="AA122" s="197" t="str" cm="1">
        <f t="array" ref="AA122">Common_InputFunctions.Utility_DisplayArrayInTable(Fertiliser_SourceData.Fertiliser_Products_Data1(),FertiliserProducts[[#Headers],[Include or Exclude]], 0,4)</f>
        <v/>
      </c>
      <c r="AB122" s="197" t="str" cm="1">
        <f t="array" ref="AB122">Common_InputFunctions.Utility_DisplayArrayInTable(Fertiliser_SourceData.Fertiliser_Products_Data1(),FertiliserProducts[[#Headers],[Include or Exclude]], 0,4)</f>
        <v/>
      </c>
      <c r="AC122" s="197" t="str" cm="1">
        <f t="array" ref="AC122">Common_InputFunctions.Utility_DisplayArrayInTable(Fertiliser_SourceData.Fertiliser_Products_Data1(),FertiliserProducts[[#Headers],[Include or Exclude]], 0,4)</f>
        <v/>
      </c>
      <c r="AD122" s="197" t="str" cm="1">
        <f t="array" ref="AD122">Common_InputFunctions.Utility_DisplayArrayInTable(Fertiliser_SourceData.Fertiliser_Products_Data1(),FertiliserProducts[[#Headers],[Include or Exclude]], 0,4)</f>
        <v/>
      </c>
      <c r="AE122" s="197" t="str" cm="1">
        <f t="array" ref="AE122">Common_InputFunctions.Utility_DisplayArrayInTable(Fertiliser_SourceData.Fertiliser_Products_Data1(),FertiliserProducts[[#Headers],[Include or Exclude]], 0,4)</f>
        <v/>
      </c>
    </row>
    <row r="123" spans="4:31" ht="20.100000000000001" customHeight="1" x14ac:dyDescent="0.25">
      <c r="D123" s="197" t="str" cm="1">
        <f t="array" ref="D123">Common_InputFunctions.Utility_DisplayArrayInTable(Fertiliser_SourceData.Fertiliser_Products_Data1(),FertiliserProducts[[#Headers],[Include or Exclude]], -1)</f>
        <v/>
      </c>
      <c r="E123" s="197" t="str" cm="1">
        <f t="array" ref="E123">Common_InputFunctions.Utility_DisplayArrayInTable(Fertiliser_SourceData.Fertiliser_Products_Data1(),FertiliserProducts[[#Headers],[Include or Exclude]], 0)</f>
        <v/>
      </c>
      <c r="F123" s="197" t="str" cm="1">
        <f t="array" ref="F123">Common_InputFunctions.Utility_DisplayArrayInTable(Fertiliser_SourceData.Fertiliser_Products_Data1(),FertiliserProducts[[#Headers],[Include or Exclude]], 0)</f>
        <v/>
      </c>
      <c r="G123" s="197" t="str" cm="1">
        <f t="array" ref="G123">Common_InputFunctions.Utility_DisplayArrayInTable(Fertiliser_SourceData.Fertiliser_Products_Data1(),FertiliserProducts[[#Headers],[Include or Exclude]], 0)</f>
        <v/>
      </c>
      <c r="H123" s="197" t="str" cm="1">
        <f t="array" ref="H123">Common_InputFunctions.Utility_DisplayArrayInTable(Fertiliser_SourceData.Fertiliser_Products_Data1(),FertiliserProducts[[#Headers],[Include or Exclude]], 0,4)</f>
        <v/>
      </c>
      <c r="I123" s="197" t="str" cm="1">
        <f t="array" ref="I123">Common_InputFunctions.Utility_DisplayArrayInTable(Fertiliser_SourceData.Fertiliser_Products_Data1(),FertiliserProducts[[#Headers],[Include or Exclude]], 0,4)</f>
        <v/>
      </c>
      <c r="J123" s="197" t="str" cm="1">
        <f t="array" ref="J123">Common_InputFunctions.Utility_DisplayArrayInTable(Fertiliser_SourceData.Fertiliser_Products_Data1(),FertiliserProducts[[#Headers],[Include or Exclude]], 0,4)</f>
        <v/>
      </c>
      <c r="K123" s="197" t="str" cm="1">
        <f t="array" ref="K123">Common_InputFunctions.Utility_DisplayArrayInTable(Fertiliser_SourceData.Fertiliser_Products_Data1(),FertiliserProducts[[#Headers],[Include or Exclude]], 0,4)</f>
        <v/>
      </c>
      <c r="L123" s="197" t="str" cm="1">
        <f t="array" ref="L123">Common_InputFunctions.Utility_DisplayArrayInTable(Fertiliser_SourceData.Fertiliser_Products_Data1(),FertiliserProducts[[#Headers],[Include or Exclude]], 0,4)</f>
        <v/>
      </c>
      <c r="M123" s="197" t="str" cm="1">
        <f t="array" ref="M123">Common_InputFunctions.Utility_DisplayArrayInTable(Fertiliser_SourceData.Fertiliser_Products_Data1(),FertiliserProducts[[#Headers],[Include or Exclude]], 0,4)</f>
        <v/>
      </c>
      <c r="N123" s="197" t="str" cm="1">
        <f t="array" ref="N123">Common_InputFunctions.Utility_DisplayArrayInTable(Fertiliser_SourceData.Fertiliser_Products_Data1(),FertiliserProducts[[#Headers],[Include or Exclude]], 0,4)</f>
        <v/>
      </c>
      <c r="O123" s="197" t="str" cm="1">
        <f t="array" ref="O123">Common_InputFunctions.Utility_DisplayArrayInTable(Fertiliser_SourceData.Fertiliser_Products_Data1(),FertiliserProducts[[#Headers],[Include or Exclude]], 0,4)</f>
        <v/>
      </c>
      <c r="P123" s="197" t="str" cm="1">
        <f t="array" ref="P123">Common_InputFunctions.Utility_DisplayArrayInTable(Fertiliser_SourceData.Fertiliser_Products_Data1(),FertiliserProducts[[#Headers],[Include or Exclude]], 0,4)</f>
        <v/>
      </c>
      <c r="Q123" s="197" t="str" cm="1">
        <f t="array" ref="Q123">Common_InputFunctions.Utility_DisplayArrayInTable(Fertiliser_SourceData.Fertiliser_Products_Data1(),FertiliserProducts[[#Headers],[Include or Exclude]], 0,4)</f>
        <v/>
      </c>
      <c r="R123" s="197" t="str" cm="1">
        <f t="array" ref="R123">Common_InputFunctions.Utility_DisplayArrayInTable(Fertiliser_SourceData.Fertiliser_Products_Data1(),FertiliserProducts[[#Headers],[Include or Exclude]], 0,4)</f>
        <v/>
      </c>
      <c r="S123" s="197" t="str" cm="1">
        <f t="array" ref="S123">Common_InputFunctions.Utility_DisplayArrayInTable(Fertiliser_SourceData.Fertiliser_Products_Data1(),FertiliserProducts[[#Headers],[Include or Exclude]], 0,4)</f>
        <v/>
      </c>
      <c r="T123" s="197" t="str" cm="1">
        <f t="array" ref="T123">Common_InputFunctions.Utility_DisplayArrayInTable(Fertiliser_SourceData.Fertiliser_Products_Data1(),FertiliserProducts[[#Headers],[Include or Exclude]], 0,4)</f>
        <v/>
      </c>
      <c r="U123" s="197" t="str" cm="1">
        <f t="array" ref="U123">Common_InputFunctions.Utility_DisplayArrayInTable(Fertiliser_SourceData.Fertiliser_Products_Data1(),FertiliserProducts[[#Headers],[Include or Exclude]], 0,4)</f>
        <v/>
      </c>
      <c r="V123" s="197" t="str" cm="1">
        <f t="array" ref="V123">Common_InputFunctions.Utility_DisplayArrayInTable(Fertiliser_SourceData.Fertiliser_Products_Data1(),FertiliserProducts[[#Headers],[Include or Exclude]], 0,4)</f>
        <v/>
      </c>
      <c r="W123" s="197" t="str" cm="1">
        <f t="array" ref="W123">Common_InputFunctions.Utility_DisplayArrayInTable(Fertiliser_SourceData.Fertiliser_Products_Data1(),FertiliserProducts[[#Headers],[Include or Exclude]], 0,4)</f>
        <v/>
      </c>
      <c r="X123" s="197" t="str" cm="1">
        <f t="array" ref="X123">Common_InputFunctions.Utility_DisplayArrayInTable(Fertiliser_SourceData.Fertiliser_Products_Data1(),FertiliserProducts[[#Headers],[Include or Exclude]], 0,4)</f>
        <v/>
      </c>
      <c r="Y123" s="197" t="str" cm="1">
        <f t="array" ref="Y123">Common_InputFunctions.Utility_DisplayArrayInTable(Fertiliser_SourceData.Fertiliser_Products_Data1(),FertiliserProducts[[#Headers],[Include or Exclude]], 0,4)</f>
        <v/>
      </c>
      <c r="Z123" s="197" t="str" cm="1">
        <f t="array" ref="Z123">Common_InputFunctions.Utility_DisplayArrayInTable(Fertiliser_SourceData.Fertiliser_Products_Data1(),FertiliserProducts[[#Headers],[Include or Exclude]], 0,4)</f>
        <v/>
      </c>
      <c r="AA123" s="197" t="str" cm="1">
        <f t="array" ref="AA123">Common_InputFunctions.Utility_DisplayArrayInTable(Fertiliser_SourceData.Fertiliser_Products_Data1(),FertiliserProducts[[#Headers],[Include or Exclude]], 0,4)</f>
        <v/>
      </c>
      <c r="AB123" s="197" t="str" cm="1">
        <f t="array" ref="AB123">Common_InputFunctions.Utility_DisplayArrayInTable(Fertiliser_SourceData.Fertiliser_Products_Data1(),FertiliserProducts[[#Headers],[Include or Exclude]], 0,4)</f>
        <v/>
      </c>
      <c r="AC123" s="197" t="str" cm="1">
        <f t="array" ref="AC123">Common_InputFunctions.Utility_DisplayArrayInTable(Fertiliser_SourceData.Fertiliser_Products_Data1(),FertiliserProducts[[#Headers],[Include or Exclude]], 0,4)</f>
        <v/>
      </c>
      <c r="AD123" s="197" t="str" cm="1">
        <f t="array" ref="AD123">Common_InputFunctions.Utility_DisplayArrayInTable(Fertiliser_SourceData.Fertiliser_Products_Data1(),FertiliserProducts[[#Headers],[Include or Exclude]], 0,4)</f>
        <v/>
      </c>
      <c r="AE123" s="197" t="str" cm="1">
        <f t="array" ref="AE123">Common_InputFunctions.Utility_DisplayArrayInTable(Fertiliser_SourceData.Fertiliser_Products_Data1(),FertiliserProducts[[#Headers],[Include or Exclude]], 0,4)</f>
        <v/>
      </c>
    </row>
    <row r="124" spans="4:31" ht="20.100000000000001" customHeight="1" x14ac:dyDescent="0.25">
      <c r="D124" s="197" t="str" cm="1">
        <f t="array" ref="D124">Common_InputFunctions.Utility_DisplayArrayInTable(Fertiliser_SourceData.Fertiliser_Products_Data1(),FertiliserProducts[[#Headers],[Include or Exclude]], -1)</f>
        <v/>
      </c>
      <c r="E124" s="197" t="str" cm="1">
        <f t="array" ref="E124">Common_InputFunctions.Utility_DisplayArrayInTable(Fertiliser_SourceData.Fertiliser_Products_Data1(),FertiliserProducts[[#Headers],[Include or Exclude]], 0)</f>
        <v/>
      </c>
      <c r="F124" s="197" t="str" cm="1">
        <f t="array" ref="F124">Common_InputFunctions.Utility_DisplayArrayInTable(Fertiliser_SourceData.Fertiliser_Products_Data1(),FertiliserProducts[[#Headers],[Include or Exclude]], 0)</f>
        <v/>
      </c>
      <c r="G124" s="197" t="str" cm="1">
        <f t="array" ref="G124">Common_InputFunctions.Utility_DisplayArrayInTable(Fertiliser_SourceData.Fertiliser_Products_Data1(),FertiliserProducts[[#Headers],[Include or Exclude]], 0)</f>
        <v/>
      </c>
      <c r="H124" s="197" t="str" cm="1">
        <f t="array" ref="H124">Common_InputFunctions.Utility_DisplayArrayInTable(Fertiliser_SourceData.Fertiliser_Products_Data1(),FertiliserProducts[[#Headers],[Include or Exclude]], 0,4)</f>
        <v/>
      </c>
      <c r="I124" s="197" t="str" cm="1">
        <f t="array" ref="I124">Common_InputFunctions.Utility_DisplayArrayInTable(Fertiliser_SourceData.Fertiliser_Products_Data1(),FertiliserProducts[[#Headers],[Include or Exclude]], 0,4)</f>
        <v/>
      </c>
      <c r="J124" s="197" t="str" cm="1">
        <f t="array" ref="J124">Common_InputFunctions.Utility_DisplayArrayInTable(Fertiliser_SourceData.Fertiliser_Products_Data1(),FertiliserProducts[[#Headers],[Include or Exclude]], 0,4)</f>
        <v/>
      </c>
      <c r="K124" s="197" t="str" cm="1">
        <f t="array" ref="K124">Common_InputFunctions.Utility_DisplayArrayInTable(Fertiliser_SourceData.Fertiliser_Products_Data1(),FertiliserProducts[[#Headers],[Include or Exclude]], 0,4)</f>
        <v/>
      </c>
      <c r="L124" s="197" t="str" cm="1">
        <f t="array" ref="L124">Common_InputFunctions.Utility_DisplayArrayInTable(Fertiliser_SourceData.Fertiliser_Products_Data1(),FertiliserProducts[[#Headers],[Include or Exclude]], 0,4)</f>
        <v/>
      </c>
      <c r="M124" s="197" t="str" cm="1">
        <f t="array" ref="M124">Common_InputFunctions.Utility_DisplayArrayInTable(Fertiliser_SourceData.Fertiliser_Products_Data1(),FertiliserProducts[[#Headers],[Include or Exclude]], 0,4)</f>
        <v/>
      </c>
      <c r="N124" s="197" t="str" cm="1">
        <f t="array" ref="N124">Common_InputFunctions.Utility_DisplayArrayInTable(Fertiliser_SourceData.Fertiliser_Products_Data1(),FertiliserProducts[[#Headers],[Include or Exclude]], 0,4)</f>
        <v/>
      </c>
      <c r="O124" s="197" t="str" cm="1">
        <f t="array" ref="O124">Common_InputFunctions.Utility_DisplayArrayInTable(Fertiliser_SourceData.Fertiliser_Products_Data1(),FertiliserProducts[[#Headers],[Include or Exclude]], 0,4)</f>
        <v/>
      </c>
      <c r="P124" s="197" t="str" cm="1">
        <f t="array" ref="P124">Common_InputFunctions.Utility_DisplayArrayInTable(Fertiliser_SourceData.Fertiliser_Products_Data1(),FertiliserProducts[[#Headers],[Include or Exclude]], 0,4)</f>
        <v/>
      </c>
      <c r="Q124" s="197" t="str" cm="1">
        <f t="array" ref="Q124">Common_InputFunctions.Utility_DisplayArrayInTable(Fertiliser_SourceData.Fertiliser_Products_Data1(),FertiliserProducts[[#Headers],[Include or Exclude]], 0,4)</f>
        <v/>
      </c>
      <c r="R124" s="197" t="str" cm="1">
        <f t="array" ref="R124">Common_InputFunctions.Utility_DisplayArrayInTable(Fertiliser_SourceData.Fertiliser_Products_Data1(),FertiliserProducts[[#Headers],[Include or Exclude]], 0,4)</f>
        <v/>
      </c>
      <c r="S124" s="197" t="str" cm="1">
        <f t="array" ref="S124">Common_InputFunctions.Utility_DisplayArrayInTable(Fertiliser_SourceData.Fertiliser_Products_Data1(),FertiliserProducts[[#Headers],[Include or Exclude]], 0,4)</f>
        <v/>
      </c>
      <c r="T124" s="197" t="str" cm="1">
        <f t="array" ref="T124">Common_InputFunctions.Utility_DisplayArrayInTable(Fertiliser_SourceData.Fertiliser_Products_Data1(),FertiliserProducts[[#Headers],[Include or Exclude]], 0,4)</f>
        <v/>
      </c>
      <c r="U124" s="197" t="str" cm="1">
        <f t="array" ref="U124">Common_InputFunctions.Utility_DisplayArrayInTable(Fertiliser_SourceData.Fertiliser_Products_Data1(),FertiliserProducts[[#Headers],[Include or Exclude]], 0,4)</f>
        <v/>
      </c>
      <c r="V124" s="197" t="str" cm="1">
        <f t="array" ref="V124">Common_InputFunctions.Utility_DisplayArrayInTable(Fertiliser_SourceData.Fertiliser_Products_Data1(),FertiliserProducts[[#Headers],[Include or Exclude]], 0,4)</f>
        <v/>
      </c>
      <c r="W124" s="197" t="str" cm="1">
        <f t="array" ref="W124">Common_InputFunctions.Utility_DisplayArrayInTable(Fertiliser_SourceData.Fertiliser_Products_Data1(),FertiliserProducts[[#Headers],[Include or Exclude]], 0,4)</f>
        <v/>
      </c>
      <c r="X124" s="197" t="str" cm="1">
        <f t="array" ref="X124">Common_InputFunctions.Utility_DisplayArrayInTable(Fertiliser_SourceData.Fertiliser_Products_Data1(),FertiliserProducts[[#Headers],[Include or Exclude]], 0,4)</f>
        <v/>
      </c>
      <c r="Y124" s="197" t="str" cm="1">
        <f t="array" ref="Y124">Common_InputFunctions.Utility_DisplayArrayInTable(Fertiliser_SourceData.Fertiliser_Products_Data1(),FertiliserProducts[[#Headers],[Include or Exclude]], 0,4)</f>
        <v/>
      </c>
      <c r="Z124" s="197" t="str" cm="1">
        <f t="array" ref="Z124">Common_InputFunctions.Utility_DisplayArrayInTable(Fertiliser_SourceData.Fertiliser_Products_Data1(),FertiliserProducts[[#Headers],[Include or Exclude]], 0,4)</f>
        <v/>
      </c>
      <c r="AA124" s="197" t="str" cm="1">
        <f t="array" ref="AA124">Common_InputFunctions.Utility_DisplayArrayInTable(Fertiliser_SourceData.Fertiliser_Products_Data1(),FertiliserProducts[[#Headers],[Include or Exclude]], 0,4)</f>
        <v/>
      </c>
      <c r="AB124" s="197" t="str" cm="1">
        <f t="array" ref="AB124">Common_InputFunctions.Utility_DisplayArrayInTable(Fertiliser_SourceData.Fertiliser_Products_Data1(),FertiliserProducts[[#Headers],[Include or Exclude]], 0,4)</f>
        <v/>
      </c>
      <c r="AC124" s="197" t="str" cm="1">
        <f t="array" ref="AC124">Common_InputFunctions.Utility_DisplayArrayInTable(Fertiliser_SourceData.Fertiliser_Products_Data1(),FertiliserProducts[[#Headers],[Include or Exclude]], 0,4)</f>
        <v/>
      </c>
      <c r="AD124" s="197" t="str" cm="1">
        <f t="array" ref="AD124">Common_InputFunctions.Utility_DisplayArrayInTable(Fertiliser_SourceData.Fertiliser_Products_Data1(),FertiliserProducts[[#Headers],[Include or Exclude]], 0,4)</f>
        <v/>
      </c>
      <c r="AE124" s="197" t="str" cm="1">
        <f t="array" ref="AE124">Common_InputFunctions.Utility_DisplayArrayInTable(Fertiliser_SourceData.Fertiliser_Products_Data1(),FertiliserProducts[[#Headers],[Include or Exclude]], 0,4)</f>
        <v/>
      </c>
    </row>
    <row r="125" spans="4:31" ht="20.100000000000001" customHeight="1" x14ac:dyDescent="0.25">
      <c r="D125" s="197" t="str" cm="1">
        <f t="array" ref="D125">Common_InputFunctions.Utility_DisplayArrayInTable(Fertiliser_SourceData.Fertiliser_Products_Data1(),FertiliserProducts[[#Headers],[Include or Exclude]], -1)</f>
        <v/>
      </c>
      <c r="E125" s="197" t="str" cm="1">
        <f t="array" ref="E125">Common_InputFunctions.Utility_DisplayArrayInTable(Fertiliser_SourceData.Fertiliser_Products_Data1(),FertiliserProducts[[#Headers],[Include or Exclude]], 0)</f>
        <v/>
      </c>
      <c r="F125" s="197" t="str" cm="1">
        <f t="array" ref="F125">Common_InputFunctions.Utility_DisplayArrayInTable(Fertiliser_SourceData.Fertiliser_Products_Data1(),FertiliserProducts[[#Headers],[Include or Exclude]], 0)</f>
        <v/>
      </c>
      <c r="G125" s="197" t="str" cm="1">
        <f t="array" ref="G125">Common_InputFunctions.Utility_DisplayArrayInTable(Fertiliser_SourceData.Fertiliser_Products_Data1(),FertiliserProducts[[#Headers],[Include or Exclude]], 0)</f>
        <v/>
      </c>
      <c r="H125" s="197" t="str" cm="1">
        <f t="array" ref="H125">Common_InputFunctions.Utility_DisplayArrayInTable(Fertiliser_SourceData.Fertiliser_Products_Data1(),FertiliserProducts[[#Headers],[Include or Exclude]], 0,4)</f>
        <v/>
      </c>
      <c r="I125" s="197" t="str" cm="1">
        <f t="array" ref="I125">Common_InputFunctions.Utility_DisplayArrayInTable(Fertiliser_SourceData.Fertiliser_Products_Data1(),FertiliserProducts[[#Headers],[Include or Exclude]], 0,4)</f>
        <v/>
      </c>
      <c r="J125" s="197" t="str" cm="1">
        <f t="array" ref="J125">Common_InputFunctions.Utility_DisplayArrayInTable(Fertiliser_SourceData.Fertiliser_Products_Data1(),FertiliserProducts[[#Headers],[Include or Exclude]], 0,4)</f>
        <v/>
      </c>
      <c r="K125" s="197" t="str" cm="1">
        <f t="array" ref="K125">Common_InputFunctions.Utility_DisplayArrayInTable(Fertiliser_SourceData.Fertiliser_Products_Data1(),FertiliserProducts[[#Headers],[Include or Exclude]], 0,4)</f>
        <v/>
      </c>
      <c r="L125" s="197" t="str" cm="1">
        <f t="array" ref="L125">Common_InputFunctions.Utility_DisplayArrayInTable(Fertiliser_SourceData.Fertiliser_Products_Data1(),FertiliserProducts[[#Headers],[Include or Exclude]], 0,4)</f>
        <v/>
      </c>
      <c r="M125" s="197" t="str" cm="1">
        <f t="array" ref="M125">Common_InputFunctions.Utility_DisplayArrayInTable(Fertiliser_SourceData.Fertiliser_Products_Data1(),FertiliserProducts[[#Headers],[Include or Exclude]], 0,4)</f>
        <v/>
      </c>
      <c r="N125" s="197" t="str" cm="1">
        <f t="array" ref="N125">Common_InputFunctions.Utility_DisplayArrayInTable(Fertiliser_SourceData.Fertiliser_Products_Data1(),FertiliserProducts[[#Headers],[Include or Exclude]], 0,4)</f>
        <v/>
      </c>
      <c r="O125" s="197" t="str" cm="1">
        <f t="array" ref="O125">Common_InputFunctions.Utility_DisplayArrayInTable(Fertiliser_SourceData.Fertiliser_Products_Data1(),FertiliserProducts[[#Headers],[Include or Exclude]], 0,4)</f>
        <v/>
      </c>
      <c r="P125" s="197" t="str" cm="1">
        <f t="array" ref="P125">Common_InputFunctions.Utility_DisplayArrayInTable(Fertiliser_SourceData.Fertiliser_Products_Data1(),FertiliserProducts[[#Headers],[Include or Exclude]], 0,4)</f>
        <v/>
      </c>
      <c r="Q125" s="197" t="str" cm="1">
        <f t="array" ref="Q125">Common_InputFunctions.Utility_DisplayArrayInTable(Fertiliser_SourceData.Fertiliser_Products_Data1(),FertiliserProducts[[#Headers],[Include or Exclude]], 0,4)</f>
        <v/>
      </c>
      <c r="R125" s="197" t="str" cm="1">
        <f t="array" ref="R125">Common_InputFunctions.Utility_DisplayArrayInTable(Fertiliser_SourceData.Fertiliser_Products_Data1(),FertiliserProducts[[#Headers],[Include or Exclude]], 0,4)</f>
        <v/>
      </c>
      <c r="S125" s="197" t="str" cm="1">
        <f t="array" ref="S125">Common_InputFunctions.Utility_DisplayArrayInTable(Fertiliser_SourceData.Fertiliser_Products_Data1(),FertiliserProducts[[#Headers],[Include or Exclude]], 0,4)</f>
        <v/>
      </c>
      <c r="T125" s="197" t="str" cm="1">
        <f t="array" ref="T125">Common_InputFunctions.Utility_DisplayArrayInTable(Fertiliser_SourceData.Fertiliser_Products_Data1(),FertiliserProducts[[#Headers],[Include or Exclude]], 0,4)</f>
        <v/>
      </c>
      <c r="U125" s="197" t="str" cm="1">
        <f t="array" ref="U125">Common_InputFunctions.Utility_DisplayArrayInTable(Fertiliser_SourceData.Fertiliser_Products_Data1(),FertiliserProducts[[#Headers],[Include or Exclude]], 0,4)</f>
        <v/>
      </c>
      <c r="V125" s="197" t="str" cm="1">
        <f t="array" ref="V125">Common_InputFunctions.Utility_DisplayArrayInTable(Fertiliser_SourceData.Fertiliser_Products_Data1(),FertiliserProducts[[#Headers],[Include or Exclude]], 0,4)</f>
        <v/>
      </c>
      <c r="W125" s="197" t="str" cm="1">
        <f t="array" ref="W125">Common_InputFunctions.Utility_DisplayArrayInTable(Fertiliser_SourceData.Fertiliser_Products_Data1(),FertiliserProducts[[#Headers],[Include or Exclude]], 0,4)</f>
        <v/>
      </c>
      <c r="X125" s="197" t="str" cm="1">
        <f t="array" ref="X125">Common_InputFunctions.Utility_DisplayArrayInTable(Fertiliser_SourceData.Fertiliser_Products_Data1(),FertiliserProducts[[#Headers],[Include or Exclude]], 0,4)</f>
        <v/>
      </c>
      <c r="Y125" s="197" t="str" cm="1">
        <f t="array" ref="Y125">Common_InputFunctions.Utility_DisplayArrayInTable(Fertiliser_SourceData.Fertiliser_Products_Data1(),FertiliserProducts[[#Headers],[Include or Exclude]], 0,4)</f>
        <v/>
      </c>
      <c r="Z125" s="197" t="str" cm="1">
        <f t="array" ref="Z125">Common_InputFunctions.Utility_DisplayArrayInTable(Fertiliser_SourceData.Fertiliser_Products_Data1(),FertiliserProducts[[#Headers],[Include or Exclude]], 0,4)</f>
        <v/>
      </c>
      <c r="AA125" s="197" t="str" cm="1">
        <f t="array" ref="AA125">Common_InputFunctions.Utility_DisplayArrayInTable(Fertiliser_SourceData.Fertiliser_Products_Data1(),FertiliserProducts[[#Headers],[Include or Exclude]], 0,4)</f>
        <v/>
      </c>
      <c r="AB125" s="197" t="str" cm="1">
        <f t="array" ref="AB125">Common_InputFunctions.Utility_DisplayArrayInTable(Fertiliser_SourceData.Fertiliser_Products_Data1(),FertiliserProducts[[#Headers],[Include or Exclude]], 0,4)</f>
        <v/>
      </c>
      <c r="AC125" s="197" t="str" cm="1">
        <f t="array" ref="AC125">Common_InputFunctions.Utility_DisplayArrayInTable(Fertiliser_SourceData.Fertiliser_Products_Data1(),FertiliserProducts[[#Headers],[Include or Exclude]], 0,4)</f>
        <v/>
      </c>
      <c r="AD125" s="197" t="str" cm="1">
        <f t="array" ref="AD125">Common_InputFunctions.Utility_DisplayArrayInTable(Fertiliser_SourceData.Fertiliser_Products_Data1(),FertiliserProducts[[#Headers],[Include or Exclude]], 0,4)</f>
        <v/>
      </c>
      <c r="AE125" s="197" t="str" cm="1">
        <f t="array" ref="AE125">Common_InputFunctions.Utility_DisplayArrayInTable(Fertiliser_SourceData.Fertiliser_Products_Data1(),FertiliserProducts[[#Headers],[Include or Exclude]], 0,4)</f>
        <v/>
      </c>
    </row>
    <row r="126" spans="4:31" ht="20.100000000000001" customHeight="1" x14ac:dyDescent="0.25">
      <c r="D126" s="197" t="str" cm="1">
        <f t="array" ref="D126">Common_InputFunctions.Utility_DisplayArrayInTable(Fertiliser_SourceData.Fertiliser_Products_Data1(),FertiliserProducts[[#Headers],[Include or Exclude]], -1)</f>
        <v/>
      </c>
      <c r="E126" s="197" t="str" cm="1">
        <f t="array" ref="E126">Common_InputFunctions.Utility_DisplayArrayInTable(Fertiliser_SourceData.Fertiliser_Products_Data1(),FertiliserProducts[[#Headers],[Include or Exclude]], 0)</f>
        <v/>
      </c>
      <c r="F126" s="197" t="str" cm="1">
        <f t="array" ref="F126">Common_InputFunctions.Utility_DisplayArrayInTable(Fertiliser_SourceData.Fertiliser_Products_Data1(),FertiliserProducts[[#Headers],[Include or Exclude]], 0)</f>
        <v/>
      </c>
      <c r="G126" s="197" t="str" cm="1">
        <f t="array" ref="G126">Common_InputFunctions.Utility_DisplayArrayInTable(Fertiliser_SourceData.Fertiliser_Products_Data1(),FertiliserProducts[[#Headers],[Include or Exclude]], 0)</f>
        <v/>
      </c>
      <c r="H126" s="197" t="str" cm="1">
        <f t="array" ref="H126">Common_InputFunctions.Utility_DisplayArrayInTable(Fertiliser_SourceData.Fertiliser_Products_Data1(),FertiliserProducts[[#Headers],[Include or Exclude]], 0,4)</f>
        <v/>
      </c>
      <c r="I126" s="197" t="str" cm="1">
        <f t="array" ref="I126">Common_InputFunctions.Utility_DisplayArrayInTable(Fertiliser_SourceData.Fertiliser_Products_Data1(),FertiliserProducts[[#Headers],[Include or Exclude]], 0,4)</f>
        <v/>
      </c>
      <c r="J126" s="197" t="str" cm="1">
        <f t="array" ref="J126">Common_InputFunctions.Utility_DisplayArrayInTable(Fertiliser_SourceData.Fertiliser_Products_Data1(),FertiliserProducts[[#Headers],[Include or Exclude]], 0,4)</f>
        <v/>
      </c>
      <c r="K126" s="197" t="str" cm="1">
        <f t="array" ref="K126">Common_InputFunctions.Utility_DisplayArrayInTable(Fertiliser_SourceData.Fertiliser_Products_Data1(),FertiliserProducts[[#Headers],[Include or Exclude]], 0,4)</f>
        <v/>
      </c>
      <c r="L126" s="197" t="str" cm="1">
        <f t="array" ref="L126">Common_InputFunctions.Utility_DisplayArrayInTable(Fertiliser_SourceData.Fertiliser_Products_Data1(),FertiliserProducts[[#Headers],[Include or Exclude]], 0,4)</f>
        <v/>
      </c>
      <c r="M126" s="197" t="str" cm="1">
        <f t="array" ref="M126">Common_InputFunctions.Utility_DisplayArrayInTable(Fertiliser_SourceData.Fertiliser_Products_Data1(),FertiliserProducts[[#Headers],[Include or Exclude]], 0,4)</f>
        <v/>
      </c>
      <c r="N126" s="197" t="str" cm="1">
        <f t="array" ref="N126">Common_InputFunctions.Utility_DisplayArrayInTable(Fertiliser_SourceData.Fertiliser_Products_Data1(),FertiliserProducts[[#Headers],[Include or Exclude]], 0,4)</f>
        <v/>
      </c>
      <c r="O126" s="197" t="str" cm="1">
        <f t="array" ref="O126">Common_InputFunctions.Utility_DisplayArrayInTable(Fertiliser_SourceData.Fertiliser_Products_Data1(),FertiliserProducts[[#Headers],[Include or Exclude]], 0,4)</f>
        <v/>
      </c>
      <c r="P126" s="197" t="str" cm="1">
        <f t="array" ref="P126">Common_InputFunctions.Utility_DisplayArrayInTable(Fertiliser_SourceData.Fertiliser_Products_Data1(),FertiliserProducts[[#Headers],[Include or Exclude]], 0,4)</f>
        <v/>
      </c>
      <c r="Q126" s="197" t="str" cm="1">
        <f t="array" ref="Q126">Common_InputFunctions.Utility_DisplayArrayInTable(Fertiliser_SourceData.Fertiliser_Products_Data1(),FertiliserProducts[[#Headers],[Include or Exclude]], 0,4)</f>
        <v/>
      </c>
      <c r="R126" s="197" t="str" cm="1">
        <f t="array" ref="R126">Common_InputFunctions.Utility_DisplayArrayInTable(Fertiliser_SourceData.Fertiliser_Products_Data1(),FertiliserProducts[[#Headers],[Include or Exclude]], 0,4)</f>
        <v/>
      </c>
      <c r="S126" s="197" t="str" cm="1">
        <f t="array" ref="S126">Common_InputFunctions.Utility_DisplayArrayInTable(Fertiliser_SourceData.Fertiliser_Products_Data1(),FertiliserProducts[[#Headers],[Include or Exclude]], 0,4)</f>
        <v/>
      </c>
      <c r="T126" s="197" t="str" cm="1">
        <f t="array" ref="T126">Common_InputFunctions.Utility_DisplayArrayInTable(Fertiliser_SourceData.Fertiliser_Products_Data1(),FertiliserProducts[[#Headers],[Include or Exclude]], 0,4)</f>
        <v/>
      </c>
      <c r="U126" s="197" t="str" cm="1">
        <f t="array" ref="U126">Common_InputFunctions.Utility_DisplayArrayInTable(Fertiliser_SourceData.Fertiliser_Products_Data1(),FertiliserProducts[[#Headers],[Include or Exclude]], 0,4)</f>
        <v/>
      </c>
      <c r="V126" s="197" t="str" cm="1">
        <f t="array" ref="V126">Common_InputFunctions.Utility_DisplayArrayInTable(Fertiliser_SourceData.Fertiliser_Products_Data1(),FertiliserProducts[[#Headers],[Include or Exclude]], 0,4)</f>
        <v/>
      </c>
      <c r="W126" s="197" t="str" cm="1">
        <f t="array" ref="W126">Common_InputFunctions.Utility_DisplayArrayInTable(Fertiliser_SourceData.Fertiliser_Products_Data1(),FertiliserProducts[[#Headers],[Include or Exclude]], 0,4)</f>
        <v/>
      </c>
      <c r="X126" s="197" t="str" cm="1">
        <f t="array" ref="X126">Common_InputFunctions.Utility_DisplayArrayInTable(Fertiliser_SourceData.Fertiliser_Products_Data1(),FertiliserProducts[[#Headers],[Include or Exclude]], 0,4)</f>
        <v/>
      </c>
      <c r="Y126" s="197" t="str" cm="1">
        <f t="array" ref="Y126">Common_InputFunctions.Utility_DisplayArrayInTable(Fertiliser_SourceData.Fertiliser_Products_Data1(),FertiliserProducts[[#Headers],[Include or Exclude]], 0,4)</f>
        <v/>
      </c>
      <c r="Z126" s="197" t="str" cm="1">
        <f t="array" ref="Z126">Common_InputFunctions.Utility_DisplayArrayInTable(Fertiliser_SourceData.Fertiliser_Products_Data1(),FertiliserProducts[[#Headers],[Include or Exclude]], 0,4)</f>
        <v/>
      </c>
      <c r="AA126" s="197" t="str" cm="1">
        <f t="array" ref="AA126">Common_InputFunctions.Utility_DisplayArrayInTable(Fertiliser_SourceData.Fertiliser_Products_Data1(),FertiliserProducts[[#Headers],[Include or Exclude]], 0,4)</f>
        <v/>
      </c>
      <c r="AB126" s="197" t="str" cm="1">
        <f t="array" ref="AB126">Common_InputFunctions.Utility_DisplayArrayInTable(Fertiliser_SourceData.Fertiliser_Products_Data1(),FertiliserProducts[[#Headers],[Include or Exclude]], 0,4)</f>
        <v/>
      </c>
      <c r="AC126" s="197" t="str" cm="1">
        <f t="array" ref="AC126">Common_InputFunctions.Utility_DisplayArrayInTable(Fertiliser_SourceData.Fertiliser_Products_Data1(),FertiliserProducts[[#Headers],[Include or Exclude]], 0,4)</f>
        <v/>
      </c>
      <c r="AD126" s="197" t="str" cm="1">
        <f t="array" ref="AD126">Common_InputFunctions.Utility_DisplayArrayInTable(Fertiliser_SourceData.Fertiliser_Products_Data1(),FertiliserProducts[[#Headers],[Include or Exclude]], 0,4)</f>
        <v/>
      </c>
      <c r="AE126" s="197" t="str" cm="1">
        <f t="array" ref="AE126">Common_InputFunctions.Utility_DisplayArrayInTable(Fertiliser_SourceData.Fertiliser_Products_Data1(),FertiliserProducts[[#Headers],[Include or Exclude]], 0,4)</f>
        <v/>
      </c>
    </row>
    <row r="127" spans="4:31" ht="20.100000000000001" customHeight="1" x14ac:dyDescent="0.25">
      <c r="D127" s="197" t="str" cm="1">
        <f t="array" ref="D127">Common_InputFunctions.Utility_DisplayArrayInTable(Fertiliser_SourceData.Fertiliser_Products_Data1(),FertiliserProducts[[#Headers],[Include or Exclude]], -1)</f>
        <v/>
      </c>
      <c r="E127" s="197" t="str" cm="1">
        <f t="array" ref="E127">Common_InputFunctions.Utility_DisplayArrayInTable(Fertiliser_SourceData.Fertiliser_Products_Data1(),FertiliserProducts[[#Headers],[Include or Exclude]], 0)</f>
        <v/>
      </c>
      <c r="F127" s="197" t="str" cm="1">
        <f t="array" ref="F127">Common_InputFunctions.Utility_DisplayArrayInTable(Fertiliser_SourceData.Fertiliser_Products_Data1(),FertiliserProducts[[#Headers],[Include or Exclude]], 0)</f>
        <v/>
      </c>
      <c r="G127" s="197" t="str" cm="1">
        <f t="array" ref="G127">Common_InputFunctions.Utility_DisplayArrayInTable(Fertiliser_SourceData.Fertiliser_Products_Data1(),FertiliserProducts[[#Headers],[Include or Exclude]], 0)</f>
        <v/>
      </c>
      <c r="H127" s="197" t="str" cm="1">
        <f t="array" ref="H127">Common_InputFunctions.Utility_DisplayArrayInTable(Fertiliser_SourceData.Fertiliser_Products_Data1(),FertiliserProducts[[#Headers],[Include or Exclude]], 0,4)</f>
        <v/>
      </c>
      <c r="I127" s="197" t="str" cm="1">
        <f t="array" ref="I127">Common_InputFunctions.Utility_DisplayArrayInTable(Fertiliser_SourceData.Fertiliser_Products_Data1(),FertiliserProducts[[#Headers],[Include or Exclude]], 0,4)</f>
        <v/>
      </c>
      <c r="J127" s="197" t="str" cm="1">
        <f t="array" ref="J127">Common_InputFunctions.Utility_DisplayArrayInTable(Fertiliser_SourceData.Fertiliser_Products_Data1(),FertiliserProducts[[#Headers],[Include or Exclude]], 0,4)</f>
        <v/>
      </c>
      <c r="K127" s="197" t="str" cm="1">
        <f t="array" ref="K127">Common_InputFunctions.Utility_DisplayArrayInTable(Fertiliser_SourceData.Fertiliser_Products_Data1(),FertiliserProducts[[#Headers],[Include or Exclude]], 0,4)</f>
        <v/>
      </c>
      <c r="L127" s="197" t="str" cm="1">
        <f t="array" ref="L127">Common_InputFunctions.Utility_DisplayArrayInTable(Fertiliser_SourceData.Fertiliser_Products_Data1(),FertiliserProducts[[#Headers],[Include or Exclude]], 0,4)</f>
        <v/>
      </c>
      <c r="M127" s="197" t="str" cm="1">
        <f t="array" ref="M127">Common_InputFunctions.Utility_DisplayArrayInTable(Fertiliser_SourceData.Fertiliser_Products_Data1(),FertiliserProducts[[#Headers],[Include or Exclude]], 0,4)</f>
        <v/>
      </c>
      <c r="N127" s="197" t="str" cm="1">
        <f t="array" ref="N127">Common_InputFunctions.Utility_DisplayArrayInTable(Fertiliser_SourceData.Fertiliser_Products_Data1(),FertiliserProducts[[#Headers],[Include or Exclude]], 0,4)</f>
        <v/>
      </c>
      <c r="O127" s="197" t="str" cm="1">
        <f t="array" ref="O127">Common_InputFunctions.Utility_DisplayArrayInTable(Fertiliser_SourceData.Fertiliser_Products_Data1(),FertiliserProducts[[#Headers],[Include or Exclude]], 0,4)</f>
        <v/>
      </c>
      <c r="P127" s="197" t="str" cm="1">
        <f t="array" ref="P127">Common_InputFunctions.Utility_DisplayArrayInTable(Fertiliser_SourceData.Fertiliser_Products_Data1(),FertiliserProducts[[#Headers],[Include or Exclude]], 0,4)</f>
        <v/>
      </c>
      <c r="Q127" s="197" t="str" cm="1">
        <f t="array" ref="Q127">Common_InputFunctions.Utility_DisplayArrayInTable(Fertiliser_SourceData.Fertiliser_Products_Data1(),FertiliserProducts[[#Headers],[Include or Exclude]], 0,4)</f>
        <v/>
      </c>
      <c r="R127" s="197" t="str" cm="1">
        <f t="array" ref="R127">Common_InputFunctions.Utility_DisplayArrayInTable(Fertiliser_SourceData.Fertiliser_Products_Data1(),FertiliserProducts[[#Headers],[Include or Exclude]], 0,4)</f>
        <v/>
      </c>
      <c r="S127" s="197" t="str" cm="1">
        <f t="array" ref="S127">Common_InputFunctions.Utility_DisplayArrayInTable(Fertiliser_SourceData.Fertiliser_Products_Data1(),FertiliserProducts[[#Headers],[Include or Exclude]], 0,4)</f>
        <v/>
      </c>
      <c r="T127" s="197" t="str" cm="1">
        <f t="array" ref="T127">Common_InputFunctions.Utility_DisplayArrayInTable(Fertiliser_SourceData.Fertiliser_Products_Data1(),FertiliserProducts[[#Headers],[Include or Exclude]], 0,4)</f>
        <v/>
      </c>
      <c r="U127" s="197" t="str" cm="1">
        <f t="array" ref="U127">Common_InputFunctions.Utility_DisplayArrayInTable(Fertiliser_SourceData.Fertiliser_Products_Data1(),FertiliserProducts[[#Headers],[Include or Exclude]], 0,4)</f>
        <v/>
      </c>
      <c r="V127" s="197" t="str" cm="1">
        <f t="array" ref="V127">Common_InputFunctions.Utility_DisplayArrayInTable(Fertiliser_SourceData.Fertiliser_Products_Data1(),FertiliserProducts[[#Headers],[Include or Exclude]], 0,4)</f>
        <v/>
      </c>
      <c r="W127" s="197" t="str" cm="1">
        <f t="array" ref="W127">Common_InputFunctions.Utility_DisplayArrayInTable(Fertiliser_SourceData.Fertiliser_Products_Data1(),FertiliserProducts[[#Headers],[Include or Exclude]], 0,4)</f>
        <v/>
      </c>
      <c r="X127" s="197" t="str" cm="1">
        <f t="array" ref="X127">Common_InputFunctions.Utility_DisplayArrayInTable(Fertiliser_SourceData.Fertiliser_Products_Data1(),FertiliserProducts[[#Headers],[Include or Exclude]], 0,4)</f>
        <v/>
      </c>
      <c r="Y127" s="197" t="str" cm="1">
        <f t="array" ref="Y127">Common_InputFunctions.Utility_DisplayArrayInTable(Fertiliser_SourceData.Fertiliser_Products_Data1(),FertiliserProducts[[#Headers],[Include or Exclude]], 0,4)</f>
        <v/>
      </c>
      <c r="Z127" s="197" t="str" cm="1">
        <f t="array" ref="Z127">Common_InputFunctions.Utility_DisplayArrayInTable(Fertiliser_SourceData.Fertiliser_Products_Data1(),FertiliserProducts[[#Headers],[Include or Exclude]], 0,4)</f>
        <v/>
      </c>
      <c r="AA127" s="197" t="str" cm="1">
        <f t="array" ref="AA127">Common_InputFunctions.Utility_DisplayArrayInTable(Fertiliser_SourceData.Fertiliser_Products_Data1(),FertiliserProducts[[#Headers],[Include or Exclude]], 0,4)</f>
        <v/>
      </c>
      <c r="AB127" s="197" t="str" cm="1">
        <f t="array" ref="AB127">Common_InputFunctions.Utility_DisplayArrayInTable(Fertiliser_SourceData.Fertiliser_Products_Data1(),FertiliserProducts[[#Headers],[Include or Exclude]], 0,4)</f>
        <v/>
      </c>
      <c r="AC127" s="197" t="str" cm="1">
        <f t="array" ref="AC127">Common_InputFunctions.Utility_DisplayArrayInTable(Fertiliser_SourceData.Fertiliser_Products_Data1(),FertiliserProducts[[#Headers],[Include or Exclude]], 0,4)</f>
        <v/>
      </c>
      <c r="AD127" s="197" t="str" cm="1">
        <f t="array" ref="AD127">Common_InputFunctions.Utility_DisplayArrayInTable(Fertiliser_SourceData.Fertiliser_Products_Data1(),FertiliserProducts[[#Headers],[Include or Exclude]], 0,4)</f>
        <v/>
      </c>
      <c r="AE127" s="197" t="str" cm="1">
        <f t="array" ref="AE127">Common_InputFunctions.Utility_DisplayArrayInTable(Fertiliser_SourceData.Fertiliser_Products_Data1(),FertiliserProducts[[#Headers],[Include or Exclude]], 0,4)</f>
        <v/>
      </c>
    </row>
    <row r="128" spans="4:31" ht="20.100000000000001" customHeight="1" x14ac:dyDescent="0.25">
      <c r="D128" s="197" t="str" cm="1">
        <f t="array" ref="D128">Common_InputFunctions.Utility_DisplayArrayInTable(Fertiliser_SourceData.Fertiliser_Products_Data1(),FertiliserProducts[[#Headers],[Include or Exclude]], -1)</f>
        <v/>
      </c>
      <c r="E128" s="197" t="str" cm="1">
        <f t="array" ref="E128">Common_InputFunctions.Utility_DisplayArrayInTable(Fertiliser_SourceData.Fertiliser_Products_Data1(),FertiliserProducts[[#Headers],[Include or Exclude]], 0)</f>
        <v/>
      </c>
      <c r="F128" s="197" t="str" cm="1">
        <f t="array" ref="F128">Common_InputFunctions.Utility_DisplayArrayInTable(Fertiliser_SourceData.Fertiliser_Products_Data1(),FertiliserProducts[[#Headers],[Include or Exclude]], 0)</f>
        <v/>
      </c>
      <c r="G128" s="197" t="str" cm="1">
        <f t="array" ref="G128">Common_InputFunctions.Utility_DisplayArrayInTable(Fertiliser_SourceData.Fertiliser_Products_Data1(),FertiliserProducts[[#Headers],[Include or Exclude]], 0)</f>
        <v/>
      </c>
      <c r="H128" s="197" t="str" cm="1">
        <f t="array" ref="H128">Common_InputFunctions.Utility_DisplayArrayInTable(Fertiliser_SourceData.Fertiliser_Products_Data1(),FertiliserProducts[[#Headers],[Include or Exclude]], 0,4)</f>
        <v/>
      </c>
      <c r="I128" s="197" t="str" cm="1">
        <f t="array" ref="I128">Common_InputFunctions.Utility_DisplayArrayInTable(Fertiliser_SourceData.Fertiliser_Products_Data1(),FertiliserProducts[[#Headers],[Include or Exclude]], 0,4)</f>
        <v/>
      </c>
      <c r="J128" s="197" t="str" cm="1">
        <f t="array" ref="J128">Common_InputFunctions.Utility_DisplayArrayInTable(Fertiliser_SourceData.Fertiliser_Products_Data1(),FertiliserProducts[[#Headers],[Include or Exclude]], 0,4)</f>
        <v/>
      </c>
      <c r="K128" s="197" t="str" cm="1">
        <f t="array" ref="K128">Common_InputFunctions.Utility_DisplayArrayInTable(Fertiliser_SourceData.Fertiliser_Products_Data1(),FertiliserProducts[[#Headers],[Include or Exclude]], 0,4)</f>
        <v/>
      </c>
      <c r="L128" s="197" t="str" cm="1">
        <f t="array" ref="L128">Common_InputFunctions.Utility_DisplayArrayInTable(Fertiliser_SourceData.Fertiliser_Products_Data1(),FertiliserProducts[[#Headers],[Include or Exclude]], 0,4)</f>
        <v/>
      </c>
      <c r="M128" s="197" t="str" cm="1">
        <f t="array" ref="M128">Common_InputFunctions.Utility_DisplayArrayInTable(Fertiliser_SourceData.Fertiliser_Products_Data1(),FertiliserProducts[[#Headers],[Include or Exclude]], 0,4)</f>
        <v/>
      </c>
      <c r="N128" s="197" t="str" cm="1">
        <f t="array" ref="N128">Common_InputFunctions.Utility_DisplayArrayInTable(Fertiliser_SourceData.Fertiliser_Products_Data1(),FertiliserProducts[[#Headers],[Include or Exclude]], 0,4)</f>
        <v/>
      </c>
      <c r="O128" s="197" t="str" cm="1">
        <f t="array" ref="O128">Common_InputFunctions.Utility_DisplayArrayInTable(Fertiliser_SourceData.Fertiliser_Products_Data1(),FertiliserProducts[[#Headers],[Include or Exclude]], 0,4)</f>
        <v/>
      </c>
      <c r="P128" s="197" t="str" cm="1">
        <f t="array" ref="P128">Common_InputFunctions.Utility_DisplayArrayInTable(Fertiliser_SourceData.Fertiliser_Products_Data1(),FertiliserProducts[[#Headers],[Include or Exclude]], 0,4)</f>
        <v/>
      </c>
      <c r="Q128" s="197" t="str" cm="1">
        <f t="array" ref="Q128">Common_InputFunctions.Utility_DisplayArrayInTable(Fertiliser_SourceData.Fertiliser_Products_Data1(),FertiliserProducts[[#Headers],[Include or Exclude]], 0,4)</f>
        <v/>
      </c>
      <c r="R128" s="197" t="str" cm="1">
        <f t="array" ref="R128">Common_InputFunctions.Utility_DisplayArrayInTable(Fertiliser_SourceData.Fertiliser_Products_Data1(),FertiliserProducts[[#Headers],[Include or Exclude]], 0,4)</f>
        <v/>
      </c>
      <c r="S128" s="197" t="str" cm="1">
        <f t="array" ref="S128">Common_InputFunctions.Utility_DisplayArrayInTable(Fertiliser_SourceData.Fertiliser_Products_Data1(),FertiliserProducts[[#Headers],[Include or Exclude]], 0,4)</f>
        <v/>
      </c>
      <c r="T128" s="197" t="str" cm="1">
        <f t="array" ref="T128">Common_InputFunctions.Utility_DisplayArrayInTable(Fertiliser_SourceData.Fertiliser_Products_Data1(),FertiliserProducts[[#Headers],[Include or Exclude]], 0,4)</f>
        <v/>
      </c>
      <c r="U128" s="197" t="str" cm="1">
        <f t="array" ref="U128">Common_InputFunctions.Utility_DisplayArrayInTable(Fertiliser_SourceData.Fertiliser_Products_Data1(),FertiliserProducts[[#Headers],[Include or Exclude]], 0,4)</f>
        <v/>
      </c>
      <c r="V128" s="197" t="str" cm="1">
        <f t="array" ref="V128">Common_InputFunctions.Utility_DisplayArrayInTable(Fertiliser_SourceData.Fertiliser_Products_Data1(),FertiliserProducts[[#Headers],[Include or Exclude]], 0,4)</f>
        <v/>
      </c>
      <c r="W128" s="197" t="str" cm="1">
        <f t="array" ref="W128">Common_InputFunctions.Utility_DisplayArrayInTable(Fertiliser_SourceData.Fertiliser_Products_Data1(),FertiliserProducts[[#Headers],[Include or Exclude]], 0,4)</f>
        <v/>
      </c>
      <c r="X128" s="197" t="str" cm="1">
        <f t="array" ref="X128">Common_InputFunctions.Utility_DisplayArrayInTable(Fertiliser_SourceData.Fertiliser_Products_Data1(),FertiliserProducts[[#Headers],[Include or Exclude]], 0,4)</f>
        <v/>
      </c>
      <c r="Y128" s="197" t="str" cm="1">
        <f t="array" ref="Y128">Common_InputFunctions.Utility_DisplayArrayInTable(Fertiliser_SourceData.Fertiliser_Products_Data1(),FertiliserProducts[[#Headers],[Include or Exclude]], 0,4)</f>
        <v/>
      </c>
      <c r="Z128" s="197" t="str" cm="1">
        <f t="array" ref="Z128">Common_InputFunctions.Utility_DisplayArrayInTable(Fertiliser_SourceData.Fertiliser_Products_Data1(),FertiliserProducts[[#Headers],[Include or Exclude]], 0,4)</f>
        <v/>
      </c>
      <c r="AA128" s="197" t="str" cm="1">
        <f t="array" ref="AA128">Common_InputFunctions.Utility_DisplayArrayInTable(Fertiliser_SourceData.Fertiliser_Products_Data1(),FertiliserProducts[[#Headers],[Include or Exclude]], 0,4)</f>
        <v/>
      </c>
      <c r="AB128" s="197" t="str" cm="1">
        <f t="array" ref="AB128">Common_InputFunctions.Utility_DisplayArrayInTable(Fertiliser_SourceData.Fertiliser_Products_Data1(),FertiliserProducts[[#Headers],[Include or Exclude]], 0,4)</f>
        <v/>
      </c>
      <c r="AC128" s="197" t="str" cm="1">
        <f t="array" ref="AC128">Common_InputFunctions.Utility_DisplayArrayInTable(Fertiliser_SourceData.Fertiliser_Products_Data1(),FertiliserProducts[[#Headers],[Include or Exclude]], 0,4)</f>
        <v/>
      </c>
      <c r="AD128" s="197" t="str" cm="1">
        <f t="array" ref="AD128">Common_InputFunctions.Utility_DisplayArrayInTable(Fertiliser_SourceData.Fertiliser_Products_Data1(),FertiliserProducts[[#Headers],[Include or Exclude]], 0,4)</f>
        <v/>
      </c>
      <c r="AE128" s="197" t="str" cm="1">
        <f t="array" ref="AE128">Common_InputFunctions.Utility_DisplayArrayInTable(Fertiliser_SourceData.Fertiliser_Products_Data1(),FertiliserProducts[[#Headers],[Include or Exclude]], 0,4)</f>
        <v/>
      </c>
    </row>
    <row r="129" spans="4:31" ht="20.100000000000001" customHeight="1" x14ac:dyDescent="0.25">
      <c r="D129" s="197" t="str" cm="1">
        <f t="array" ref="D129">Common_InputFunctions.Utility_DisplayArrayInTable(Fertiliser_SourceData.Fertiliser_Products_Data1(),FertiliserProducts[[#Headers],[Include or Exclude]], -1)</f>
        <v/>
      </c>
      <c r="E129" s="197" t="str" cm="1">
        <f t="array" ref="E129">Common_InputFunctions.Utility_DisplayArrayInTable(Fertiliser_SourceData.Fertiliser_Products_Data1(),FertiliserProducts[[#Headers],[Include or Exclude]], 0)</f>
        <v/>
      </c>
      <c r="F129" s="197" t="str" cm="1">
        <f t="array" ref="F129">Common_InputFunctions.Utility_DisplayArrayInTable(Fertiliser_SourceData.Fertiliser_Products_Data1(),FertiliserProducts[[#Headers],[Include or Exclude]], 0)</f>
        <v/>
      </c>
      <c r="G129" s="197" t="str" cm="1">
        <f t="array" ref="G129">Common_InputFunctions.Utility_DisplayArrayInTable(Fertiliser_SourceData.Fertiliser_Products_Data1(),FertiliserProducts[[#Headers],[Include or Exclude]], 0)</f>
        <v/>
      </c>
      <c r="H129" s="197" t="str" cm="1">
        <f t="array" ref="H129">Common_InputFunctions.Utility_DisplayArrayInTable(Fertiliser_SourceData.Fertiliser_Products_Data1(),FertiliserProducts[[#Headers],[Include or Exclude]], 0,4)</f>
        <v/>
      </c>
      <c r="I129" s="197" t="str" cm="1">
        <f t="array" ref="I129">Common_InputFunctions.Utility_DisplayArrayInTable(Fertiliser_SourceData.Fertiliser_Products_Data1(),FertiliserProducts[[#Headers],[Include or Exclude]], 0,4)</f>
        <v/>
      </c>
      <c r="J129" s="197" t="str" cm="1">
        <f t="array" ref="J129">Common_InputFunctions.Utility_DisplayArrayInTable(Fertiliser_SourceData.Fertiliser_Products_Data1(),FertiliserProducts[[#Headers],[Include or Exclude]], 0,4)</f>
        <v/>
      </c>
      <c r="K129" s="197" t="str" cm="1">
        <f t="array" ref="K129">Common_InputFunctions.Utility_DisplayArrayInTable(Fertiliser_SourceData.Fertiliser_Products_Data1(),FertiliserProducts[[#Headers],[Include or Exclude]], 0,4)</f>
        <v/>
      </c>
      <c r="L129" s="197" t="str" cm="1">
        <f t="array" ref="L129">Common_InputFunctions.Utility_DisplayArrayInTable(Fertiliser_SourceData.Fertiliser_Products_Data1(),FertiliserProducts[[#Headers],[Include or Exclude]], 0,4)</f>
        <v/>
      </c>
      <c r="M129" s="197" t="str" cm="1">
        <f t="array" ref="M129">Common_InputFunctions.Utility_DisplayArrayInTable(Fertiliser_SourceData.Fertiliser_Products_Data1(),FertiliserProducts[[#Headers],[Include or Exclude]], 0,4)</f>
        <v/>
      </c>
      <c r="N129" s="197" t="str" cm="1">
        <f t="array" ref="N129">Common_InputFunctions.Utility_DisplayArrayInTable(Fertiliser_SourceData.Fertiliser_Products_Data1(),FertiliserProducts[[#Headers],[Include or Exclude]], 0,4)</f>
        <v/>
      </c>
      <c r="O129" s="197" t="str" cm="1">
        <f t="array" ref="O129">Common_InputFunctions.Utility_DisplayArrayInTable(Fertiliser_SourceData.Fertiliser_Products_Data1(),FertiliserProducts[[#Headers],[Include or Exclude]], 0,4)</f>
        <v/>
      </c>
      <c r="P129" s="197" t="str" cm="1">
        <f t="array" ref="P129">Common_InputFunctions.Utility_DisplayArrayInTable(Fertiliser_SourceData.Fertiliser_Products_Data1(),FertiliserProducts[[#Headers],[Include or Exclude]], 0,4)</f>
        <v/>
      </c>
      <c r="Q129" s="197" t="str" cm="1">
        <f t="array" ref="Q129">Common_InputFunctions.Utility_DisplayArrayInTable(Fertiliser_SourceData.Fertiliser_Products_Data1(),FertiliserProducts[[#Headers],[Include or Exclude]], 0,4)</f>
        <v/>
      </c>
      <c r="R129" s="197" t="str" cm="1">
        <f t="array" ref="R129">Common_InputFunctions.Utility_DisplayArrayInTable(Fertiliser_SourceData.Fertiliser_Products_Data1(),FertiliserProducts[[#Headers],[Include or Exclude]], 0,4)</f>
        <v/>
      </c>
      <c r="S129" s="197" t="str" cm="1">
        <f t="array" ref="S129">Common_InputFunctions.Utility_DisplayArrayInTable(Fertiliser_SourceData.Fertiliser_Products_Data1(),FertiliserProducts[[#Headers],[Include or Exclude]], 0,4)</f>
        <v/>
      </c>
      <c r="T129" s="197" t="str" cm="1">
        <f t="array" ref="T129">Common_InputFunctions.Utility_DisplayArrayInTable(Fertiliser_SourceData.Fertiliser_Products_Data1(),FertiliserProducts[[#Headers],[Include or Exclude]], 0,4)</f>
        <v/>
      </c>
      <c r="U129" s="197" t="str" cm="1">
        <f t="array" ref="U129">Common_InputFunctions.Utility_DisplayArrayInTable(Fertiliser_SourceData.Fertiliser_Products_Data1(),FertiliserProducts[[#Headers],[Include or Exclude]], 0,4)</f>
        <v/>
      </c>
      <c r="V129" s="197" t="str" cm="1">
        <f t="array" ref="V129">Common_InputFunctions.Utility_DisplayArrayInTable(Fertiliser_SourceData.Fertiliser_Products_Data1(),FertiliserProducts[[#Headers],[Include or Exclude]], 0,4)</f>
        <v/>
      </c>
      <c r="W129" s="197" t="str" cm="1">
        <f t="array" ref="W129">Common_InputFunctions.Utility_DisplayArrayInTable(Fertiliser_SourceData.Fertiliser_Products_Data1(),FertiliserProducts[[#Headers],[Include or Exclude]], 0,4)</f>
        <v/>
      </c>
      <c r="X129" s="197" t="str" cm="1">
        <f t="array" ref="X129">Common_InputFunctions.Utility_DisplayArrayInTable(Fertiliser_SourceData.Fertiliser_Products_Data1(),FertiliserProducts[[#Headers],[Include or Exclude]], 0,4)</f>
        <v/>
      </c>
      <c r="Y129" s="197" t="str" cm="1">
        <f t="array" ref="Y129">Common_InputFunctions.Utility_DisplayArrayInTable(Fertiliser_SourceData.Fertiliser_Products_Data1(),FertiliserProducts[[#Headers],[Include or Exclude]], 0,4)</f>
        <v/>
      </c>
      <c r="Z129" s="197" t="str" cm="1">
        <f t="array" ref="Z129">Common_InputFunctions.Utility_DisplayArrayInTable(Fertiliser_SourceData.Fertiliser_Products_Data1(),FertiliserProducts[[#Headers],[Include or Exclude]], 0,4)</f>
        <v/>
      </c>
      <c r="AA129" s="197" t="str" cm="1">
        <f t="array" ref="AA129">Common_InputFunctions.Utility_DisplayArrayInTable(Fertiliser_SourceData.Fertiliser_Products_Data1(),FertiliserProducts[[#Headers],[Include or Exclude]], 0,4)</f>
        <v/>
      </c>
      <c r="AB129" s="197" t="str" cm="1">
        <f t="array" ref="AB129">Common_InputFunctions.Utility_DisplayArrayInTable(Fertiliser_SourceData.Fertiliser_Products_Data1(),FertiliserProducts[[#Headers],[Include or Exclude]], 0,4)</f>
        <v/>
      </c>
      <c r="AC129" s="197" t="str" cm="1">
        <f t="array" ref="AC129">Common_InputFunctions.Utility_DisplayArrayInTable(Fertiliser_SourceData.Fertiliser_Products_Data1(),FertiliserProducts[[#Headers],[Include or Exclude]], 0,4)</f>
        <v/>
      </c>
      <c r="AD129" s="197" t="str" cm="1">
        <f t="array" ref="AD129">Common_InputFunctions.Utility_DisplayArrayInTable(Fertiliser_SourceData.Fertiliser_Products_Data1(),FertiliserProducts[[#Headers],[Include or Exclude]], 0,4)</f>
        <v/>
      </c>
      <c r="AE129" s="197" t="str" cm="1">
        <f t="array" ref="AE129">Common_InputFunctions.Utility_DisplayArrayInTable(Fertiliser_SourceData.Fertiliser_Products_Data1(),FertiliserProducts[[#Headers],[Include or Exclude]], 0,4)</f>
        <v/>
      </c>
    </row>
    <row r="130" spans="4:31" ht="20.100000000000001" customHeight="1" x14ac:dyDescent="0.25">
      <c r="D130" s="197" t="str" cm="1">
        <f t="array" ref="D130">Common_InputFunctions.Utility_DisplayArrayInTable(Fertiliser_SourceData.Fertiliser_Products_Data1(),FertiliserProducts[[#Headers],[Include or Exclude]], -1)</f>
        <v/>
      </c>
      <c r="E130" s="197" t="str" cm="1">
        <f t="array" ref="E130">Common_InputFunctions.Utility_DisplayArrayInTable(Fertiliser_SourceData.Fertiliser_Products_Data1(),FertiliserProducts[[#Headers],[Include or Exclude]], 0)</f>
        <v/>
      </c>
      <c r="F130" s="197" t="str" cm="1">
        <f t="array" ref="F130">Common_InputFunctions.Utility_DisplayArrayInTable(Fertiliser_SourceData.Fertiliser_Products_Data1(),FertiliserProducts[[#Headers],[Include or Exclude]], 0)</f>
        <v/>
      </c>
      <c r="G130" s="197" t="str" cm="1">
        <f t="array" ref="G130">Common_InputFunctions.Utility_DisplayArrayInTable(Fertiliser_SourceData.Fertiliser_Products_Data1(),FertiliserProducts[[#Headers],[Include or Exclude]], 0)</f>
        <v/>
      </c>
      <c r="H130" s="197" t="str" cm="1">
        <f t="array" ref="H130">Common_InputFunctions.Utility_DisplayArrayInTable(Fertiliser_SourceData.Fertiliser_Products_Data1(),FertiliserProducts[[#Headers],[Include or Exclude]], 0,4)</f>
        <v/>
      </c>
      <c r="I130" s="197" t="str" cm="1">
        <f t="array" ref="I130">Common_InputFunctions.Utility_DisplayArrayInTable(Fertiliser_SourceData.Fertiliser_Products_Data1(),FertiliserProducts[[#Headers],[Include or Exclude]], 0,4)</f>
        <v/>
      </c>
      <c r="J130" s="197" t="str" cm="1">
        <f t="array" ref="J130">Common_InputFunctions.Utility_DisplayArrayInTable(Fertiliser_SourceData.Fertiliser_Products_Data1(),FertiliserProducts[[#Headers],[Include or Exclude]], 0,4)</f>
        <v/>
      </c>
      <c r="K130" s="197" t="str" cm="1">
        <f t="array" ref="K130">Common_InputFunctions.Utility_DisplayArrayInTable(Fertiliser_SourceData.Fertiliser_Products_Data1(),FertiliserProducts[[#Headers],[Include or Exclude]], 0,4)</f>
        <v/>
      </c>
      <c r="L130" s="197" t="str" cm="1">
        <f t="array" ref="L130">Common_InputFunctions.Utility_DisplayArrayInTable(Fertiliser_SourceData.Fertiliser_Products_Data1(),FertiliserProducts[[#Headers],[Include or Exclude]], 0,4)</f>
        <v/>
      </c>
      <c r="M130" s="197" t="str" cm="1">
        <f t="array" ref="M130">Common_InputFunctions.Utility_DisplayArrayInTable(Fertiliser_SourceData.Fertiliser_Products_Data1(),FertiliserProducts[[#Headers],[Include or Exclude]], 0,4)</f>
        <v/>
      </c>
      <c r="N130" s="197" t="str" cm="1">
        <f t="array" ref="N130">Common_InputFunctions.Utility_DisplayArrayInTable(Fertiliser_SourceData.Fertiliser_Products_Data1(),FertiliserProducts[[#Headers],[Include or Exclude]], 0,4)</f>
        <v/>
      </c>
      <c r="O130" s="197" t="str" cm="1">
        <f t="array" ref="O130">Common_InputFunctions.Utility_DisplayArrayInTable(Fertiliser_SourceData.Fertiliser_Products_Data1(),FertiliserProducts[[#Headers],[Include or Exclude]], 0,4)</f>
        <v/>
      </c>
      <c r="P130" s="197" t="str" cm="1">
        <f t="array" ref="P130">Common_InputFunctions.Utility_DisplayArrayInTable(Fertiliser_SourceData.Fertiliser_Products_Data1(),FertiliserProducts[[#Headers],[Include or Exclude]], 0,4)</f>
        <v/>
      </c>
      <c r="Q130" s="197" t="str" cm="1">
        <f t="array" ref="Q130">Common_InputFunctions.Utility_DisplayArrayInTable(Fertiliser_SourceData.Fertiliser_Products_Data1(),FertiliserProducts[[#Headers],[Include or Exclude]], 0,4)</f>
        <v/>
      </c>
      <c r="R130" s="197" t="str" cm="1">
        <f t="array" ref="R130">Common_InputFunctions.Utility_DisplayArrayInTable(Fertiliser_SourceData.Fertiliser_Products_Data1(),FertiliserProducts[[#Headers],[Include or Exclude]], 0,4)</f>
        <v/>
      </c>
      <c r="S130" s="197" t="str" cm="1">
        <f t="array" ref="S130">Common_InputFunctions.Utility_DisplayArrayInTable(Fertiliser_SourceData.Fertiliser_Products_Data1(),FertiliserProducts[[#Headers],[Include or Exclude]], 0,4)</f>
        <v/>
      </c>
      <c r="T130" s="197" t="str" cm="1">
        <f t="array" ref="T130">Common_InputFunctions.Utility_DisplayArrayInTable(Fertiliser_SourceData.Fertiliser_Products_Data1(),FertiliserProducts[[#Headers],[Include or Exclude]], 0,4)</f>
        <v/>
      </c>
      <c r="U130" s="197" t="str" cm="1">
        <f t="array" ref="U130">Common_InputFunctions.Utility_DisplayArrayInTable(Fertiliser_SourceData.Fertiliser_Products_Data1(),FertiliserProducts[[#Headers],[Include or Exclude]], 0,4)</f>
        <v/>
      </c>
      <c r="V130" s="197" t="str" cm="1">
        <f t="array" ref="V130">Common_InputFunctions.Utility_DisplayArrayInTable(Fertiliser_SourceData.Fertiliser_Products_Data1(),FertiliserProducts[[#Headers],[Include or Exclude]], 0,4)</f>
        <v/>
      </c>
      <c r="W130" s="197" t="str" cm="1">
        <f t="array" ref="W130">Common_InputFunctions.Utility_DisplayArrayInTable(Fertiliser_SourceData.Fertiliser_Products_Data1(),FertiliserProducts[[#Headers],[Include or Exclude]], 0,4)</f>
        <v/>
      </c>
      <c r="X130" s="197" t="str" cm="1">
        <f t="array" ref="X130">Common_InputFunctions.Utility_DisplayArrayInTable(Fertiliser_SourceData.Fertiliser_Products_Data1(),FertiliserProducts[[#Headers],[Include or Exclude]], 0,4)</f>
        <v/>
      </c>
      <c r="Y130" s="197" t="str" cm="1">
        <f t="array" ref="Y130">Common_InputFunctions.Utility_DisplayArrayInTable(Fertiliser_SourceData.Fertiliser_Products_Data1(),FertiliserProducts[[#Headers],[Include or Exclude]], 0,4)</f>
        <v/>
      </c>
      <c r="Z130" s="197" t="str" cm="1">
        <f t="array" ref="Z130">Common_InputFunctions.Utility_DisplayArrayInTable(Fertiliser_SourceData.Fertiliser_Products_Data1(),FertiliserProducts[[#Headers],[Include or Exclude]], 0,4)</f>
        <v/>
      </c>
      <c r="AA130" s="197" t="str" cm="1">
        <f t="array" ref="AA130">Common_InputFunctions.Utility_DisplayArrayInTable(Fertiliser_SourceData.Fertiliser_Products_Data1(),FertiliserProducts[[#Headers],[Include or Exclude]], 0,4)</f>
        <v/>
      </c>
      <c r="AB130" s="197" t="str" cm="1">
        <f t="array" ref="AB130">Common_InputFunctions.Utility_DisplayArrayInTable(Fertiliser_SourceData.Fertiliser_Products_Data1(),FertiliserProducts[[#Headers],[Include or Exclude]], 0,4)</f>
        <v/>
      </c>
      <c r="AC130" s="197" t="str" cm="1">
        <f t="array" ref="AC130">Common_InputFunctions.Utility_DisplayArrayInTable(Fertiliser_SourceData.Fertiliser_Products_Data1(),FertiliserProducts[[#Headers],[Include or Exclude]], 0,4)</f>
        <v/>
      </c>
      <c r="AD130" s="197" t="str" cm="1">
        <f t="array" ref="AD130">Common_InputFunctions.Utility_DisplayArrayInTable(Fertiliser_SourceData.Fertiliser_Products_Data1(),FertiliserProducts[[#Headers],[Include or Exclude]], 0,4)</f>
        <v/>
      </c>
      <c r="AE130" s="197" t="str" cm="1">
        <f t="array" ref="AE130">Common_InputFunctions.Utility_DisplayArrayInTable(Fertiliser_SourceData.Fertiliser_Products_Data1(),FertiliserProducts[[#Headers],[Include or Exclude]], 0,4)</f>
        <v/>
      </c>
    </row>
    <row r="131" spans="4:31" ht="20.100000000000001" customHeight="1" x14ac:dyDescent="0.25">
      <c r="D131" s="197" t="str" cm="1">
        <f t="array" ref="D131">Common_InputFunctions.Utility_DisplayArrayInTable(Fertiliser_SourceData.Fertiliser_Products_Data1(),FertiliserProducts[[#Headers],[Include or Exclude]], -1)</f>
        <v/>
      </c>
      <c r="E131" s="197" t="str" cm="1">
        <f t="array" ref="E131">Common_InputFunctions.Utility_DisplayArrayInTable(Fertiliser_SourceData.Fertiliser_Products_Data1(),FertiliserProducts[[#Headers],[Include or Exclude]], 0)</f>
        <v/>
      </c>
      <c r="F131" s="197" t="str" cm="1">
        <f t="array" ref="F131">Common_InputFunctions.Utility_DisplayArrayInTable(Fertiliser_SourceData.Fertiliser_Products_Data1(),FertiliserProducts[[#Headers],[Include or Exclude]], 0)</f>
        <v/>
      </c>
      <c r="G131" s="197" t="str" cm="1">
        <f t="array" ref="G131">Common_InputFunctions.Utility_DisplayArrayInTable(Fertiliser_SourceData.Fertiliser_Products_Data1(),FertiliserProducts[[#Headers],[Include or Exclude]], 0)</f>
        <v/>
      </c>
      <c r="H131" s="197" t="str" cm="1">
        <f t="array" ref="H131">Common_InputFunctions.Utility_DisplayArrayInTable(Fertiliser_SourceData.Fertiliser_Products_Data1(),FertiliserProducts[[#Headers],[Include or Exclude]], 0,4)</f>
        <v/>
      </c>
      <c r="I131" s="197" t="str" cm="1">
        <f t="array" ref="I131">Common_InputFunctions.Utility_DisplayArrayInTable(Fertiliser_SourceData.Fertiliser_Products_Data1(),FertiliserProducts[[#Headers],[Include or Exclude]], 0,4)</f>
        <v/>
      </c>
      <c r="J131" s="197" t="str" cm="1">
        <f t="array" ref="J131">Common_InputFunctions.Utility_DisplayArrayInTable(Fertiliser_SourceData.Fertiliser_Products_Data1(),FertiliserProducts[[#Headers],[Include or Exclude]], 0,4)</f>
        <v/>
      </c>
      <c r="K131" s="197" t="str" cm="1">
        <f t="array" ref="K131">Common_InputFunctions.Utility_DisplayArrayInTable(Fertiliser_SourceData.Fertiliser_Products_Data1(),FertiliserProducts[[#Headers],[Include or Exclude]], 0,4)</f>
        <v/>
      </c>
      <c r="L131" s="197" t="str" cm="1">
        <f t="array" ref="L131">Common_InputFunctions.Utility_DisplayArrayInTable(Fertiliser_SourceData.Fertiliser_Products_Data1(),FertiliserProducts[[#Headers],[Include or Exclude]], 0,4)</f>
        <v/>
      </c>
      <c r="M131" s="197" t="str" cm="1">
        <f t="array" ref="M131">Common_InputFunctions.Utility_DisplayArrayInTable(Fertiliser_SourceData.Fertiliser_Products_Data1(),FertiliserProducts[[#Headers],[Include or Exclude]], 0,4)</f>
        <v/>
      </c>
      <c r="N131" s="197" t="str" cm="1">
        <f t="array" ref="N131">Common_InputFunctions.Utility_DisplayArrayInTable(Fertiliser_SourceData.Fertiliser_Products_Data1(),FertiliserProducts[[#Headers],[Include or Exclude]], 0,4)</f>
        <v/>
      </c>
      <c r="O131" s="197" t="str" cm="1">
        <f t="array" ref="O131">Common_InputFunctions.Utility_DisplayArrayInTable(Fertiliser_SourceData.Fertiliser_Products_Data1(),FertiliserProducts[[#Headers],[Include or Exclude]], 0,4)</f>
        <v/>
      </c>
      <c r="P131" s="197" t="str" cm="1">
        <f t="array" ref="P131">Common_InputFunctions.Utility_DisplayArrayInTable(Fertiliser_SourceData.Fertiliser_Products_Data1(),FertiliserProducts[[#Headers],[Include or Exclude]], 0,4)</f>
        <v/>
      </c>
      <c r="Q131" s="197" t="str" cm="1">
        <f t="array" ref="Q131">Common_InputFunctions.Utility_DisplayArrayInTable(Fertiliser_SourceData.Fertiliser_Products_Data1(),FertiliserProducts[[#Headers],[Include or Exclude]], 0,4)</f>
        <v/>
      </c>
      <c r="R131" s="197" t="str" cm="1">
        <f t="array" ref="R131">Common_InputFunctions.Utility_DisplayArrayInTable(Fertiliser_SourceData.Fertiliser_Products_Data1(),FertiliserProducts[[#Headers],[Include or Exclude]], 0,4)</f>
        <v/>
      </c>
      <c r="S131" s="197" t="str" cm="1">
        <f t="array" ref="S131">Common_InputFunctions.Utility_DisplayArrayInTable(Fertiliser_SourceData.Fertiliser_Products_Data1(),FertiliserProducts[[#Headers],[Include or Exclude]], 0,4)</f>
        <v/>
      </c>
      <c r="T131" s="197" t="str" cm="1">
        <f t="array" ref="T131">Common_InputFunctions.Utility_DisplayArrayInTable(Fertiliser_SourceData.Fertiliser_Products_Data1(),FertiliserProducts[[#Headers],[Include or Exclude]], 0,4)</f>
        <v/>
      </c>
      <c r="U131" s="197" t="str" cm="1">
        <f t="array" ref="U131">Common_InputFunctions.Utility_DisplayArrayInTable(Fertiliser_SourceData.Fertiliser_Products_Data1(),FertiliserProducts[[#Headers],[Include or Exclude]], 0,4)</f>
        <v/>
      </c>
      <c r="V131" s="197" t="str" cm="1">
        <f t="array" ref="V131">Common_InputFunctions.Utility_DisplayArrayInTable(Fertiliser_SourceData.Fertiliser_Products_Data1(),FertiliserProducts[[#Headers],[Include or Exclude]], 0,4)</f>
        <v/>
      </c>
      <c r="W131" s="197" t="str" cm="1">
        <f t="array" ref="W131">Common_InputFunctions.Utility_DisplayArrayInTable(Fertiliser_SourceData.Fertiliser_Products_Data1(),FertiliserProducts[[#Headers],[Include or Exclude]], 0,4)</f>
        <v/>
      </c>
      <c r="X131" s="197" t="str" cm="1">
        <f t="array" ref="X131">Common_InputFunctions.Utility_DisplayArrayInTable(Fertiliser_SourceData.Fertiliser_Products_Data1(),FertiliserProducts[[#Headers],[Include or Exclude]], 0,4)</f>
        <v/>
      </c>
      <c r="Y131" s="197" t="str" cm="1">
        <f t="array" ref="Y131">Common_InputFunctions.Utility_DisplayArrayInTable(Fertiliser_SourceData.Fertiliser_Products_Data1(),FertiliserProducts[[#Headers],[Include or Exclude]], 0,4)</f>
        <v/>
      </c>
      <c r="Z131" s="197" t="str" cm="1">
        <f t="array" ref="Z131">Common_InputFunctions.Utility_DisplayArrayInTable(Fertiliser_SourceData.Fertiliser_Products_Data1(),FertiliserProducts[[#Headers],[Include or Exclude]], 0,4)</f>
        <v/>
      </c>
      <c r="AA131" s="197" t="str" cm="1">
        <f t="array" ref="AA131">Common_InputFunctions.Utility_DisplayArrayInTable(Fertiliser_SourceData.Fertiliser_Products_Data1(),FertiliserProducts[[#Headers],[Include or Exclude]], 0,4)</f>
        <v/>
      </c>
      <c r="AB131" s="197" t="str" cm="1">
        <f t="array" ref="AB131">Common_InputFunctions.Utility_DisplayArrayInTable(Fertiliser_SourceData.Fertiliser_Products_Data1(),FertiliserProducts[[#Headers],[Include or Exclude]], 0,4)</f>
        <v/>
      </c>
      <c r="AC131" s="197" t="str" cm="1">
        <f t="array" ref="AC131">Common_InputFunctions.Utility_DisplayArrayInTable(Fertiliser_SourceData.Fertiliser_Products_Data1(),FertiliserProducts[[#Headers],[Include or Exclude]], 0,4)</f>
        <v/>
      </c>
      <c r="AD131" s="197" t="str" cm="1">
        <f t="array" ref="AD131">Common_InputFunctions.Utility_DisplayArrayInTable(Fertiliser_SourceData.Fertiliser_Products_Data1(),FertiliserProducts[[#Headers],[Include or Exclude]], 0,4)</f>
        <v/>
      </c>
      <c r="AE131" s="197" t="str" cm="1">
        <f t="array" ref="AE131">Common_InputFunctions.Utility_DisplayArrayInTable(Fertiliser_SourceData.Fertiliser_Products_Data1(),FertiliserProducts[[#Headers],[Include or Exclude]], 0,4)</f>
        <v/>
      </c>
    </row>
    <row r="132" spans="4:31" ht="20.100000000000001" customHeight="1" x14ac:dyDescent="0.25">
      <c r="D132" s="197" t="str" cm="1">
        <f t="array" ref="D132">Common_InputFunctions.Utility_DisplayArrayInTable(Fertiliser_SourceData.Fertiliser_Products_Data1(),FertiliserProducts[[#Headers],[Include or Exclude]], -1)</f>
        <v/>
      </c>
      <c r="E132" s="197" t="str" cm="1">
        <f t="array" ref="E132">Common_InputFunctions.Utility_DisplayArrayInTable(Fertiliser_SourceData.Fertiliser_Products_Data1(),FertiliserProducts[[#Headers],[Include or Exclude]], 0)</f>
        <v/>
      </c>
      <c r="F132" s="197" t="str" cm="1">
        <f t="array" ref="F132">Common_InputFunctions.Utility_DisplayArrayInTable(Fertiliser_SourceData.Fertiliser_Products_Data1(),FertiliserProducts[[#Headers],[Include or Exclude]], 0)</f>
        <v/>
      </c>
      <c r="G132" s="197" t="str" cm="1">
        <f t="array" ref="G132">Common_InputFunctions.Utility_DisplayArrayInTable(Fertiliser_SourceData.Fertiliser_Products_Data1(),FertiliserProducts[[#Headers],[Include or Exclude]], 0)</f>
        <v/>
      </c>
      <c r="H132" s="197" t="str" cm="1">
        <f t="array" ref="H132">Common_InputFunctions.Utility_DisplayArrayInTable(Fertiliser_SourceData.Fertiliser_Products_Data1(),FertiliserProducts[[#Headers],[Include or Exclude]], 0,4)</f>
        <v/>
      </c>
      <c r="I132" s="197" t="str" cm="1">
        <f t="array" ref="I132">Common_InputFunctions.Utility_DisplayArrayInTable(Fertiliser_SourceData.Fertiliser_Products_Data1(),FertiliserProducts[[#Headers],[Include or Exclude]], 0,4)</f>
        <v/>
      </c>
      <c r="J132" s="197" t="str" cm="1">
        <f t="array" ref="J132">Common_InputFunctions.Utility_DisplayArrayInTable(Fertiliser_SourceData.Fertiliser_Products_Data1(),FertiliserProducts[[#Headers],[Include or Exclude]], 0,4)</f>
        <v/>
      </c>
      <c r="K132" s="197" t="str" cm="1">
        <f t="array" ref="K132">Common_InputFunctions.Utility_DisplayArrayInTable(Fertiliser_SourceData.Fertiliser_Products_Data1(),FertiliserProducts[[#Headers],[Include or Exclude]], 0,4)</f>
        <v/>
      </c>
      <c r="L132" s="197" t="str" cm="1">
        <f t="array" ref="L132">Common_InputFunctions.Utility_DisplayArrayInTable(Fertiliser_SourceData.Fertiliser_Products_Data1(),FertiliserProducts[[#Headers],[Include or Exclude]], 0,4)</f>
        <v/>
      </c>
      <c r="M132" s="197" t="str" cm="1">
        <f t="array" ref="M132">Common_InputFunctions.Utility_DisplayArrayInTable(Fertiliser_SourceData.Fertiliser_Products_Data1(),FertiliserProducts[[#Headers],[Include or Exclude]], 0,4)</f>
        <v/>
      </c>
      <c r="N132" s="197" t="str" cm="1">
        <f t="array" ref="N132">Common_InputFunctions.Utility_DisplayArrayInTable(Fertiliser_SourceData.Fertiliser_Products_Data1(),FertiliserProducts[[#Headers],[Include or Exclude]], 0,4)</f>
        <v/>
      </c>
      <c r="O132" s="197" t="str" cm="1">
        <f t="array" ref="O132">Common_InputFunctions.Utility_DisplayArrayInTable(Fertiliser_SourceData.Fertiliser_Products_Data1(),FertiliserProducts[[#Headers],[Include or Exclude]], 0,4)</f>
        <v/>
      </c>
      <c r="P132" s="197" t="str" cm="1">
        <f t="array" ref="P132">Common_InputFunctions.Utility_DisplayArrayInTable(Fertiliser_SourceData.Fertiliser_Products_Data1(),FertiliserProducts[[#Headers],[Include or Exclude]], 0,4)</f>
        <v/>
      </c>
      <c r="Q132" s="197" t="str" cm="1">
        <f t="array" ref="Q132">Common_InputFunctions.Utility_DisplayArrayInTable(Fertiliser_SourceData.Fertiliser_Products_Data1(),FertiliserProducts[[#Headers],[Include or Exclude]], 0,4)</f>
        <v/>
      </c>
      <c r="R132" s="197" t="str" cm="1">
        <f t="array" ref="R132">Common_InputFunctions.Utility_DisplayArrayInTable(Fertiliser_SourceData.Fertiliser_Products_Data1(),FertiliserProducts[[#Headers],[Include or Exclude]], 0,4)</f>
        <v/>
      </c>
      <c r="S132" s="197" t="str" cm="1">
        <f t="array" ref="S132">Common_InputFunctions.Utility_DisplayArrayInTable(Fertiliser_SourceData.Fertiliser_Products_Data1(),FertiliserProducts[[#Headers],[Include or Exclude]], 0,4)</f>
        <v/>
      </c>
      <c r="T132" s="197" t="str" cm="1">
        <f t="array" ref="T132">Common_InputFunctions.Utility_DisplayArrayInTable(Fertiliser_SourceData.Fertiliser_Products_Data1(),FertiliserProducts[[#Headers],[Include or Exclude]], 0,4)</f>
        <v/>
      </c>
      <c r="U132" s="197" t="str" cm="1">
        <f t="array" ref="U132">Common_InputFunctions.Utility_DisplayArrayInTable(Fertiliser_SourceData.Fertiliser_Products_Data1(),FertiliserProducts[[#Headers],[Include or Exclude]], 0,4)</f>
        <v/>
      </c>
      <c r="V132" s="197" t="str" cm="1">
        <f t="array" ref="V132">Common_InputFunctions.Utility_DisplayArrayInTable(Fertiliser_SourceData.Fertiliser_Products_Data1(),FertiliserProducts[[#Headers],[Include or Exclude]], 0,4)</f>
        <v/>
      </c>
      <c r="W132" s="197" t="str" cm="1">
        <f t="array" ref="W132">Common_InputFunctions.Utility_DisplayArrayInTable(Fertiliser_SourceData.Fertiliser_Products_Data1(),FertiliserProducts[[#Headers],[Include or Exclude]], 0,4)</f>
        <v/>
      </c>
      <c r="X132" s="197" t="str" cm="1">
        <f t="array" ref="X132">Common_InputFunctions.Utility_DisplayArrayInTable(Fertiliser_SourceData.Fertiliser_Products_Data1(),FertiliserProducts[[#Headers],[Include or Exclude]], 0,4)</f>
        <v/>
      </c>
      <c r="Y132" s="197" t="str" cm="1">
        <f t="array" ref="Y132">Common_InputFunctions.Utility_DisplayArrayInTable(Fertiliser_SourceData.Fertiliser_Products_Data1(),FertiliserProducts[[#Headers],[Include or Exclude]], 0,4)</f>
        <v/>
      </c>
      <c r="Z132" s="197" t="str" cm="1">
        <f t="array" ref="Z132">Common_InputFunctions.Utility_DisplayArrayInTable(Fertiliser_SourceData.Fertiliser_Products_Data1(),FertiliserProducts[[#Headers],[Include or Exclude]], 0,4)</f>
        <v/>
      </c>
      <c r="AA132" s="197" t="str" cm="1">
        <f t="array" ref="AA132">Common_InputFunctions.Utility_DisplayArrayInTable(Fertiliser_SourceData.Fertiliser_Products_Data1(),FertiliserProducts[[#Headers],[Include or Exclude]], 0,4)</f>
        <v/>
      </c>
      <c r="AB132" s="197" t="str" cm="1">
        <f t="array" ref="AB132">Common_InputFunctions.Utility_DisplayArrayInTable(Fertiliser_SourceData.Fertiliser_Products_Data1(),FertiliserProducts[[#Headers],[Include or Exclude]], 0,4)</f>
        <v/>
      </c>
      <c r="AC132" s="197" t="str" cm="1">
        <f t="array" ref="AC132">Common_InputFunctions.Utility_DisplayArrayInTable(Fertiliser_SourceData.Fertiliser_Products_Data1(),FertiliserProducts[[#Headers],[Include or Exclude]], 0,4)</f>
        <v/>
      </c>
      <c r="AD132" s="197" t="str" cm="1">
        <f t="array" ref="AD132">Common_InputFunctions.Utility_DisplayArrayInTable(Fertiliser_SourceData.Fertiliser_Products_Data1(),FertiliserProducts[[#Headers],[Include or Exclude]], 0,4)</f>
        <v/>
      </c>
      <c r="AE132" s="197" t="str" cm="1">
        <f t="array" ref="AE132">Common_InputFunctions.Utility_DisplayArrayInTable(Fertiliser_SourceData.Fertiliser_Products_Data1(),FertiliserProducts[[#Headers],[Include or Exclude]], 0,4)</f>
        <v/>
      </c>
    </row>
    <row r="133" spans="4:31" ht="20.100000000000001" customHeight="1" x14ac:dyDescent="0.25">
      <c r="D133" s="197" t="str" cm="1">
        <f t="array" ref="D133">Common_InputFunctions.Utility_DisplayArrayInTable(Fertiliser_SourceData.Fertiliser_Products_Data1(),FertiliserProducts[[#Headers],[Include or Exclude]], -1)</f>
        <v/>
      </c>
      <c r="E133" s="197" t="str" cm="1">
        <f t="array" ref="E133">Common_InputFunctions.Utility_DisplayArrayInTable(Fertiliser_SourceData.Fertiliser_Products_Data1(),FertiliserProducts[[#Headers],[Include or Exclude]], 0)</f>
        <v/>
      </c>
      <c r="F133" s="197" t="str" cm="1">
        <f t="array" ref="F133">Common_InputFunctions.Utility_DisplayArrayInTable(Fertiliser_SourceData.Fertiliser_Products_Data1(),FertiliserProducts[[#Headers],[Include or Exclude]], 0)</f>
        <v/>
      </c>
      <c r="G133" s="197" t="str" cm="1">
        <f t="array" ref="G133">Common_InputFunctions.Utility_DisplayArrayInTable(Fertiliser_SourceData.Fertiliser_Products_Data1(),FertiliserProducts[[#Headers],[Include or Exclude]], 0)</f>
        <v/>
      </c>
      <c r="H133" s="197" t="str" cm="1">
        <f t="array" ref="H133">Common_InputFunctions.Utility_DisplayArrayInTable(Fertiliser_SourceData.Fertiliser_Products_Data1(),FertiliserProducts[[#Headers],[Include or Exclude]], 0,4)</f>
        <v/>
      </c>
      <c r="I133" s="197" t="str" cm="1">
        <f t="array" ref="I133">Common_InputFunctions.Utility_DisplayArrayInTable(Fertiliser_SourceData.Fertiliser_Products_Data1(),FertiliserProducts[[#Headers],[Include or Exclude]], 0,4)</f>
        <v/>
      </c>
      <c r="J133" s="197" t="str" cm="1">
        <f t="array" ref="J133">Common_InputFunctions.Utility_DisplayArrayInTable(Fertiliser_SourceData.Fertiliser_Products_Data1(),FertiliserProducts[[#Headers],[Include or Exclude]], 0,4)</f>
        <v/>
      </c>
      <c r="K133" s="197" t="str" cm="1">
        <f t="array" ref="K133">Common_InputFunctions.Utility_DisplayArrayInTable(Fertiliser_SourceData.Fertiliser_Products_Data1(),FertiliserProducts[[#Headers],[Include or Exclude]], 0,4)</f>
        <v/>
      </c>
      <c r="L133" s="197" t="str" cm="1">
        <f t="array" ref="L133">Common_InputFunctions.Utility_DisplayArrayInTable(Fertiliser_SourceData.Fertiliser_Products_Data1(),FertiliserProducts[[#Headers],[Include or Exclude]], 0,4)</f>
        <v/>
      </c>
      <c r="M133" s="197" t="str" cm="1">
        <f t="array" ref="M133">Common_InputFunctions.Utility_DisplayArrayInTable(Fertiliser_SourceData.Fertiliser_Products_Data1(),FertiliserProducts[[#Headers],[Include or Exclude]], 0,4)</f>
        <v/>
      </c>
      <c r="N133" s="197" t="str" cm="1">
        <f t="array" ref="N133">Common_InputFunctions.Utility_DisplayArrayInTable(Fertiliser_SourceData.Fertiliser_Products_Data1(),FertiliserProducts[[#Headers],[Include or Exclude]], 0,4)</f>
        <v/>
      </c>
      <c r="O133" s="197" t="str" cm="1">
        <f t="array" ref="O133">Common_InputFunctions.Utility_DisplayArrayInTable(Fertiliser_SourceData.Fertiliser_Products_Data1(),FertiliserProducts[[#Headers],[Include or Exclude]], 0,4)</f>
        <v/>
      </c>
      <c r="P133" s="197" t="str" cm="1">
        <f t="array" ref="P133">Common_InputFunctions.Utility_DisplayArrayInTable(Fertiliser_SourceData.Fertiliser_Products_Data1(),FertiliserProducts[[#Headers],[Include or Exclude]], 0,4)</f>
        <v/>
      </c>
      <c r="Q133" s="197" t="str" cm="1">
        <f t="array" ref="Q133">Common_InputFunctions.Utility_DisplayArrayInTable(Fertiliser_SourceData.Fertiliser_Products_Data1(),FertiliserProducts[[#Headers],[Include or Exclude]], 0,4)</f>
        <v/>
      </c>
      <c r="R133" s="197" t="str" cm="1">
        <f t="array" ref="R133">Common_InputFunctions.Utility_DisplayArrayInTable(Fertiliser_SourceData.Fertiliser_Products_Data1(),FertiliserProducts[[#Headers],[Include or Exclude]], 0,4)</f>
        <v/>
      </c>
      <c r="S133" s="197" t="str" cm="1">
        <f t="array" ref="S133">Common_InputFunctions.Utility_DisplayArrayInTable(Fertiliser_SourceData.Fertiliser_Products_Data1(),FertiliserProducts[[#Headers],[Include or Exclude]], 0,4)</f>
        <v/>
      </c>
      <c r="T133" s="197" t="str" cm="1">
        <f t="array" ref="T133">Common_InputFunctions.Utility_DisplayArrayInTable(Fertiliser_SourceData.Fertiliser_Products_Data1(),FertiliserProducts[[#Headers],[Include or Exclude]], 0,4)</f>
        <v/>
      </c>
      <c r="U133" s="197" t="str" cm="1">
        <f t="array" ref="U133">Common_InputFunctions.Utility_DisplayArrayInTable(Fertiliser_SourceData.Fertiliser_Products_Data1(),FertiliserProducts[[#Headers],[Include or Exclude]], 0,4)</f>
        <v/>
      </c>
      <c r="V133" s="197" t="str" cm="1">
        <f t="array" ref="V133">Common_InputFunctions.Utility_DisplayArrayInTable(Fertiliser_SourceData.Fertiliser_Products_Data1(),FertiliserProducts[[#Headers],[Include or Exclude]], 0,4)</f>
        <v/>
      </c>
      <c r="W133" s="197" t="str" cm="1">
        <f t="array" ref="W133">Common_InputFunctions.Utility_DisplayArrayInTable(Fertiliser_SourceData.Fertiliser_Products_Data1(),FertiliserProducts[[#Headers],[Include or Exclude]], 0,4)</f>
        <v/>
      </c>
      <c r="X133" s="197" t="str" cm="1">
        <f t="array" ref="X133">Common_InputFunctions.Utility_DisplayArrayInTable(Fertiliser_SourceData.Fertiliser_Products_Data1(),FertiliserProducts[[#Headers],[Include or Exclude]], 0,4)</f>
        <v/>
      </c>
      <c r="Y133" s="197" t="str" cm="1">
        <f t="array" ref="Y133">Common_InputFunctions.Utility_DisplayArrayInTable(Fertiliser_SourceData.Fertiliser_Products_Data1(),FertiliserProducts[[#Headers],[Include or Exclude]], 0,4)</f>
        <v/>
      </c>
      <c r="Z133" s="197" t="str" cm="1">
        <f t="array" ref="Z133">Common_InputFunctions.Utility_DisplayArrayInTable(Fertiliser_SourceData.Fertiliser_Products_Data1(),FertiliserProducts[[#Headers],[Include or Exclude]], 0,4)</f>
        <v/>
      </c>
      <c r="AA133" s="197" t="str" cm="1">
        <f t="array" ref="AA133">Common_InputFunctions.Utility_DisplayArrayInTable(Fertiliser_SourceData.Fertiliser_Products_Data1(),FertiliserProducts[[#Headers],[Include or Exclude]], 0,4)</f>
        <v/>
      </c>
      <c r="AB133" s="197" t="str" cm="1">
        <f t="array" ref="AB133">Common_InputFunctions.Utility_DisplayArrayInTable(Fertiliser_SourceData.Fertiliser_Products_Data1(),FertiliserProducts[[#Headers],[Include or Exclude]], 0,4)</f>
        <v/>
      </c>
      <c r="AC133" s="197" t="str" cm="1">
        <f t="array" ref="AC133">Common_InputFunctions.Utility_DisplayArrayInTable(Fertiliser_SourceData.Fertiliser_Products_Data1(),FertiliserProducts[[#Headers],[Include or Exclude]], 0,4)</f>
        <v/>
      </c>
      <c r="AD133" s="197" t="str" cm="1">
        <f t="array" ref="AD133">Common_InputFunctions.Utility_DisplayArrayInTable(Fertiliser_SourceData.Fertiliser_Products_Data1(),FertiliserProducts[[#Headers],[Include or Exclude]], 0,4)</f>
        <v/>
      </c>
      <c r="AE133" s="197" t="str" cm="1">
        <f t="array" ref="AE133">Common_InputFunctions.Utility_DisplayArrayInTable(Fertiliser_SourceData.Fertiliser_Products_Data1(),FertiliserProducts[[#Headers],[Include or Exclude]], 0,4)</f>
        <v/>
      </c>
    </row>
    <row r="134" spans="4:31" ht="20.100000000000001" customHeight="1" x14ac:dyDescent="0.25">
      <c r="D134" s="197" t="str" cm="1">
        <f t="array" ref="D134">Common_InputFunctions.Utility_DisplayArrayInTable(Fertiliser_SourceData.Fertiliser_Products_Data1(),FertiliserProducts[[#Headers],[Include or Exclude]], -1)</f>
        <v/>
      </c>
      <c r="E134" s="197" t="str" cm="1">
        <f t="array" ref="E134">Common_InputFunctions.Utility_DisplayArrayInTable(Fertiliser_SourceData.Fertiliser_Products_Data1(),FertiliserProducts[[#Headers],[Include or Exclude]], 0)</f>
        <v/>
      </c>
      <c r="F134" s="197" t="str" cm="1">
        <f t="array" ref="F134">Common_InputFunctions.Utility_DisplayArrayInTable(Fertiliser_SourceData.Fertiliser_Products_Data1(),FertiliserProducts[[#Headers],[Include or Exclude]], 0)</f>
        <v/>
      </c>
      <c r="G134" s="197" t="str" cm="1">
        <f t="array" ref="G134">Common_InputFunctions.Utility_DisplayArrayInTable(Fertiliser_SourceData.Fertiliser_Products_Data1(),FertiliserProducts[[#Headers],[Include or Exclude]], 0)</f>
        <v/>
      </c>
      <c r="H134" s="197" t="str" cm="1">
        <f t="array" ref="H134">Common_InputFunctions.Utility_DisplayArrayInTable(Fertiliser_SourceData.Fertiliser_Products_Data1(),FertiliserProducts[[#Headers],[Include or Exclude]], 0,4)</f>
        <v/>
      </c>
      <c r="I134" s="197" t="str" cm="1">
        <f t="array" ref="I134">Common_InputFunctions.Utility_DisplayArrayInTable(Fertiliser_SourceData.Fertiliser_Products_Data1(),FertiliserProducts[[#Headers],[Include or Exclude]], 0,4)</f>
        <v/>
      </c>
      <c r="J134" s="197" t="str" cm="1">
        <f t="array" ref="J134">Common_InputFunctions.Utility_DisplayArrayInTable(Fertiliser_SourceData.Fertiliser_Products_Data1(),FertiliserProducts[[#Headers],[Include or Exclude]], 0,4)</f>
        <v/>
      </c>
      <c r="K134" s="197" t="str" cm="1">
        <f t="array" ref="K134">Common_InputFunctions.Utility_DisplayArrayInTable(Fertiliser_SourceData.Fertiliser_Products_Data1(),FertiliserProducts[[#Headers],[Include or Exclude]], 0,4)</f>
        <v/>
      </c>
      <c r="L134" s="197" t="str" cm="1">
        <f t="array" ref="L134">Common_InputFunctions.Utility_DisplayArrayInTable(Fertiliser_SourceData.Fertiliser_Products_Data1(),FertiliserProducts[[#Headers],[Include or Exclude]], 0,4)</f>
        <v/>
      </c>
      <c r="M134" s="197" t="str" cm="1">
        <f t="array" ref="M134">Common_InputFunctions.Utility_DisplayArrayInTable(Fertiliser_SourceData.Fertiliser_Products_Data1(),FertiliserProducts[[#Headers],[Include or Exclude]], 0,4)</f>
        <v/>
      </c>
      <c r="N134" s="197" t="str" cm="1">
        <f t="array" ref="N134">Common_InputFunctions.Utility_DisplayArrayInTable(Fertiliser_SourceData.Fertiliser_Products_Data1(),FertiliserProducts[[#Headers],[Include or Exclude]], 0,4)</f>
        <v/>
      </c>
      <c r="O134" s="197" t="str" cm="1">
        <f t="array" ref="O134">Common_InputFunctions.Utility_DisplayArrayInTable(Fertiliser_SourceData.Fertiliser_Products_Data1(),FertiliserProducts[[#Headers],[Include or Exclude]], 0,4)</f>
        <v/>
      </c>
      <c r="P134" s="197" t="str" cm="1">
        <f t="array" ref="P134">Common_InputFunctions.Utility_DisplayArrayInTable(Fertiliser_SourceData.Fertiliser_Products_Data1(),FertiliserProducts[[#Headers],[Include or Exclude]], 0,4)</f>
        <v/>
      </c>
      <c r="Q134" s="197" t="str" cm="1">
        <f t="array" ref="Q134">Common_InputFunctions.Utility_DisplayArrayInTable(Fertiliser_SourceData.Fertiliser_Products_Data1(),FertiliserProducts[[#Headers],[Include or Exclude]], 0,4)</f>
        <v/>
      </c>
      <c r="R134" s="197" t="str" cm="1">
        <f t="array" ref="R134">Common_InputFunctions.Utility_DisplayArrayInTable(Fertiliser_SourceData.Fertiliser_Products_Data1(),FertiliserProducts[[#Headers],[Include or Exclude]], 0,4)</f>
        <v/>
      </c>
      <c r="S134" s="197" t="str" cm="1">
        <f t="array" ref="S134">Common_InputFunctions.Utility_DisplayArrayInTable(Fertiliser_SourceData.Fertiliser_Products_Data1(),FertiliserProducts[[#Headers],[Include or Exclude]], 0,4)</f>
        <v/>
      </c>
      <c r="T134" s="197" t="str" cm="1">
        <f t="array" ref="T134">Common_InputFunctions.Utility_DisplayArrayInTable(Fertiliser_SourceData.Fertiliser_Products_Data1(),FertiliserProducts[[#Headers],[Include or Exclude]], 0,4)</f>
        <v/>
      </c>
      <c r="U134" s="197" t="str" cm="1">
        <f t="array" ref="U134">Common_InputFunctions.Utility_DisplayArrayInTable(Fertiliser_SourceData.Fertiliser_Products_Data1(),FertiliserProducts[[#Headers],[Include or Exclude]], 0,4)</f>
        <v/>
      </c>
      <c r="V134" s="197" t="str" cm="1">
        <f t="array" ref="V134">Common_InputFunctions.Utility_DisplayArrayInTable(Fertiliser_SourceData.Fertiliser_Products_Data1(),FertiliserProducts[[#Headers],[Include or Exclude]], 0,4)</f>
        <v/>
      </c>
      <c r="W134" s="197" t="str" cm="1">
        <f t="array" ref="W134">Common_InputFunctions.Utility_DisplayArrayInTable(Fertiliser_SourceData.Fertiliser_Products_Data1(),FertiliserProducts[[#Headers],[Include or Exclude]], 0,4)</f>
        <v/>
      </c>
      <c r="X134" s="197" t="str" cm="1">
        <f t="array" ref="X134">Common_InputFunctions.Utility_DisplayArrayInTable(Fertiliser_SourceData.Fertiliser_Products_Data1(),FertiliserProducts[[#Headers],[Include or Exclude]], 0,4)</f>
        <v/>
      </c>
      <c r="Y134" s="197" t="str" cm="1">
        <f t="array" ref="Y134">Common_InputFunctions.Utility_DisplayArrayInTable(Fertiliser_SourceData.Fertiliser_Products_Data1(),FertiliserProducts[[#Headers],[Include or Exclude]], 0,4)</f>
        <v/>
      </c>
      <c r="Z134" s="197" t="str" cm="1">
        <f t="array" ref="Z134">Common_InputFunctions.Utility_DisplayArrayInTable(Fertiliser_SourceData.Fertiliser_Products_Data1(),FertiliserProducts[[#Headers],[Include or Exclude]], 0,4)</f>
        <v/>
      </c>
      <c r="AA134" s="197" t="str" cm="1">
        <f t="array" ref="AA134">Common_InputFunctions.Utility_DisplayArrayInTable(Fertiliser_SourceData.Fertiliser_Products_Data1(),FertiliserProducts[[#Headers],[Include or Exclude]], 0,4)</f>
        <v/>
      </c>
      <c r="AB134" s="197" t="str" cm="1">
        <f t="array" ref="AB134">Common_InputFunctions.Utility_DisplayArrayInTable(Fertiliser_SourceData.Fertiliser_Products_Data1(),FertiliserProducts[[#Headers],[Include or Exclude]], 0,4)</f>
        <v/>
      </c>
      <c r="AC134" s="197" t="str" cm="1">
        <f t="array" ref="AC134">Common_InputFunctions.Utility_DisplayArrayInTable(Fertiliser_SourceData.Fertiliser_Products_Data1(),FertiliserProducts[[#Headers],[Include or Exclude]], 0,4)</f>
        <v/>
      </c>
      <c r="AD134" s="197" t="str" cm="1">
        <f t="array" ref="AD134">Common_InputFunctions.Utility_DisplayArrayInTable(Fertiliser_SourceData.Fertiliser_Products_Data1(),FertiliserProducts[[#Headers],[Include or Exclude]], 0,4)</f>
        <v/>
      </c>
      <c r="AE134" s="197" t="str" cm="1">
        <f t="array" ref="AE134">Common_InputFunctions.Utility_DisplayArrayInTable(Fertiliser_SourceData.Fertiliser_Products_Data1(),FertiliserProducts[[#Headers],[Include or Exclude]], 0,4)</f>
        <v/>
      </c>
    </row>
    <row r="135" spans="4:31" ht="20.100000000000001" customHeight="1" x14ac:dyDescent="0.25">
      <c r="D135" s="197" t="str" cm="1">
        <f t="array" ref="D135">Common_InputFunctions.Utility_DisplayArrayInTable(Fertiliser_SourceData.Fertiliser_Products_Data1(),FertiliserProducts[[#Headers],[Include or Exclude]], -1)</f>
        <v/>
      </c>
      <c r="E135" s="197" t="str" cm="1">
        <f t="array" ref="E135">Common_InputFunctions.Utility_DisplayArrayInTable(Fertiliser_SourceData.Fertiliser_Products_Data1(),FertiliserProducts[[#Headers],[Include or Exclude]], 0)</f>
        <v/>
      </c>
      <c r="F135" s="197" t="str" cm="1">
        <f t="array" ref="F135">Common_InputFunctions.Utility_DisplayArrayInTable(Fertiliser_SourceData.Fertiliser_Products_Data1(),FertiliserProducts[[#Headers],[Include or Exclude]], 0)</f>
        <v/>
      </c>
      <c r="G135" s="197" t="str" cm="1">
        <f t="array" ref="G135">Common_InputFunctions.Utility_DisplayArrayInTable(Fertiliser_SourceData.Fertiliser_Products_Data1(),FertiliserProducts[[#Headers],[Include or Exclude]], 0)</f>
        <v/>
      </c>
      <c r="H135" s="197" t="str" cm="1">
        <f t="array" ref="H135">Common_InputFunctions.Utility_DisplayArrayInTable(Fertiliser_SourceData.Fertiliser_Products_Data1(),FertiliserProducts[[#Headers],[Include or Exclude]], 0,4)</f>
        <v/>
      </c>
      <c r="I135" s="197" t="str" cm="1">
        <f t="array" ref="I135">Common_InputFunctions.Utility_DisplayArrayInTable(Fertiliser_SourceData.Fertiliser_Products_Data1(),FertiliserProducts[[#Headers],[Include or Exclude]], 0,4)</f>
        <v/>
      </c>
      <c r="J135" s="197" t="str" cm="1">
        <f t="array" ref="J135">Common_InputFunctions.Utility_DisplayArrayInTable(Fertiliser_SourceData.Fertiliser_Products_Data1(),FertiliserProducts[[#Headers],[Include or Exclude]], 0,4)</f>
        <v/>
      </c>
      <c r="K135" s="197" t="str" cm="1">
        <f t="array" ref="K135">Common_InputFunctions.Utility_DisplayArrayInTable(Fertiliser_SourceData.Fertiliser_Products_Data1(),FertiliserProducts[[#Headers],[Include or Exclude]], 0,4)</f>
        <v/>
      </c>
      <c r="L135" s="197" t="str" cm="1">
        <f t="array" ref="L135">Common_InputFunctions.Utility_DisplayArrayInTable(Fertiliser_SourceData.Fertiliser_Products_Data1(),FertiliserProducts[[#Headers],[Include or Exclude]], 0,4)</f>
        <v/>
      </c>
      <c r="M135" s="197" t="str" cm="1">
        <f t="array" ref="M135">Common_InputFunctions.Utility_DisplayArrayInTable(Fertiliser_SourceData.Fertiliser_Products_Data1(),FertiliserProducts[[#Headers],[Include or Exclude]], 0,4)</f>
        <v/>
      </c>
      <c r="N135" s="197" t="str" cm="1">
        <f t="array" ref="N135">Common_InputFunctions.Utility_DisplayArrayInTable(Fertiliser_SourceData.Fertiliser_Products_Data1(),FertiliserProducts[[#Headers],[Include or Exclude]], 0,4)</f>
        <v/>
      </c>
      <c r="O135" s="197" t="str" cm="1">
        <f t="array" ref="O135">Common_InputFunctions.Utility_DisplayArrayInTable(Fertiliser_SourceData.Fertiliser_Products_Data1(),FertiliserProducts[[#Headers],[Include or Exclude]], 0,4)</f>
        <v/>
      </c>
      <c r="P135" s="197" t="str" cm="1">
        <f t="array" ref="P135">Common_InputFunctions.Utility_DisplayArrayInTable(Fertiliser_SourceData.Fertiliser_Products_Data1(),FertiliserProducts[[#Headers],[Include or Exclude]], 0,4)</f>
        <v/>
      </c>
      <c r="Q135" s="197" t="str" cm="1">
        <f t="array" ref="Q135">Common_InputFunctions.Utility_DisplayArrayInTable(Fertiliser_SourceData.Fertiliser_Products_Data1(),FertiliserProducts[[#Headers],[Include or Exclude]], 0,4)</f>
        <v/>
      </c>
      <c r="R135" s="197" t="str" cm="1">
        <f t="array" ref="R135">Common_InputFunctions.Utility_DisplayArrayInTable(Fertiliser_SourceData.Fertiliser_Products_Data1(),FertiliserProducts[[#Headers],[Include or Exclude]], 0,4)</f>
        <v/>
      </c>
      <c r="S135" s="197" t="str" cm="1">
        <f t="array" ref="S135">Common_InputFunctions.Utility_DisplayArrayInTable(Fertiliser_SourceData.Fertiliser_Products_Data1(),FertiliserProducts[[#Headers],[Include or Exclude]], 0,4)</f>
        <v/>
      </c>
      <c r="T135" s="197" t="str" cm="1">
        <f t="array" ref="T135">Common_InputFunctions.Utility_DisplayArrayInTable(Fertiliser_SourceData.Fertiliser_Products_Data1(),FertiliserProducts[[#Headers],[Include or Exclude]], 0,4)</f>
        <v/>
      </c>
      <c r="U135" s="197" t="str" cm="1">
        <f t="array" ref="U135">Common_InputFunctions.Utility_DisplayArrayInTable(Fertiliser_SourceData.Fertiliser_Products_Data1(),FertiliserProducts[[#Headers],[Include or Exclude]], 0,4)</f>
        <v/>
      </c>
      <c r="V135" s="197" t="str" cm="1">
        <f t="array" ref="V135">Common_InputFunctions.Utility_DisplayArrayInTable(Fertiliser_SourceData.Fertiliser_Products_Data1(),FertiliserProducts[[#Headers],[Include or Exclude]], 0,4)</f>
        <v/>
      </c>
      <c r="W135" s="197" t="str" cm="1">
        <f t="array" ref="W135">Common_InputFunctions.Utility_DisplayArrayInTable(Fertiliser_SourceData.Fertiliser_Products_Data1(),FertiliserProducts[[#Headers],[Include or Exclude]], 0,4)</f>
        <v/>
      </c>
      <c r="X135" s="197" t="str" cm="1">
        <f t="array" ref="X135">Common_InputFunctions.Utility_DisplayArrayInTable(Fertiliser_SourceData.Fertiliser_Products_Data1(),FertiliserProducts[[#Headers],[Include or Exclude]], 0,4)</f>
        <v/>
      </c>
      <c r="Y135" s="197" t="str" cm="1">
        <f t="array" ref="Y135">Common_InputFunctions.Utility_DisplayArrayInTable(Fertiliser_SourceData.Fertiliser_Products_Data1(),FertiliserProducts[[#Headers],[Include or Exclude]], 0,4)</f>
        <v/>
      </c>
      <c r="Z135" s="197" t="str" cm="1">
        <f t="array" ref="Z135">Common_InputFunctions.Utility_DisplayArrayInTable(Fertiliser_SourceData.Fertiliser_Products_Data1(),FertiliserProducts[[#Headers],[Include or Exclude]], 0,4)</f>
        <v/>
      </c>
      <c r="AA135" s="197" t="str" cm="1">
        <f t="array" ref="AA135">Common_InputFunctions.Utility_DisplayArrayInTable(Fertiliser_SourceData.Fertiliser_Products_Data1(),FertiliserProducts[[#Headers],[Include or Exclude]], 0,4)</f>
        <v/>
      </c>
      <c r="AB135" s="197" t="str" cm="1">
        <f t="array" ref="AB135">Common_InputFunctions.Utility_DisplayArrayInTable(Fertiliser_SourceData.Fertiliser_Products_Data1(),FertiliserProducts[[#Headers],[Include or Exclude]], 0,4)</f>
        <v/>
      </c>
      <c r="AC135" s="197" t="str" cm="1">
        <f t="array" ref="AC135">Common_InputFunctions.Utility_DisplayArrayInTable(Fertiliser_SourceData.Fertiliser_Products_Data1(),FertiliserProducts[[#Headers],[Include or Exclude]], 0,4)</f>
        <v/>
      </c>
      <c r="AD135" s="197" t="str" cm="1">
        <f t="array" ref="AD135">Common_InputFunctions.Utility_DisplayArrayInTable(Fertiliser_SourceData.Fertiliser_Products_Data1(),FertiliserProducts[[#Headers],[Include or Exclude]], 0,4)</f>
        <v/>
      </c>
      <c r="AE135" s="197" t="str" cm="1">
        <f t="array" ref="AE135">Common_InputFunctions.Utility_DisplayArrayInTable(Fertiliser_SourceData.Fertiliser_Products_Data1(),FertiliserProducts[[#Headers],[Include or Exclude]], 0,4)</f>
        <v/>
      </c>
    </row>
    <row r="136" spans="4:31" ht="20.100000000000001" customHeight="1" x14ac:dyDescent="0.25">
      <c r="D136" s="197" t="str" cm="1">
        <f t="array" ref="D136">Common_InputFunctions.Utility_DisplayArrayInTable(Fertiliser_SourceData.Fertiliser_Products_Data1(),FertiliserProducts[[#Headers],[Include or Exclude]], -1)</f>
        <v/>
      </c>
      <c r="E136" s="197" t="str" cm="1">
        <f t="array" ref="E136">Common_InputFunctions.Utility_DisplayArrayInTable(Fertiliser_SourceData.Fertiliser_Products_Data1(),FertiliserProducts[[#Headers],[Include or Exclude]], 0)</f>
        <v/>
      </c>
      <c r="F136" s="197" t="str" cm="1">
        <f t="array" ref="F136">Common_InputFunctions.Utility_DisplayArrayInTable(Fertiliser_SourceData.Fertiliser_Products_Data1(),FertiliserProducts[[#Headers],[Include or Exclude]], 0)</f>
        <v/>
      </c>
      <c r="G136" s="197" t="str" cm="1">
        <f t="array" ref="G136">Common_InputFunctions.Utility_DisplayArrayInTable(Fertiliser_SourceData.Fertiliser_Products_Data1(),FertiliserProducts[[#Headers],[Include or Exclude]], 0)</f>
        <v/>
      </c>
      <c r="H136" s="197" t="str" cm="1">
        <f t="array" ref="H136">Common_InputFunctions.Utility_DisplayArrayInTable(Fertiliser_SourceData.Fertiliser_Products_Data1(),FertiliserProducts[[#Headers],[Include or Exclude]], 0,4)</f>
        <v/>
      </c>
      <c r="I136" s="197" t="str" cm="1">
        <f t="array" ref="I136">Common_InputFunctions.Utility_DisplayArrayInTable(Fertiliser_SourceData.Fertiliser_Products_Data1(),FertiliserProducts[[#Headers],[Include or Exclude]], 0,4)</f>
        <v/>
      </c>
      <c r="J136" s="197" t="str" cm="1">
        <f t="array" ref="J136">Common_InputFunctions.Utility_DisplayArrayInTable(Fertiliser_SourceData.Fertiliser_Products_Data1(),FertiliserProducts[[#Headers],[Include or Exclude]], 0,4)</f>
        <v/>
      </c>
      <c r="K136" s="197" t="str" cm="1">
        <f t="array" ref="K136">Common_InputFunctions.Utility_DisplayArrayInTable(Fertiliser_SourceData.Fertiliser_Products_Data1(),FertiliserProducts[[#Headers],[Include or Exclude]], 0,4)</f>
        <v/>
      </c>
      <c r="L136" s="197" t="str" cm="1">
        <f t="array" ref="L136">Common_InputFunctions.Utility_DisplayArrayInTable(Fertiliser_SourceData.Fertiliser_Products_Data1(),FertiliserProducts[[#Headers],[Include or Exclude]], 0,4)</f>
        <v/>
      </c>
      <c r="M136" s="197" t="str" cm="1">
        <f t="array" ref="M136">Common_InputFunctions.Utility_DisplayArrayInTable(Fertiliser_SourceData.Fertiliser_Products_Data1(),FertiliserProducts[[#Headers],[Include or Exclude]], 0,4)</f>
        <v/>
      </c>
      <c r="N136" s="197" t="str" cm="1">
        <f t="array" ref="N136">Common_InputFunctions.Utility_DisplayArrayInTable(Fertiliser_SourceData.Fertiliser_Products_Data1(),FertiliserProducts[[#Headers],[Include or Exclude]], 0,4)</f>
        <v/>
      </c>
      <c r="O136" s="197" t="str" cm="1">
        <f t="array" ref="O136">Common_InputFunctions.Utility_DisplayArrayInTable(Fertiliser_SourceData.Fertiliser_Products_Data1(),FertiliserProducts[[#Headers],[Include or Exclude]], 0,4)</f>
        <v/>
      </c>
      <c r="P136" s="197" t="str" cm="1">
        <f t="array" ref="P136">Common_InputFunctions.Utility_DisplayArrayInTable(Fertiliser_SourceData.Fertiliser_Products_Data1(),FertiliserProducts[[#Headers],[Include or Exclude]], 0,4)</f>
        <v/>
      </c>
      <c r="Q136" s="197" t="str" cm="1">
        <f t="array" ref="Q136">Common_InputFunctions.Utility_DisplayArrayInTable(Fertiliser_SourceData.Fertiliser_Products_Data1(),FertiliserProducts[[#Headers],[Include or Exclude]], 0,4)</f>
        <v/>
      </c>
      <c r="R136" s="197" t="str" cm="1">
        <f t="array" ref="R136">Common_InputFunctions.Utility_DisplayArrayInTable(Fertiliser_SourceData.Fertiliser_Products_Data1(),FertiliserProducts[[#Headers],[Include or Exclude]], 0,4)</f>
        <v/>
      </c>
      <c r="S136" s="197" t="str" cm="1">
        <f t="array" ref="S136">Common_InputFunctions.Utility_DisplayArrayInTable(Fertiliser_SourceData.Fertiliser_Products_Data1(),FertiliserProducts[[#Headers],[Include or Exclude]], 0,4)</f>
        <v/>
      </c>
      <c r="T136" s="197" t="str" cm="1">
        <f t="array" ref="T136">Common_InputFunctions.Utility_DisplayArrayInTable(Fertiliser_SourceData.Fertiliser_Products_Data1(),FertiliserProducts[[#Headers],[Include or Exclude]], 0,4)</f>
        <v/>
      </c>
      <c r="U136" s="197" t="str" cm="1">
        <f t="array" ref="U136">Common_InputFunctions.Utility_DisplayArrayInTable(Fertiliser_SourceData.Fertiliser_Products_Data1(),FertiliserProducts[[#Headers],[Include or Exclude]], 0,4)</f>
        <v/>
      </c>
      <c r="V136" s="197" t="str" cm="1">
        <f t="array" ref="V136">Common_InputFunctions.Utility_DisplayArrayInTable(Fertiliser_SourceData.Fertiliser_Products_Data1(),FertiliserProducts[[#Headers],[Include or Exclude]], 0,4)</f>
        <v/>
      </c>
      <c r="W136" s="197" t="str" cm="1">
        <f t="array" ref="W136">Common_InputFunctions.Utility_DisplayArrayInTable(Fertiliser_SourceData.Fertiliser_Products_Data1(),FertiliserProducts[[#Headers],[Include or Exclude]], 0,4)</f>
        <v/>
      </c>
      <c r="X136" s="197" t="str" cm="1">
        <f t="array" ref="X136">Common_InputFunctions.Utility_DisplayArrayInTable(Fertiliser_SourceData.Fertiliser_Products_Data1(),FertiliserProducts[[#Headers],[Include or Exclude]], 0,4)</f>
        <v/>
      </c>
      <c r="Y136" s="197" t="str" cm="1">
        <f t="array" ref="Y136">Common_InputFunctions.Utility_DisplayArrayInTable(Fertiliser_SourceData.Fertiliser_Products_Data1(),FertiliserProducts[[#Headers],[Include or Exclude]], 0,4)</f>
        <v/>
      </c>
      <c r="Z136" s="197" t="str" cm="1">
        <f t="array" ref="Z136">Common_InputFunctions.Utility_DisplayArrayInTable(Fertiliser_SourceData.Fertiliser_Products_Data1(),FertiliserProducts[[#Headers],[Include or Exclude]], 0,4)</f>
        <v/>
      </c>
      <c r="AA136" s="197" t="str" cm="1">
        <f t="array" ref="AA136">Common_InputFunctions.Utility_DisplayArrayInTable(Fertiliser_SourceData.Fertiliser_Products_Data1(),FertiliserProducts[[#Headers],[Include or Exclude]], 0,4)</f>
        <v/>
      </c>
      <c r="AB136" s="197" t="str" cm="1">
        <f t="array" ref="AB136">Common_InputFunctions.Utility_DisplayArrayInTable(Fertiliser_SourceData.Fertiliser_Products_Data1(),FertiliserProducts[[#Headers],[Include or Exclude]], 0,4)</f>
        <v/>
      </c>
      <c r="AC136" s="197" t="str" cm="1">
        <f t="array" ref="AC136">Common_InputFunctions.Utility_DisplayArrayInTable(Fertiliser_SourceData.Fertiliser_Products_Data1(),FertiliserProducts[[#Headers],[Include or Exclude]], 0,4)</f>
        <v/>
      </c>
      <c r="AD136" s="197" t="str" cm="1">
        <f t="array" ref="AD136">Common_InputFunctions.Utility_DisplayArrayInTable(Fertiliser_SourceData.Fertiliser_Products_Data1(),FertiliserProducts[[#Headers],[Include or Exclude]], 0,4)</f>
        <v/>
      </c>
      <c r="AE136" s="197" t="str" cm="1">
        <f t="array" ref="AE136">Common_InputFunctions.Utility_DisplayArrayInTable(Fertiliser_SourceData.Fertiliser_Products_Data1(),FertiliserProducts[[#Headers],[Include or Exclude]], 0,4)</f>
        <v/>
      </c>
    </row>
    <row r="137" spans="4:31" ht="20.100000000000001" customHeight="1" x14ac:dyDescent="0.25">
      <c r="D137" s="197" t="str" cm="1">
        <f t="array" ref="D137">Common_InputFunctions.Utility_DisplayArrayInTable(Fertiliser_SourceData.Fertiliser_Products_Data1(),FertiliserProducts[[#Headers],[Include or Exclude]], -1)</f>
        <v/>
      </c>
      <c r="E137" s="197" t="str" cm="1">
        <f t="array" ref="E137">Common_InputFunctions.Utility_DisplayArrayInTable(Fertiliser_SourceData.Fertiliser_Products_Data1(),FertiliserProducts[[#Headers],[Include or Exclude]], 0)</f>
        <v/>
      </c>
      <c r="F137" s="197" t="str" cm="1">
        <f t="array" ref="F137">Common_InputFunctions.Utility_DisplayArrayInTable(Fertiliser_SourceData.Fertiliser_Products_Data1(),FertiliserProducts[[#Headers],[Include or Exclude]], 0)</f>
        <v/>
      </c>
      <c r="G137" s="197" t="str" cm="1">
        <f t="array" ref="G137">Common_InputFunctions.Utility_DisplayArrayInTable(Fertiliser_SourceData.Fertiliser_Products_Data1(),FertiliserProducts[[#Headers],[Include or Exclude]], 0)</f>
        <v/>
      </c>
      <c r="H137" s="197" t="str" cm="1">
        <f t="array" ref="H137">Common_InputFunctions.Utility_DisplayArrayInTable(Fertiliser_SourceData.Fertiliser_Products_Data1(),FertiliserProducts[[#Headers],[Include or Exclude]], 0,4)</f>
        <v/>
      </c>
      <c r="I137" s="197" t="str" cm="1">
        <f t="array" ref="I137">Common_InputFunctions.Utility_DisplayArrayInTable(Fertiliser_SourceData.Fertiliser_Products_Data1(),FertiliserProducts[[#Headers],[Include or Exclude]], 0,4)</f>
        <v/>
      </c>
      <c r="J137" s="197" t="str" cm="1">
        <f t="array" ref="J137">Common_InputFunctions.Utility_DisplayArrayInTable(Fertiliser_SourceData.Fertiliser_Products_Data1(),FertiliserProducts[[#Headers],[Include or Exclude]], 0,4)</f>
        <v/>
      </c>
      <c r="K137" s="197" t="str" cm="1">
        <f t="array" ref="K137">Common_InputFunctions.Utility_DisplayArrayInTable(Fertiliser_SourceData.Fertiliser_Products_Data1(),FertiliserProducts[[#Headers],[Include or Exclude]], 0,4)</f>
        <v/>
      </c>
      <c r="L137" s="197" t="str" cm="1">
        <f t="array" ref="L137">Common_InputFunctions.Utility_DisplayArrayInTable(Fertiliser_SourceData.Fertiliser_Products_Data1(),FertiliserProducts[[#Headers],[Include or Exclude]], 0,4)</f>
        <v/>
      </c>
      <c r="M137" s="197" t="str" cm="1">
        <f t="array" ref="M137">Common_InputFunctions.Utility_DisplayArrayInTable(Fertiliser_SourceData.Fertiliser_Products_Data1(),FertiliserProducts[[#Headers],[Include or Exclude]], 0,4)</f>
        <v/>
      </c>
      <c r="N137" s="197" t="str" cm="1">
        <f t="array" ref="N137">Common_InputFunctions.Utility_DisplayArrayInTable(Fertiliser_SourceData.Fertiliser_Products_Data1(),FertiliserProducts[[#Headers],[Include or Exclude]], 0,4)</f>
        <v/>
      </c>
      <c r="O137" s="197" t="str" cm="1">
        <f t="array" ref="O137">Common_InputFunctions.Utility_DisplayArrayInTable(Fertiliser_SourceData.Fertiliser_Products_Data1(),FertiliserProducts[[#Headers],[Include or Exclude]], 0,4)</f>
        <v/>
      </c>
      <c r="P137" s="197" t="str" cm="1">
        <f t="array" ref="P137">Common_InputFunctions.Utility_DisplayArrayInTable(Fertiliser_SourceData.Fertiliser_Products_Data1(),FertiliserProducts[[#Headers],[Include or Exclude]], 0,4)</f>
        <v/>
      </c>
      <c r="Q137" s="197" t="str" cm="1">
        <f t="array" ref="Q137">Common_InputFunctions.Utility_DisplayArrayInTable(Fertiliser_SourceData.Fertiliser_Products_Data1(),FertiliserProducts[[#Headers],[Include or Exclude]], 0,4)</f>
        <v/>
      </c>
      <c r="R137" s="197" t="str" cm="1">
        <f t="array" ref="R137">Common_InputFunctions.Utility_DisplayArrayInTable(Fertiliser_SourceData.Fertiliser_Products_Data1(),FertiliserProducts[[#Headers],[Include or Exclude]], 0,4)</f>
        <v/>
      </c>
      <c r="S137" s="197" t="str" cm="1">
        <f t="array" ref="S137">Common_InputFunctions.Utility_DisplayArrayInTable(Fertiliser_SourceData.Fertiliser_Products_Data1(),FertiliserProducts[[#Headers],[Include or Exclude]], 0,4)</f>
        <v/>
      </c>
      <c r="T137" s="197" t="str" cm="1">
        <f t="array" ref="T137">Common_InputFunctions.Utility_DisplayArrayInTable(Fertiliser_SourceData.Fertiliser_Products_Data1(),FertiliserProducts[[#Headers],[Include or Exclude]], 0,4)</f>
        <v/>
      </c>
      <c r="U137" s="197" t="str" cm="1">
        <f t="array" ref="U137">Common_InputFunctions.Utility_DisplayArrayInTable(Fertiliser_SourceData.Fertiliser_Products_Data1(),FertiliserProducts[[#Headers],[Include or Exclude]], 0,4)</f>
        <v/>
      </c>
      <c r="V137" s="197" t="str" cm="1">
        <f t="array" ref="V137">Common_InputFunctions.Utility_DisplayArrayInTable(Fertiliser_SourceData.Fertiliser_Products_Data1(),FertiliserProducts[[#Headers],[Include or Exclude]], 0,4)</f>
        <v/>
      </c>
      <c r="W137" s="197" t="str" cm="1">
        <f t="array" ref="W137">Common_InputFunctions.Utility_DisplayArrayInTable(Fertiliser_SourceData.Fertiliser_Products_Data1(),FertiliserProducts[[#Headers],[Include or Exclude]], 0,4)</f>
        <v/>
      </c>
      <c r="X137" s="197" t="str" cm="1">
        <f t="array" ref="X137">Common_InputFunctions.Utility_DisplayArrayInTable(Fertiliser_SourceData.Fertiliser_Products_Data1(),FertiliserProducts[[#Headers],[Include or Exclude]], 0,4)</f>
        <v/>
      </c>
      <c r="Y137" s="197" t="str" cm="1">
        <f t="array" ref="Y137">Common_InputFunctions.Utility_DisplayArrayInTable(Fertiliser_SourceData.Fertiliser_Products_Data1(),FertiliserProducts[[#Headers],[Include or Exclude]], 0,4)</f>
        <v/>
      </c>
      <c r="Z137" s="197" t="str" cm="1">
        <f t="array" ref="Z137">Common_InputFunctions.Utility_DisplayArrayInTable(Fertiliser_SourceData.Fertiliser_Products_Data1(),FertiliserProducts[[#Headers],[Include or Exclude]], 0,4)</f>
        <v/>
      </c>
      <c r="AA137" s="197" t="str" cm="1">
        <f t="array" ref="AA137">Common_InputFunctions.Utility_DisplayArrayInTable(Fertiliser_SourceData.Fertiliser_Products_Data1(),FertiliserProducts[[#Headers],[Include or Exclude]], 0,4)</f>
        <v/>
      </c>
      <c r="AB137" s="197" t="str" cm="1">
        <f t="array" ref="AB137">Common_InputFunctions.Utility_DisplayArrayInTable(Fertiliser_SourceData.Fertiliser_Products_Data1(),FertiliserProducts[[#Headers],[Include or Exclude]], 0,4)</f>
        <v/>
      </c>
      <c r="AC137" s="197" t="str" cm="1">
        <f t="array" ref="AC137">Common_InputFunctions.Utility_DisplayArrayInTable(Fertiliser_SourceData.Fertiliser_Products_Data1(),FertiliserProducts[[#Headers],[Include or Exclude]], 0,4)</f>
        <v/>
      </c>
      <c r="AD137" s="197" t="str" cm="1">
        <f t="array" ref="AD137">Common_InputFunctions.Utility_DisplayArrayInTable(Fertiliser_SourceData.Fertiliser_Products_Data1(),FertiliserProducts[[#Headers],[Include or Exclude]], 0,4)</f>
        <v/>
      </c>
      <c r="AE137" s="197" t="str" cm="1">
        <f t="array" ref="AE137">Common_InputFunctions.Utility_DisplayArrayInTable(Fertiliser_SourceData.Fertiliser_Products_Data1(),FertiliserProducts[[#Headers],[Include or Exclude]], 0,4)</f>
        <v/>
      </c>
    </row>
    <row r="138" spans="4:31" ht="20.100000000000001" customHeight="1" x14ac:dyDescent="0.25">
      <c r="D138" s="197" t="str" cm="1">
        <f t="array" ref="D138">Common_InputFunctions.Utility_DisplayArrayInTable(Fertiliser_SourceData.Fertiliser_Products_Data1(),FertiliserProducts[[#Headers],[Include or Exclude]], -1)</f>
        <v/>
      </c>
      <c r="E138" s="197" t="str" cm="1">
        <f t="array" ref="E138">Common_InputFunctions.Utility_DisplayArrayInTable(Fertiliser_SourceData.Fertiliser_Products_Data1(),FertiliserProducts[[#Headers],[Include or Exclude]], 0)</f>
        <v/>
      </c>
      <c r="F138" s="197" t="str" cm="1">
        <f t="array" ref="F138">Common_InputFunctions.Utility_DisplayArrayInTable(Fertiliser_SourceData.Fertiliser_Products_Data1(),FertiliserProducts[[#Headers],[Include or Exclude]], 0)</f>
        <v/>
      </c>
      <c r="G138" s="197" t="str" cm="1">
        <f t="array" ref="G138">Common_InputFunctions.Utility_DisplayArrayInTable(Fertiliser_SourceData.Fertiliser_Products_Data1(),FertiliserProducts[[#Headers],[Include or Exclude]], 0)</f>
        <v/>
      </c>
      <c r="H138" s="197" t="str" cm="1">
        <f t="array" ref="H138">Common_InputFunctions.Utility_DisplayArrayInTable(Fertiliser_SourceData.Fertiliser_Products_Data1(),FertiliserProducts[[#Headers],[Include or Exclude]], 0,4)</f>
        <v/>
      </c>
      <c r="I138" s="197" t="str" cm="1">
        <f t="array" ref="I138">Common_InputFunctions.Utility_DisplayArrayInTable(Fertiliser_SourceData.Fertiliser_Products_Data1(),FertiliserProducts[[#Headers],[Include or Exclude]], 0,4)</f>
        <v/>
      </c>
      <c r="J138" s="197" t="str" cm="1">
        <f t="array" ref="J138">Common_InputFunctions.Utility_DisplayArrayInTable(Fertiliser_SourceData.Fertiliser_Products_Data1(),FertiliserProducts[[#Headers],[Include or Exclude]], 0,4)</f>
        <v/>
      </c>
      <c r="K138" s="197" t="str" cm="1">
        <f t="array" ref="K138">Common_InputFunctions.Utility_DisplayArrayInTable(Fertiliser_SourceData.Fertiliser_Products_Data1(),FertiliserProducts[[#Headers],[Include or Exclude]], 0,4)</f>
        <v/>
      </c>
      <c r="L138" s="197" t="str" cm="1">
        <f t="array" ref="L138">Common_InputFunctions.Utility_DisplayArrayInTable(Fertiliser_SourceData.Fertiliser_Products_Data1(),FertiliserProducts[[#Headers],[Include or Exclude]], 0,4)</f>
        <v/>
      </c>
      <c r="M138" s="197" t="str" cm="1">
        <f t="array" ref="M138">Common_InputFunctions.Utility_DisplayArrayInTable(Fertiliser_SourceData.Fertiliser_Products_Data1(),FertiliserProducts[[#Headers],[Include or Exclude]], 0,4)</f>
        <v/>
      </c>
      <c r="N138" s="197" t="str" cm="1">
        <f t="array" ref="N138">Common_InputFunctions.Utility_DisplayArrayInTable(Fertiliser_SourceData.Fertiliser_Products_Data1(),FertiliserProducts[[#Headers],[Include or Exclude]], 0,4)</f>
        <v/>
      </c>
      <c r="O138" s="197" t="str" cm="1">
        <f t="array" ref="O138">Common_InputFunctions.Utility_DisplayArrayInTable(Fertiliser_SourceData.Fertiliser_Products_Data1(),FertiliserProducts[[#Headers],[Include or Exclude]], 0,4)</f>
        <v/>
      </c>
      <c r="P138" s="197" t="str" cm="1">
        <f t="array" ref="P138">Common_InputFunctions.Utility_DisplayArrayInTable(Fertiliser_SourceData.Fertiliser_Products_Data1(),FertiliserProducts[[#Headers],[Include or Exclude]], 0,4)</f>
        <v/>
      </c>
      <c r="Q138" s="197" t="str" cm="1">
        <f t="array" ref="Q138">Common_InputFunctions.Utility_DisplayArrayInTable(Fertiliser_SourceData.Fertiliser_Products_Data1(),FertiliserProducts[[#Headers],[Include or Exclude]], 0,4)</f>
        <v/>
      </c>
      <c r="R138" s="197" t="str" cm="1">
        <f t="array" ref="R138">Common_InputFunctions.Utility_DisplayArrayInTable(Fertiliser_SourceData.Fertiliser_Products_Data1(),FertiliserProducts[[#Headers],[Include or Exclude]], 0,4)</f>
        <v/>
      </c>
      <c r="S138" s="197" t="str" cm="1">
        <f t="array" ref="S138">Common_InputFunctions.Utility_DisplayArrayInTable(Fertiliser_SourceData.Fertiliser_Products_Data1(),FertiliserProducts[[#Headers],[Include or Exclude]], 0,4)</f>
        <v/>
      </c>
      <c r="T138" s="197" t="str" cm="1">
        <f t="array" ref="T138">Common_InputFunctions.Utility_DisplayArrayInTable(Fertiliser_SourceData.Fertiliser_Products_Data1(),FertiliserProducts[[#Headers],[Include or Exclude]], 0,4)</f>
        <v/>
      </c>
      <c r="U138" s="197" t="str" cm="1">
        <f t="array" ref="U138">Common_InputFunctions.Utility_DisplayArrayInTable(Fertiliser_SourceData.Fertiliser_Products_Data1(),FertiliserProducts[[#Headers],[Include or Exclude]], 0,4)</f>
        <v/>
      </c>
      <c r="V138" s="197" t="str" cm="1">
        <f t="array" ref="V138">Common_InputFunctions.Utility_DisplayArrayInTable(Fertiliser_SourceData.Fertiliser_Products_Data1(),FertiliserProducts[[#Headers],[Include or Exclude]], 0,4)</f>
        <v/>
      </c>
      <c r="W138" s="197" t="str" cm="1">
        <f t="array" ref="W138">Common_InputFunctions.Utility_DisplayArrayInTable(Fertiliser_SourceData.Fertiliser_Products_Data1(),FertiliserProducts[[#Headers],[Include or Exclude]], 0,4)</f>
        <v/>
      </c>
      <c r="X138" s="197" t="str" cm="1">
        <f t="array" ref="X138">Common_InputFunctions.Utility_DisplayArrayInTable(Fertiliser_SourceData.Fertiliser_Products_Data1(),FertiliserProducts[[#Headers],[Include or Exclude]], 0,4)</f>
        <v/>
      </c>
      <c r="Y138" s="197" t="str" cm="1">
        <f t="array" ref="Y138">Common_InputFunctions.Utility_DisplayArrayInTable(Fertiliser_SourceData.Fertiliser_Products_Data1(),FertiliserProducts[[#Headers],[Include or Exclude]], 0,4)</f>
        <v/>
      </c>
      <c r="Z138" s="197" t="str" cm="1">
        <f t="array" ref="Z138">Common_InputFunctions.Utility_DisplayArrayInTable(Fertiliser_SourceData.Fertiliser_Products_Data1(),FertiliserProducts[[#Headers],[Include or Exclude]], 0,4)</f>
        <v/>
      </c>
      <c r="AA138" s="197" t="str" cm="1">
        <f t="array" ref="AA138">Common_InputFunctions.Utility_DisplayArrayInTable(Fertiliser_SourceData.Fertiliser_Products_Data1(),FertiliserProducts[[#Headers],[Include or Exclude]], 0,4)</f>
        <v/>
      </c>
      <c r="AB138" s="197" t="str" cm="1">
        <f t="array" ref="AB138">Common_InputFunctions.Utility_DisplayArrayInTable(Fertiliser_SourceData.Fertiliser_Products_Data1(),FertiliserProducts[[#Headers],[Include or Exclude]], 0,4)</f>
        <v/>
      </c>
      <c r="AC138" s="197" t="str" cm="1">
        <f t="array" ref="AC138">Common_InputFunctions.Utility_DisplayArrayInTable(Fertiliser_SourceData.Fertiliser_Products_Data1(),FertiliserProducts[[#Headers],[Include or Exclude]], 0,4)</f>
        <v/>
      </c>
      <c r="AD138" s="197" t="str" cm="1">
        <f t="array" ref="AD138">Common_InputFunctions.Utility_DisplayArrayInTable(Fertiliser_SourceData.Fertiliser_Products_Data1(),FertiliserProducts[[#Headers],[Include or Exclude]], 0,4)</f>
        <v/>
      </c>
      <c r="AE138" s="197" t="str" cm="1">
        <f t="array" ref="AE138">Common_InputFunctions.Utility_DisplayArrayInTable(Fertiliser_SourceData.Fertiliser_Products_Data1(),FertiliserProducts[[#Headers],[Include or Exclude]], 0,4)</f>
        <v/>
      </c>
    </row>
    <row r="139" spans="4:31" ht="20.100000000000001" customHeight="1" x14ac:dyDescent="0.25">
      <c r="D139" s="197" t="str" cm="1">
        <f t="array" ref="D139">Common_InputFunctions.Utility_DisplayArrayInTable(Fertiliser_SourceData.Fertiliser_Products_Data1(),FertiliserProducts[[#Headers],[Include or Exclude]], -1)</f>
        <v/>
      </c>
      <c r="E139" s="197" t="str" cm="1">
        <f t="array" ref="E139">Common_InputFunctions.Utility_DisplayArrayInTable(Fertiliser_SourceData.Fertiliser_Products_Data1(),FertiliserProducts[[#Headers],[Include or Exclude]], 0)</f>
        <v/>
      </c>
      <c r="F139" s="197" t="str" cm="1">
        <f t="array" ref="F139">Common_InputFunctions.Utility_DisplayArrayInTable(Fertiliser_SourceData.Fertiliser_Products_Data1(),FertiliserProducts[[#Headers],[Include or Exclude]], 0)</f>
        <v/>
      </c>
      <c r="G139" s="197" t="str" cm="1">
        <f t="array" ref="G139">Common_InputFunctions.Utility_DisplayArrayInTable(Fertiliser_SourceData.Fertiliser_Products_Data1(),FertiliserProducts[[#Headers],[Include or Exclude]], 0)</f>
        <v/>
      </c>
      <c r="H139" s="197" t="str" cm="1">
        <f t="array" ref="H139">Common_InputFunctions.Utility_DisplayArrayInTable(Fertiliser_SourceData.Fertiliser_Products_Data1(),FertiliserProducts[[#Headers],[Include or Exclude]], 0,4)</f>
        <v/>
      </c>
      <c r="I139" s="197" t="str" cm="1">
        <f t="array" ref="I139">Common_InputFunctions.Utility_DisplayArrayInTable(Fertiliser_SourceData.Fertiliser_Products_Data1(),FertiliserProducts[[#Headers],[Include or Exclude]], 0,4)</f>
        <v/>
      </c>
      <c r="J139" s="197" t="str" cm="1">
        <f t="array" ref="J139">Common_InputFunctions.Utility_DisplayArrayInTable(Fertiliser_SourceData.Fertiliser_Products_Data1(),FertiliserProducts[[#Headers],[Include or Exclude]], 0,4)</f>
        <v/>
      </c>
      <c r="K139" s="197" t="str" cm="1">
        <f t="array" ref="K139">Common_InputFunctions.Utility_DisplayArrayInTable(Fertiliser_SourceData.Fertiliser_Products_Data1(),FertiliserProducts[[#Headers],[Include or Exclude]], 0,4)</f>
        <v/>
      </c>
      <c r="L139" s="197" t="str" cm="1">
        <f t="array" ref="L139">Common_InputFunctions.Utility_DisplayArrayInTable(Fertiliser_SourceData.Fertiliser_Products_Data1(),FertiliserProducts[[#Headers],[Include or Exclude]], 0,4)</f>
        <v/>
      </c>
      <c r="M139" s="197" t="str" cm="1">
        <f t="array" ref="M139">Common_InputFunctions.Utility_DisplayArrayInTable(Fertiliser_SourceData.Fertiliser_Products_Data1(),FertiliserProducts[[#Headers],[Include or Exclude]], 0,4)</f>
        <v/>
      </c>
      <c r="N139" s="197" t="str" cm="1">
        <f t="array" ref="N139">Common_InputFunctions.Utility_DisplayArrayInTable(Fertiliser_SourceData.Fertiliser_Products_Data1(),FertiliserProducts[[#Headers],[Include or Exclude]], 0,4)</f>
        <v/>
      </c>
      <c r="O139" s="197" t="str" cm="1">
        <f t="array" ref="O139">Common_InputFunctions.Utility_DisplayArrayInTable(Fertiliser_SourceData.Fertiliser_Products_Data1(),FertiliserProducts[[#Headers],[Include or Exclude]], 0,4)</f>
        <v/>
      </c>
      <c r="P139" s="197" t="str" cm="1">
        <f t="array" ref="P139">Common_InputFunctions.Utility_DisplayArrayInTable(Fertiliser_SourceData.Fertiliser_Products_Data1(),FertiliserProducts[[#Headers],[Include or Exclude]], 0,4)</f>
        <v/>
      </c>
      <c r="Q139" s="197" t="str" cm="1">
        <f t="array" ref="Q139">Common_InputFunctions.Utility_DisplayArrayInTable(Fertiliser_SourceData.Fertiliser_Products_Data1(),FertiliserProducts[[#Headers],[Include or Exclude]], 0,4)</f>
        <v/>
      </c>
      <c r="R139" s="197" t="str" cm="1">
        <f t="array" ref="R139">Common_InputFunctions.Utility_DisplayArrayInTable(Fertiliser_SourceData.Fertiliser_Products_Data1(),FertiliserProducts[[#Headers],[Include or Exclude]], 0,4)</f>
        <v/>
      </c>
      <c r="S139" s="197" t="str" cm="1">
        <f t="array" ref="S139">Common_InputFunctions.Utility_DisplayArrayInTable(Fertiliser_SourceData.Fertiliser_Products_Data1(),FertiliserProducts[[#Headers],[Include or Exclude]], 0,4)</f>
        <v/>
      </c>
      <c r="T139" s="197" t="str" cm="1">
        <f t="array" ref="T139">Common_InputFunctions.Utility_DisplayArrayInTable(Fertiliser_SourceData.Fertiliser_Products_Data1(),FertiliserProducts[[#Headers],[Include or Exclude]], 0,4)</f>
        <v/>
      </c>
      <c r="U139" s="197" t="str" cm="1">
        <f t="array" ref="U139">Common_InputFunctions.Utility_DisplayArrayInTable(Fertiliser_SourceData.Fertiliser_Products_Data1(),FertiliserProducts[[#Headers],[Include or Exclude]], 0,4)</f>
        <v/>
      </c>
      <c r="V139" s="197" t="str" cm="1">
        <f t="array" ref="V139">Common_InputFunctions.Utility_DisplayArrayInTable(Fertiliser_SourceData.Fertiliser_Products_Data1(),FertiliserProducts[[#Headers],[Include or Exclude]], 0,4)</f>
        <v/>
      </c>
      <c r="W139" s="197" t="str" cm="1">
        <f t="array" ref="W139">Common_InputFunctions.Utility_DisplayArrayInTable(Fertiliser_SourceData.Fertiliser_Products_Data1(),FertiliserProducts[[#Headers],[Include or Exclude]], 0,4)</f>
        <v/>
      </c>
      <c r="X139" s="197" t="str" cm="1">
        <f t="array" ref="X139">Common_InputFunctions.Utility_DisplayArrayInTable(Fertiliser_SourceData.Fertiliser_Products_Data1(),FertiliserProducts[[#Headers],[Include or Exclude]], 0,4)</f>
        <v/>
      </c>
      <c r="Y139" s="197" t="str" cm="1">
        <f t="array" ref="Y139">Common_InputFunctions.Utility_DisplayArrayInTable(Fertiliser_SourceData.Fertiliser_Products_Data1(),FertiliserProducts[[#Headers],[Include or Exclude]], 0,4)</f>
        <v/>
      </c>
      <c r="Z139" s="197" t="str" cm="1">
        <f t="array" ref="Z139">Common_InputFunctions.Utility_DisplayArrayInTable(Fertiliser_SourceData.Fertiliser_Products_Data1(),FertiliserProducts[[#Headers],[Include or Exclude]], 0,4)</f>
        <v/>
      </c>
      <c r="AA139" s="197" t="str" cm="1">
        <f t="array" ref="AA139">Common_InputFunctions.Utility_DisplayArrayInTable(Fertiliser_SourceData.Fertiliser_Products_Data1(),FertiliserProducts[[#Headers],[Include or Exclude]], 0,4)</f>
        <v/>
      </c>
      <c r="AB139" s="197" t="str" cm="1">
        <f t="array" ref="AB139">Common_InputFunctions.Utility_DisplayArrayInTable(Fertiliser_SourceData.Fertiliser_Products_Data1(),FertiliserProducts[[#Headers],[Include or Exclude]], 0,4)</f>
        <v/>
      </c>
      <c r="AC139" s="197" t="str" cm="1">
        <f t="array" ref="AC139">Common_InputFunctions.Utility_DisplayArrayInTable(Fertiliser_SourceData.Fertiliser_Products_Data1(),FertiliserProducts[[#Headers],[Include or Exclude]], 0,4)</f>
        <v/>
      </c>
      <c r="AD139" s="197" t="str" cm="1">
        <f t="array" ref="AD139">Common_InputFunctions.Utility_DisplayArrayInTable(Fertiliser_SourceData.Fertiliser_Products_Data1(),FertiliserProducts[[#Headers],[Include or Exclude]], 0,4)</f>
        <v/>
      </c>
      <c r="AE139" s="197" t="str" cm="1">
        <f t="array" ref="AE139">Common_InputFunctions.Utility_DisplayArrayInTable(Fertiliser_SourceData.Fertiliser_Products_Data1(),FertiliserProducts[[#Headers],[Include or Exclude]], 0,4)</f>
        <v/>
      </c>
    </row>
    <row r="140" spans="4:31" ht="20.100000000000001" customHeight="1" x14ac:dyDescent="0.25">
      <c r="D140" s="197" t="str" cm="1">
        <f t="array" ref="D140">Common_InputFunctions.Utility_DisplayArrayInTable(Fertiliser_SourceData.Fertiliser_Products_Data1(),FertiliserProducts[[#Headers],[Include or Exclude]], -1)</f>
        <v/>
      </c>
      <c r="E140" s="197" t="str" cm="1">
        <f t="array" ref="E140">Common_InputFunctions.Utility_DisplayArrayInTable(Fertiliser_SourceData.Fertiliser_Products_Data1(),FertiliserProducts[[#Headers],[Include or Exclude]], 0)</f>
        <v/>
      </c>
      <c r="F140" s="197" t="str" cm="1">
        <f t="array" ref="F140">Common_InputFunctions.Utility_DisplayArrayInTable(Fertiliser_SourceData.Fertiliser_Products_Data1(),FertiliserProducts[[#Headers],[Include or Exclude]], 0)</f>
        <v/>
      </c>
      <c r="G140" s="197" t="str" cm="1">
        <f t="array" ref="G140">Common_InputFunctions.Utility_DisplayArrayInTable(Fertiliser_SourceData.Fertiliser_Products_Data1(),FertiliserProducts[[#Headers],[Include or Exclude]], 0)</f>
        <v/>
      </c>
      <c r="H140" s="197" t="str" cm="1">
        <f t="array" ref="H140">Common_InputFunctions.Utility_DisplayArrayInTable(Fertiliser_SourceData.Fertiliser_Products_Data1(),FertiliserProducts[[#Headers],[Include or Exclude]], 0,4)</f>
        <v/>
      </c>
      <c r="I140" s="197" t="str" cm="1">
        <f t="array" ref="I140">Common_InputFunctions.Utility_DisplayArrayInTable(Fertiliser_SourceData.Fertiliser_Products_Data1(),FertiliserProducts[[#Headers],[Include or Exclude]], 0,4)</f>
        <v/>
      </c>
      <c r="J140" s="197" t="str" cm="1">
        <f t="array" ref="J140">Common_InputFunctions.Utility_DisplayArrayInTable(Fertiliser_SourceData.Fertiliser_Products_Data1(),FertiliserProducts[[#Headers],[Include or Exclude]], 0,4)</f>
        <v/>
      </c>
      <c r="K140" s="197" t="str" cm="1">
        <f t="array" ref="K140">Common_InputFunctions.Utility_DisplayArrayInTable(Fertiliser_SourceData.Fertiliser_Products_Data1(),FertiliserProducts[[#Headers],[Include or Exclude]], 0,4)</f>
        <v/>
      </c>
      <c r="L140" s="197" t="str" cm="1">
        <f t="array" ref="L140">Common_InputFunctions.Utility_DisplayArrayInTable(Fertiliser_SourceData.Fertiliser_Products_Data1(),FertiliserProducts[[#Headers],[Include or Exclude]], 0,4)</f>
        <v/>
      </c>
      <c r="M140" s="197" t="str" cm="1">
        <f t="array" ref="M140">Common_InputFunctions.Utility_DisplayArrayInTable(Fertiliser_SourceData.Fertiliser_Products_Data1(),FertiliserProducts[[#Headers],[Include or Exclude]], 0,4)</f>
        <v/>
      </c>
      <c r="N140" s="197" t="str" cm="1">
        <f t="array" ref="N140">Common_InputFunctions.Utility_DisplayArrayInTable(Fertiliser_SourceData.Fertiliser_Products_Data1(),FertiliserProducts[[#Headers],[Include or Exclude]], 0,4)</f>
        <v/>
      </c>
      <c r="O140" s="197" t="str" cm="1">
        <f t="array" ref="O140">Common_InputFunctions.Utility_DisplayArrayInTable(Fertiliser_SourceData.Fertiliser_Products_Data1(),FertiliserProducts[[#Headers],[Include or Exclude]], 0,4)</f>
        <v/>
      </c>
      <c r="P140" s="197" t="str" cm="1">
        <f t="array" ref="P140">Common_InputFunctions.Utility_DisplayArrayInTable(Fertiliser_SourceData.Fertiliser_Products_Data1(),FertiliserProducts[[#Headers],[Include or Exclude]], 0,4)</f>
        <v/>
      </c>
      <c r="Q140" s="197" t="str" cm="1">
        <f t="array" ref="Q140">Common_InputFunctions.Utility_DisplayArrayInTable(Fertiliser_SourceData.Fertiliser_Products_Data1(),FertiliserProducts[[#Headers],[Include or Exclude]], 0,4)</f>
        <v/>
      </c>
      <c r="R140" s="197" t="str" cm="1">
        <f t="array" ref="R140">Common_InputFunctions.Utility_DisplayArrayInTable(Fertiliser_SourceData.Fertiliser_Products_Data1(),FertiliserProducts[[#Headers],[Include or Exclude]], 0,4)</f>
        <v/>
      </c>
      <c r="S140" s="197" t="str" cm="1">
        <f t="array" ref="S140">Common_InputFunctions.Utility_DisplayArrayInTable(Fertiliser_SourceData.Fertiliser_Products_Data1(),FertiliserProducts[[#Headers],[Include or Exclude]], 0,4)</f>
        <v/>
      </c>
      <c r="T140" s="197" t="str" cm="1">
        <f t="array" ref="T140">Common_InputFunctions.Utility_DisplayArrayInTable(Fertiliser_SourceData.Fertiliser_Products_Data1(),FertiliserProducts[[#Headers],[Include or Exclude]], 0,4)</f>
        <v/>
      </c>
      <c r="U140" s="197" t="str" cm="1">
        <f t="array" ref="U140">Common_InputFunctions.Utility_DisplayArrayInTable(Fertiliser_SourceData.Fertiliser_Products_Data1(),FertiliserProducts[[#Headers],[Include or Exclude]], 0,4)</f>
        <v/>
      </c>
      <c r="V140" s="197" t="str" cm="1">
        <f t="array" ref="V140">Common_InputFunctions.Utility_DisplayArrayInTable(Fertiliser_SourceData.Fertiliser_Products_Data1(),FertiliserProducts[[#Headers],[Include or Exclude]], 0,4)</f>
        <v/>
      </c>
      <c r="W140" s="197" t="str" cm="1">
        <f t="array" ref="W140">Common_InputFunctions.Utility_DisplayArrayInTable(Fertiliser_SourceData.Fertiliser_Products_Data1(),FertiliserProducts[[#Headers],[Include or Exclude]], 0,4)</f>
        <v/>
      </c>
      <c r="X140" s="197" t="str" cm="1">
        <f t="array" ref="X140">Common_InputFunctions.Utility_DisplayArrayInTable(Fertiliser_SourceData.Fertiliser_Products_Data1(),FertiliserProducts[[#Headers],[Include or Exclude]], 0,4)</f>
        <v/>
      </c>
      <c r="Y140" s="197" t="str" cm="1">
        <f t="array" ref="Y140">Common_InputFunctions.Utility_DisplayArrayInTable(Fertiliser_SourceData.Fertiliser_Products_Data1(),FertiliserProducts[[#Headers],[Include or Exclude]], 0,4)</f>
        <v/>
      </c>
      <c r="Z140" s="197" t="str" cm="1">
        <f t="array" ref="Z140">Common_InputFunctions.Utility_DisplayArrayInTable(Fertiliser_SourceData.Fertiliser_Products_Data1(),FertiliserProducts[[#Headers],[Include or Exclude]], 0,4)</f>
        <v/>
      </c>
      <c r="AA140" s="197" t="str" cm="1">
        <f t="array" ref="AA140">Common_InputFunctions.Utility_DisplayArrayInTable(Fertiliser_SourceData.Fertiliser_Products_Data1(),FertiliserProducts[[#Headers],[Include or Exclude]], 0,4)</f>
        <v/>
      </c>
      <c r="AB140" s="197" t="str" cm="1">
        <f t="array" ref="AB140">Common_InputFunctions.Utility_DisplayArrayInTable(Fertiliser_SourceData.Fertiliser_Products_Data1(),FertiliserProducts[[#Headers],[Include or Exclude]], 0,4)</f>
        <v/>
      </c>
      <c r="AC140" s="197" t="str" cm="1">
        <f t="array" ref="AC140">Common_InputFunctions.Utility_DisplayArrayInTable(Fertiliser_SourceData.Fertiliser_Products_Data1(),FertiliserProducts[[#Headers],[Include or Exclude]], 0,4)</f>
        <v/>
      </c>
      <c r="AD140" s="197" t="str" cm="1">
        <f t="array" ref="AD140">Common_InputFunctions.Utility_DisplayArrayInTable(Fertiliser_SourceData.Fertiliser_Products_Data1(),FertiliserProducts[[#Headers],[Include or Exclude]], 0,4)</f>
        <v/>
      </c>
      <c r="AE140" s="197" t="str" cm="1">
        <f t="array" ref="AE140">Common_InputFunctions.Utility_DisplayArrayInTable(Fertiliser_SourceData.Fertiliser_Products_Data1(),FertiliserProducts[[#Headers],[Include or Exclude]], 0,4)</f>
        <v/>
      </c>
    </row>
    <row r="141" spans="4:31" ht="20.100000000000001" customHeight="1" x14ac:dyDescent="0.25">
      <c r="D141" s="197" t="str" cm="1">
        <f t="array" ref="D141">Common_InputFunctions.Utility_DisplayArrayInTable(Fertiliser_SourceData.Fertiliser_Products_Data1(),FertiliserProducts[[#Headers],[Include or Exclude]], -1)</f>
        <v/>
      </c>
      <c r="E141" s="197" t="str" cm="1">
        <f t="array" ref="E141">Common_InputFunctions.Utility_DisplayArrayInTable(Fertiliser_SourceData.Fertiliser_Products_Data1(),FertiliserProducts[[#Headers],[Include or Exclude]], 0)</f>
        <v/>
      </c>
      <c r="F141" s="197" t="str" cm="1">
        <f t="array" ref="F141">Common_InputFunctions.Utility_DisplayArrayInTable(Fertiliser_SourceData.Fertiliser_Products_Data1(),FertiliserProducts[[#Headers],[Include or Exclude]], 0)</f>
        <v/>
      </c>
      <c r="G141" s="197" t="str" cm="1">
        <f t="array" ref="G141">Common_InputFunctions.Utility_DisplayArrayInTable(Fertiliser_SourceData.Fertiliser_Products_Data1(),FertiliserProducts[[#Headers],[Include or Exclude]], 0)</f>
        <v/>
      </c>
      <c r="H141" s="197" t="str" cm="1">
        <f t="array" ref="H141">Common_InputFunctions.Utility_DisplayArrayInTable(Fertiliser_SourceData.Fertiliser_Products_Data1(),FertiliserProducts[[#Headers],[Include or Exclude]], 0,4)</f>
        <v/>
      </c>
      <c r="I141" s="197" t="str" cm="1">
        <f t="array" ref="I141">Common_InputFunctions.Utility_DisplayArrayInTable(Fertiliser_SourceData.Fertiliser_Products_Data1(),FertiliserProducts[[#Headers],[Include or Exclude]], 0,4)</f>
        <v/>
      </c>
      <c r="J141" s="197" t="str" cm="1">
        <f t="array" ref="J141">Common_InputFunctions.Utility_DisplayArrayInTable(Fertiliser_SourceData.Fertiliser_Products_Data1(),FertiliserProducts[[#Headers],[Include or Exclude]], 0,4)</f>
        <v/>
      </c>
      <c r="K141" s="197" t="str" cm="1">
        <f t="array" ref="K141">Common_InputFunctions.Utility_DisplayArrayInTable(Fertiliser_SourceData.Fertiliser_Products_Data1(),FertiliserProducts[[#Headers],[Include or Exclude]], 0,4)</f>
        <v/>
      </c>
      <c r="L141" s="197" t="str" cm="1">
        <f t="array" ref="L141">Common_InputFunctions.Utility_DisplayArrayInTable(Fertiliser_SourceData.Fertiliser_Products_Data1(),FertiliserProducts[[#Headers],[Include or Exclude]], 0,4)</f>
        <v/>
      </c>
      <c r="M141" s="197" t="str" cm="1">
        <f t="array" ref="M141">Common_InputFunctions.Utility_DisplayArrayInTable(Fertiliser_SourceData.Fertiliser_Products_Data1(),FertiliserProducts[[#Headers],[Include or Exclude]], 0,4)</f>
        <v/>
      </c>
      <c r="N141" s="197" t="str" cm="1">
        <f t="array" ref="N141">Common_InputFunctions.Utility_DisplayArrayInTable(Fertiliser_SourceData.Fertiliser_Products_Data1(),FertiliserProducts[[#Headers],[Include or Exclude]], 0,4)</f>
        <v/>
      </c>
      <c r="O141" s="197" t="str" cm="1">
        <f t="array" ref="O141">Common_InputFunctions.Utility_DisplayArrayInTable(Fertiliser_SourceData.Fertiliser_Products_Data1(),FertiliserProducts[[#Headers],[Include or Exclude]], 0,4)</f>
        <v/>
      </c>
      <c r="P141" s="197" t="str" cm="1">
        <f t="array" ref="P141">Common_InputFunctions.Utility_DisplayArrayInTable(Fertiliser_SourceData.Fertiliser_Products_Data1(),FertiliserProducts[[#Headers],[Include or Exclude]], 0,4)</f>
        <v/>
      </c>
      <c r="Q141" s="197" t="str" cm="1">
        <f t="array" ref="Q141">Common_InputFunctions.Utility_DisplayArrayInTable(Fertiliser_SourceData.Fertiliser_Products_Data1(),FertiliserProducts[[#Headers],[Include or Exclude]], 0,4)</f>
        <v/>
      </c>
      <c r="R141" s="197" t="str" cm="1">
        <f t="array" ref="R141">Common_InputFunctions.Utility_DisplayArrayInTable(Fertiliser_SourceData.Fertiliser_Products_Data1(),FertiliserProducts[[#Headers],[Include or Exclude]], 0,4)</f>
        <v/>
      </c>
      <c r="S141" s="197" t="str" cm="1">
        <f t="array" ref="S141">Common_InputFunctions.Utility_DisplayArrayInTable(Fertiliser_SourceData.Fertiliser_Products_Data1(),FertiliserProducts[[#Headers],[Include or Exclude]], 0,4)</f>
        <v/>
      </c>
      <c r="T141" s="197" t="str" cm="1">
        <f t="array" ref="T141">Common_InputFunctions.Utility_DisplayArrayInTable(Fertiliser_SourceData.Fertiliser_Products_Data1(),FertiliserProducts[[#Headers],[Include or Exclude]], 0,4)</f>
        <v/>
      </c>
      <c r="U141" s="197" t="str" cm="1">
        <f t="array" ref="U141">Common_InputFunctions.Utility_DisplayArrayInTable(Fertiliser_SourceData.Fertiliser_Products_Data1(),FertiliserProducts[[#Headers],[Include or Exclude]], 0,4)</f>
        <v/>
      </c>
      <c r="V141" s="197" t="str" cm="1">
        <f t="array" ref="V141">Common_InputFunctions.Utility_DisplayArrayInTable(Fertiliser_SourceData.Fertiliser_Products_Data1(),FertiliserProducts[[#Headers],[Include or Exclude]], 0,4)</f>
        <v/>
      </c>
      <c r="W141" s="197" t="str" cm="1">
        <f t="array" ref="W141">Common_InputFunctions.Utility_DisplayArrayInTable(Fertiliser_SourceData.Fertiliser_Products_Data1(),FertiliserProducts[[#Headers],[Include or Exclude]], 0,4)</f>
        <v/>
      </c>
      <c r="X141" s="197" t="str" cm="1">
        <f t="array" ref="X141">Common_InputFunctions.Utility_DisplayArrayInTable(Fertiliser_SourceData.Fertiliser_Products_Data1(),FertiliserProducts[[#Headers],[Include or Exclude]], 0,4)</f>
        <v/>
      </c>
      <c r="Y141" s="197" t="str" cm="1">
        <f t="array" ref="Y141">Common_InputFunctions.Utility_DisplayArrayInTable(Fertiliser_SourceData.Fertiliser_Products_Data1(),FertiliserProducts[[#Headers],[Include or Exclude]], 0,4)</f>
        <v/>
      </c>
      <c r="Z141" s="197" t="str" cm="1">
        <f t="array" ref="Z141">Common_InputFunctions.Utility_DisplayArrayInTable(Fertiliser_SourceData.Fertiliser_Products_Data1(),FertiliserProducts[[#Headers],[Include or Exclude]], 0,4)</f>
        <v/>
      </c>
      <c r="AA141" s="197" t="str" cm="1">
        <f t="array" ref="AA141">Common_InputFunctions.Utility_DisplayArrayInTable(Fertiliser_SourceData.Fertiliser_Products_Data1(),FertiliserProducts[[#Headers],[Include or Exclude]], 0,4)</f>
        <v/>
      </c>
      <c r="AB141" s="197" t="str" cm="1">
        <f t="array" ref="AB141">Common_InputFunctions.Utility_DisplayArrayInTable(Fertiliser_SourceData.Fertiliser_Products_Data1(),FertiliserProducts[[#Headers],[Include or Exclude]], 0,4)</f>
        <v/>
      </c>
      <c r="AC141" s="197" t="str" cm="1">
        <f t="array" ref="AC141">Common_InputFunctions.Utility_DisplayArrayInTable(Fertiliser_SourceData.Fertiliser_Products_Data1(),FertiliserProducts[[#Headers],[Include or Exclude]], 0,4)</f>
        <v/>
      </c>
      <c r="AD141" s="197" t="str" cm="1">
        <f t="array" ref="AD141">Common_InputFunctions.Utility_DisplayArrayInTable(Fertiliser_SourceData.Fertiliser_Products_Data1(),FertiliserProducts[[#Headers],[Include or Exclude]], 0,4)</f>
        <v/>
      </c>
      <c r="AE141" s="197" t="str" cm="1">
        <f t="array" ref="AE141">Common_InputFunctions.Utility_DisplayArrayInTable(Fertiliser_SourceData.Fertiliser_Products_Data1(),FertiliserProducts[[#Headers],[Include or Exclude]], 0,4)</f>
        <v/>
      </c>
    </row>
    <row r="142" spans="4:31" ht="20.100000000000001" customHeight="1" x14ac:dyDescent="0.25">
      <c r="D142" s="197" t="str" cm="1">
        <f t="array" ref="D142">Common_InputFunctions.Utility_DisplayArrayInTable(Fertiliser_SourceData.Fertiliser_Products_Data1(),FertiliserProducts[[#Headers],[Include or Exclude]], -1)</f>
        <v/>
      </c>
      <c r="E142" s="197" t="str" cm="1">
        <f t="array" ref="E142">Common_InputFunctions.Utility_DisplayArrayInTable(Fertiliser_SourceData.Fertiliser_Products_Data1(),FertiliserProducts[[#Headers],[Include or Exclude]], 0)</f>
        <v/>
      </c>
      <c r="F142" s="197" t="str" cm="1">
        <f t="array" ref="F142">Common_InputFunctions.Utility_DisplayArrayInTable(Fertiliser_SourceData.Fertiliser_Products_Data1(),FertiliserProducts[[#Headers],[Include or Exclude]], 0)</f>
        <v/>
      </c>
      <c r="G142" s="197" t="str" cm="1">
        <f t="array" ref="G142">Common_InputFunctions.Utility_DisplayArrayInTable(Fertiliser_SourceData.Fertiliser_Products_Data1(),FertiliserProducts[[#Headers],[Include or Exclude]], 0)</f>
        <v/>
      </c>
      <c r="H142" s="197" t="str" cm="1">
        <f t="array" ref="H142">Common_InputFunctions.Utility_DisplayArrayInTable(Fertiliser_SourceData.Fertiliser_Products_Data1(),FertiliserProducts[[#Headers],[Include or Exclude]], 0,4)</f>
        <v/>
      </c>
      <c r="I142" s="197" t="str" cm="1">
        <f t="array" ref="I142">Common_InputFunctions.Utility_DisplayArrayInTable(Fertiliser_SourceData.Fertiliser_Products_Data1(),FertiliserProducts[[#Headers],[Include or Exclude]], 0,4)</f>
        <v/>
      </c>
      <c r="J142" s="197" t="str" cm="1">
        <f t="array" ref="J142">Common_InputFunctions.Utility_DisplayArrayInTable(Fertiliser_SourceData.Fertiliser_Products_Data1(),FertiliserProducts[[#Headers],[Include or Exclude]], 0,4)</f>
        <v/>
      </c>
      <c r="K142" s="197" t="str" cm="1">
        <f t="array" ref="K142">Common_InputFunctions.Utility_DisplayArrayInTable(Fertiliser_SourceData.Fertiliser_Products_Data1(),FertiliserProducts[[#Headers],[Include or Exclude]], 0,4)</f>
        <v/>
      </c>
      <c r="L142" s="197" t="str" cm="1">
        <f t="array" ref="L142">Common_InputFunctions.Utility_DisplayArrayInTable(Fertiliser_SourceData.Fertiliser_Products_Data1(),FertiliserProducts[[#Headers],[Include or Exclude]], 0,4)</f>
        <v/>
      </c>
      <c r="M142" s="197" t="str" cm="1">
        <f t="array" ref="M142">Common_InputFunctions.Utility_DisplayArrayInTable(Fertiliser_SourceData.Fertiliser_Products_Data1(),FertiliserProducts[[#Headers],[Include or Exclude]], 0,4)</f>
        <v/>
      </c>
      <c r="N142" s="197" t="str" cm="1">
        <f t="array" ref="N142">Common_InputFunctions.Utility_DisplayArrayInTable(Fertiliser_SourceData.Fertiliser_Products_Data1(),FertiliserProducts[[#Headers],[Include or Exclude]], 0,4)</f>
        <v/>
      </c>
      <c r="O142" s="197" t="str" cm="1">
        <f t="array" ref="O142">Common_InputFunctions.Utility_DisplayArrayInTable(Fertiliser_SourceData.Fertiliser_Products_Data1(),FertiliserProducts[[#Headers],[Include or Exclude]], 0,4)</f>
        <v/>
      </c>
      <c r="P142" s="197" t="str" cm="1">
        <f t="array" ref="P142">Common_InputFunctions.Utility_DisplayArrayInTable(Fertiliser_SourceData.Fertiliser_Products_Data1(),FertiliserProducts[[#Headers],[Include or Exclude]], 0,4)</f>
        <v/>
      </c>
      <c r="Q142" s="197" t="str" cm="1">
        <f t="array" ref="Q142">Common_InputFunctions.Utility_DisplayArrayInTable(Fertiliser_SourceData.Fertiliser_Products_Data1(),FertiliserProducts[[#Headers],[Include or Exclude]], 0,4)</f>
        <v/>
      </c>
      <c r="R142" s="197" t="str" cm="1">
        <f t="array" ref="R142">Common_InputFunctions.Utility_DisplayArrayInTable(Fertiliser_SourceData.Fertiliser_Products_Data1(),FertiliserProducts[[#Headers],[Include or Exclude]], 0,4)</f>
        <v/>
      </c>
      <c r="S142" s="197" t="str" cm="1">
        <f t="array" ref="S142">Common_InputFunctions.Utility_DisplayArrayInTable(Fertiliser_SourceData.Fertiliser_Products_Data1(),FertiliserProducts[[#Headers],[Include or Exclude]], 0,4)</f>
        <v/>
      </c>
      <c r="T142" s="197" t="str" cm="1">
        <f t="array" ref="T142">Common_InputFunctions.Utility_DisplayArrayInTable(Fertiliser_SourceData.Fertiliser_Products_Data1(),FertiliserProducts[[#Headers],[Include or Exclude]], 0,4)</f>
        <v/>
      </c>
      <c r="U142" s="197" t="str" cm="1">
        <f t="array" ref="U142">Common_InputFunctions.Utility_DisplayArrayInTable(Fertiliser_SourceData.Fertiliser_Products_Data1(),FertiliserProducts[[#Headers],[Include or Exclude]], 0,4)</f>
        <v/>
      </c>
      <c r="V142" s="197" t="str" cm="1">
        <f t="array" ref="V142">Common_InputFunctions.Utility_DisplayArrayInTable(Fertiliser_SourceData.Fertiliser_Products_Data1(),FertiliserProducts[[#Headers],[Include or Exclude]], 0,4)</f>
        <v/>
      </c>
      <c r="W142" s="197" t="str" cm="1">
        <f t="array" ref="W142">Common_InputFunctions.Utility_DisplayArrayInTable(Fertiliser_SourceData.Fertiliser_Products_Data1(),FertiliserProducts[[#Headers],[Include or Exclude]], 0,4)</f>
        <v/>
      </c>
      <c r="X142" s="197" t="str" cm="1">
        <f t="array" ref="X142">Common_InputFunctions.Utility_DisplayArrayInTable(Fertiliser_SourceData.Fertiliser_Products_Data1(),FertiliserProducts[[#Headers],[Include or Exclude]], 0,4)</f>
        <v/>
      </c>
      <c r="Y142" s="197" t="str" cm="1">
        <f t="array" ref="Y142">Common_InputFunctions.Utility_DisplayArrayInTable(Fertiliser_SourceData.Fertiliser_Products_Data1(),FertiliserProducts[[#Headers],[Include or Exclude]], 0,4)</f>
        <v/>
      </c>
      <c r="Z142" s="197" t="str" cm="1">
        <f t="array" ref="Z142">Common_InputFunctions.Utility_DisplayArrayInTable(Fertiliser_SourceData.Fertiliser_Products_Data1(),FertiliserProducts[[#Headers],[Include or Exclude]], 0,4)</f>
        <v/>
      </c>
      <c r="AA142" s="197" t="str" cm="1">
        <f t="array" ref="AA142">Common_InputFunctions.Utility_DisplayArrayInTable(Fertiliser_SourceData.Fertiliser_Products_Data1(),FertiliserProducts[[#Headers],[Include or Exclude]], 0,4)</f>
        <v/>
      </c>
      <c r="AB142" s="197" t="str" cm="1">
        <f t="array" ref="AB142">Common_InputFunctions.Utility_DisplayArrayInTable(Fertiliser_SourceData.Fertiliser_Products_Data1(),FertiliserProducts[[#Headers],[Include or Exclude]], 0,4)</f>
        <v/>
      </c>
      <c r="AC142" s="197" t="str" cm="1">
        <f t="array" ref="AC142">Common_InputFunctions.Utility_DisplayArrayInTable(Fertiliser_SourceData.Fertiliser_Products_Data1(),FertiliserProducts[[#Headers],[Include or Exclude]], 0,4)</f>
        <v/>
      </c>
      <c r="AD142" s="197" t="str" cm="1">
        <f t="array" ref="AD142">Common_InputFunctions.Utility_DisplayArrayInTable(Fertiliser_SourceData.Fertiliser_Products_Data1(),FertiliserProducts[[#Headers],[Include or Exclude]], 0,4)</f>
        <v/>
      </c>
      <c r="AE142" s="197" t="str" cm="1">
        <f t="array" ref="AE142">Common_InputFunctions.Utility_DisplayArrayInTable(Fertiliser_SourceData.Fertiliser_Products_Data1(),FertiliserProducts[[#Headers],[Include or Exclude]], 0,4)</f>
        <v/>
      </c>
    </row>
    <row r="143" spans="4:31" ht="20.100000000000001" customHeight="1" x14ac:dyDescent="0.25">
      <c r="D143" s="197" t="str" cm="1">
        <f t="array" ref="D143">Common_InputFunctions.Utility_DisplayArrayInTable(Fertiliser_SourceData.Fertiliser_Products_Data1(),FertiliserProducts[[#Headers],[Include or Exclude]], -1)</f>
        <v/>
      </c>
      <c r="E143" s="197" t="str" cm="1">
        <f t="array" ref="E143">Common_InputFunctions.Utility_DisplayArrayInTable(Fertiliser_SourceData.Fertiliser_Products_Data1(),FertiliserProducts[[#Headers],[Include or Exclude]], 0)</f>
        <v/>
      </c>
      <c r="F143" s="197" t="str" cm="1">
        <f t="array" ref="F143">Common_InputFunctions.Utility_DisplayArrayInTable(Fertiliser_SourceData.Fertiliser_Products_Data1(),FertiliserProducts[[#Headers],[Include or Exclude]], 0)</f>
        <v/>
      </c>
      <c r="G143" s="197" t="str" cm="1">
        <f t="array" ref="G143">Common_InputFunctions.Utility_DisplayArrayInTable(Fertiliser_SourceData.Fertiliser_Products_Data1(),FertiliserProducts[[#Headers],[Include or Exclude]], 0)</f>
        <v/>
      </c>
      <c r="H143" s="197" t="str" cm="1">
        <f t="array" ref="H143">Common_InputFunctions.Utility_DisplayArrayInTable(Fertiliser_SourceData.Fertiliser_Products_Data1(),FertiliserProducts[[#Headers],[Include or Exclude]], 0,4)</f>
        <v/>
      </c>
      <c r="I143" s="197" t="str" cm="1">
        <f t="array" ref="I143">Common_InputFunctions.Utility_DisplayArrayInTable(Fertiliser_SourceData.Fertiliser_Products_Data1(),FertiliserProducts[[#Headers],[Include or Exclude]], 0,4)</f>
        <v/>
      </c>
      <c r="J143" s="197" t="str" cm="1">
        <f t="array" ref="J143">Common_InputFunctions.Utility_DisplayArrayInTable(Fertiliser_SourceData.Fertiliser_Products_Data1(),FertiliserProducts[[#Headers],[Include or Exclude]], 0,4)</f>
        <v/>
      </c>
      <c r="K143" s="197" t="str" cm="1">
        <f t="array" ref="K143">Common_InputFunctions.Utility_DisplayArrayInTable(Fertiliser_SourceData.Fertiliser_Products_Data1(),FertiliserProducts[[#Headers],[Include or Exclude]], 0,4)</f>
        <v/>
      </c>
      <c r="L143" s="197" t="str" cm="1">
        <f t="array" ref="L143">Common_InputFunctions.Utility_DisplayArrayInTable(Fertiliser_SourceData.Fertiliser_Products_Data1(),FertiliserProducts[[#Headers],[Include or Exclude]], 0,4)</f>
        <v/>
      </c>
      <c r="M143" s="197" t="str" cm="1">
        <f t="array" ref="M143">Common_InputFunctions.Utility_DisplayArrayInTable(Fertiliser_SourceData.Fertiliser_Products_Data1(),FertiliserProducts[[#Headers],[Include or Exclude]], 0,4)</f>
        <v/>
      </c>
      <c r="N143" s="197" t="str" cm="1">
        <f t="array" ref="N143">Common_InputFunctions.Utility_DisplayArrayInTable(Fertiliser_SourceData.Fertiliser_Products_Data1(),FertiliserProducts[[#Headers],[Include or Exclude]], 0,4)</f>
        <v/>
      </c>
      <c r="O143" s="197" t="str" cm="1">
        <f t="array" ref="O143">Common_InputFunctions.Utility_DisplayArrayInTable(Fertiliser_SourceData.Fertiliser_Products_Data1(),FertiliserProducts[[#Headers],[Include or Exclude]], 0,4)</f>
        <v/>
      </c>
      <c r="P143" s="197" t="str" cm="1">
        <f t="array" ref="P143">Common_InputFunctions.Utility_DisplayArrayInTable(Fertiliser_SourceData.Fertiliser_Products_Data1(),FertiliserProducts[[#Headers],[Include or Exclude]], 0,4)</f>
        <v/>
      </c>
      <c r="Q143" s="197" t="str" cm="1">
        <f t="array" ref="Q143">Common_InputFunctions.Utility_DisplayArrayInTable(Fertiliser_SourceData.Fertiliser_Products_Data1(),FertiliserProducts[[#Headers],[Include or Exclude]], 0,4)</f>
        <v/>
      </c>
      <c r="R143" s="197" t="str" cm="1">
        <f t="array" ref="R143">Common_InputFunctions.Utility_DisplayArrayInTable(Fertiliser_SourceData.Fertiliser_Products_Data1(),FertiliserProducts[[#Headers],[Include or Exclude]], 0,4)</f>
        <v/>
      </c>
      <c r="S143" s="197" t="str" cm="1">
        <f t="array" ref="S143">Common_InputFunctions.Utility_DisplayArrayInTable(Fertiliser_SourceData.Fertiliser_Products_Data1(),FertiliserProducts[[#Headers],[Include or Exclude]], 0,4)</f>
        <v/>
      </c>
      <c r="T143" s="197" t="str" cm="1">
        <f t="array" ref="T143">Common_InputFunctions.Utility_DisplayArrayInTable(Fertiliser_SourceData.Fertiliser_Products_Data1(),FertiliserProducts[[#Headers],[Include or Exclude]], 0,4)</f>
        <v/>
      </c>
      <c r="U143" s="197" t="str" cm="1">
        <f t="array" ref="U143">Common_InputFunctions.Utility_DisplayArrayInTable(Fertiliser_SourceData.Fertiliser_Products_Data1(),FertiliserProducts[[#Headers],[Include or Exclude]], 0,4)</f>
        <v/>
      </c>
      <c r="V143" s="197" t="str" cm="1">
        <f t="array" ref="V143">Common_InputFunctions.Utility_DisplayArrayInTable(Fertiliser_SourceData.Fertiliser_Products_Data1(),FertiliserProducts[[#Headers],[Include or Exclude]], 0,4)</f>
        <v/>
      </c>
      <c r="W143" s="197" t="str" cm="1">
        <f t="array" ref="W143">Common_InputFunctions.Utility_DisplayArrayInTable(Fertiliser_SourceData.Fertiliser_Products_Data1(),FertiliserProducts[[#Headers],[Include or Exclude]], 0,4)</f>
        <v/>
      </c>
      <c r="X143" s="197" t="str" cm="1">
        <f t="array" ref="X143">Common_InputFunctions.Utility_DisplayArrayInTable(Fertiliser_SourceData.Fertiliser_Products_Data1(),FertiliserProducts[[#Headers],[Include or Exclude]], 0,4)</f>
        <v/>
      </c>
      <c r="Y143" s="197" t="str" cm="1">
        <f t="array" ref="Y143">Common_InputFunctions.Utility_DisplayArrayInTable(Fertiliser_SourceData.Fertiliser_Products_Data1(),FertiliserProducts[[#Headers],[Include or Exclude]], 0,4)</f>
        <v/>
      </c>
      <c r="Z143" s="197" t="str" cm="1">
        <f t="array" ref="Z143">Common_InputFunctions.Utility_DisplayArrayInTable(Fertiliser_SourceData.Fertiliser_Products_Data1(),FertiliserProducts[[#Headers],[Include or Exclude]], 0,4)</f>
        <v/>
      </c>
      <c r="AA143" s="197" t="str" cm="1">
        <f t="array" ref="AA143">Common_InputFunctions.Utility_DisplayArrayInTable(Fertiliser_SourceData.Fertiliser_Products_Data1(),FertiliserProducts[[#Headers],[Include or Exclude]], 0,4)</f>
        <v/>
      </c>
      <c r="AB143" s="197" t="str" cm="1">
        <f t="array" ref="AB143">Common_InputFunctions.Utility_DisplayArrayInTable(Fertiliser_SourceData.Fertiliser_Products_Data1(),FertiliserProducts[[#Headers],[Include or Exclude]], 0,4)</f>
        <v/>
      </c>
      <c r="AC143" s="197" t="str" cm="1">
        <f t="array" ref="AC143">Common_InputFunctions.Utility_DisplayArrayInTable(Fertiliser_SourceData.Fertiliser_Products_Data1(),FertiliserProducts[[#Headers],[Include or Exclude]], 0,4)</f>
        <v/>
      </c>
      <c r="AD143" s="197" t="str" cm="1">
        <f t="array" ref="AD143">Common_InputFunctions.Utility_DisplayArrayInTable(Fertiliser_SourceData.Fertiliser_Products_Data1(),FertiliserProducts[[#Headers],[Include or Exclude]], 0,4)</f>
        <v/>
      </c>
      <c r="AE143" s="197" t="str" cm="1">
        <f t="array" ref="AE143">Common_InputFunctions.Utility_DisplayArrayInTable(Fertiliser_SourceData.Fertiliser_Products_Data1(),FertiliserProducts[[#Headers],[Include or Exclude]], 0,4)</f>
        <v/>
      </c>
    </row>
    <row r="144" spans="4:31" ht="20.100000000000001" customHeight="1" x14ac:dyDescent="0.25">
      <c r="D144" s="197" t="str" cm="1">
        <f t="array" ref="D144">Common_InputFunctions.Utility_DisplayArrayInTable(Fertiliser_SourceData.Fertiliser_Products_Data1(),FertiliserProducts[[#Headers],[Include or Exclude]], -1)</f>
        <v/>
      </c>
      <c r="E144" s="197" t="str" cm="1">
        <f t="array" ref="E144">Common_InputFunctions.Utility_DisplayArrayInTable(Fertiliser_SourceData.Fertiliser_Products_Data1(),FertiliserProducts[[#Headers],[Include or Exclude]], 0)</f>
        <v/>
      </c>
      <c r="F144" s="197" t="str" cm="1">
        <f t="array" ref="F144">Common_InputFunctions.Utility_DisplayArrayInTable(Fertiliser_SourceData.Fertiliser_Products_Data1(),FertiliserProducts[[#Headers],[Include or Exclude]], 0)</f>
        <v/>
      </c>
      <c r="G144" s="197" t="str" cm="1">
        <f t="array" ref="G144">Common_InputFunctions.Utility_DisplayArrayInTable(Fertiliser_SourceData.Fertiliser_Products_Data1(),FertiliserProducts[[#Headers],[Include or Exclude]], 0)</f>
        <v/>
      </c>
      <c r="H144" s="197" t="str" cm="1">
        <f t="array" ref="H144">Common_InputFunctions.Utility_DisplayArrayInTable(Fertiliser_SourceData.Fertiliser_Products_Data1(),FertiliserProducts[[#Headers],[Include or Exclude]], 0,4)</f>
        <v/>
      </c>
      <c r="I144" s="197" t="str" cm="1">
        <f t="array" ref="I144">Common_InputFunctions.Utility_DisplayArrayInTable(Fertiliser_SourceData.Fertiliser_Products_Data1(),FertiliserProducts[[#Headers],[Include or Exclude]], 0,4)</f>
        <v/>
      </c>
      <c r="J144" s="197" t="str" cm="1">
        <f t="array" ref="J144">Common_InputFunctions.Utility_DisplayArrayInTable(Fertiliser_SourceData.Fertiliser_Products_Data1(),FertiliserProducts[[#Headers],[Include or Exclude]], 0,4)</f>
        <v/>
      </c>
      <c r="K144" s="197" t="str" cm="1">
        <f t="array" ref="K144">Common_InputFunctions.Utility_DisplayArrayInTable(Fertiliser_SourceData.Fertiliser_Products_Data1(),FertiliserProducts[[#Headers],[Include or Exclude]], 0,4)</f>
        <v/>
      </c>
      <c r="L144" s="197" t="str" cm="1">
        <f t="array" ref="L144">Common_InputFunctions.Utility_DisplayArrayInTable(Fertiliser_SourceData.Fertiliser_Products_Data1(),FertiliserProducts[[#Headers],[Include or Exclude]], 0,4)</f>
        <v/>
      </c>
      <c r="M144" s="197" t="str" cm="1">
        <f t="array" ref="M144">Common_InputFunctions.Utility_DisplayArrayInTable(Fertiliser_SourceData.Fertiliser_Products_Data1(),FertiliserProducts[[#Headers],[Include or Exclude]], 0,4)</f>
        <v/>
      </c>
      <c r="N144" s="197" t="str" cm="1">
        <f t="array" ref="N144">Common_InputFunctions.Utility_DisplayArrayInTable(Fertiliser_SourceData.Fertiliser_Products_Data1(),FertiliserProducts[[#Headers],[Include or Exclude]], 0,4)</f>
        <v/>
      </c>
      <c r="O144" s="197" t="str" cm="1">
        <f t="array" ref="O144">Common_InputFunctions.Utility_DisplayArrayInTable(Fertiliser_SourceData.Fertiliser_Products_Data1(),FertiliserProducts[[#Headers],[Include or Exclude]], 0,4)</f>
        <v/>
      </c>
      <c r="P144" s="197" t="str" cm="1">
        <f t="array" ref="P144">Common_InputFunctions.Utility_DisplayArrayInTable(Fertiliser_SourceData.Fertiliser_Products_Data1(),FertiliserProducts[[#Headers],[Include or Exclude]], 0,4)</f>
        <v/>
      </c>
      <c r="Q144" s="197" t="str" cm="1">
        <f t="array" ref="Q144">Common_InputFunctions.Utility_DisplayArrayInTable(Fertiliser_SourceData.Fertiliser_Products_Data1(),FertiliserProducts[[#Headers],[Include or Exclude]], 0,4)</f>
        <v/>
      </c>
      <c r="R144" s="197" t="str" cm="1">
        <f t="array" ref="R144">Common_InputFunctions.Utility_DisplayArrayInTable(Fertiliser_SourceData.Fertiliser_Products_Data1(),FertiliserProducts[[#Headers],[Include or Exclude]], 0,4)</f>
        <v/>
      </c>
      <c r="S144" s="197" t="str" cm="1">
        <f t="array" ref="S144">Common_InputFunctions.Utility_DisplayArrayInTable(Fertiliser_SourceData.Fertiliser_Products_Data1(),FertiliserProducts[[#Headers],[Include or Exclude]], 0,4)</f>
        <v/>
      </c>
      <c r="T144" s="197" t="str" cm="1">
        <f t="array" ref="T144">Common_InputFunctions.Utility_DisplayArrayInTable(Fertiliser_SourceData.Fertiliser_Products_Data1(),FertiliserProducts[[#Headers],[Include or Exclude]], 0,4)</f>
        <v/>
      </c>
      <c r="U144" s="197" t="str" cm="1">
        <f t="array" ref="U144">Common_InputFunctions.Utility_DisplayArrayInTable(Fertiliser_SourceData.Fertiliser_Products_Data1(),FertiliserProducts[[#Headers],[Include or Exclude]], 0,4)</f>
        <v/>
      </c>
      <c r="V144" s="197" t="str" cm="1">
        <f t="array" ref="V144">Common_InputFunctions.Utility_DisplayArrayInTable(Fertiliser_SourceData.Fertiliser_Products_Data1(),FertiliserProducts[[#Headers],[Include or Exclude]], 0,4)</f>
        <v/>
      </c>
      <c r="W144" s="197" t="str" cm="1">
        <f t="array" ref="W144">Common_InputFunctions.Utility_DisplayArrayInTable(Fertiliser_SourceData.Fertiliser_Products_Data1(),FertiliserProducts[[#Headers],[Include or Exclude]], 0,4)</f>
        <v/>
      </c>
      <c r="X144" s="197" t="str" cm="1">
        <f t="array" ref="X144">Common_InputFunctions.Utility_DisplayArrayInTable(Fertiliser_SourceData.Fertiliser_Products_Data1(),FertiliserProducts[[#Headers],[Include or Exclude]], 0,4)</f>
        <v/>
      </c>
      <c r="Y144" s="197" t="str" cm="1">
        <f t="array" ref="Y144">Common_InputFunctions.Utility_DisplayArrayInTable(Fertiliser_SourceData.Fertiliser_Products_Data1(),FertiliserProducts[[#Headers],[Include or Exclude]], 0,4)</f>
        <v/>
      </c>
      <c r="Z144" s="197" t="str" cm="1">
        <f t="array" ref="Z144">Common_InputFunctions.Utility_DisplayArrayInTable(Fertiliser_SourceData.Fertiliser_Products_Data1(),FertiliserProducts[[#Headers],[Include or Exclude]], 0,4)</f>
        <v/>
      </c>
      <c r="AA144" s="197" t="str" cm="1">
        <f t="array" ref="AA144">Common_InputFunctions.Utility_DisplayArrayInTable(Fertiliser_SourceData.Fertiliser_Products_Data1(),FertiliserProducts[[#Headers],[Include or Exclude]], 0,4)</f>
        <v/>
      </c>
      <c r="AB144" s="197" t="str" cm="1">
        <f t="array" ref="AB144">Common_InputFunctions.Utility_DisplayArrayInTable(Fertiliser_SourceData.Fertiliser_Products_Data1(),FertiliserProducts[[#Headers],[Include or Exclude]], 0,4)</f>
        <v/>
      </c>
      <c r="AC144" s="197" t="str" cm="1">
        <f t="array" ref="AC144">Common_InputFunctions.Utility_DisplayArrayInTable(Fertiliser_SourceData.Fertiliser_Products_Data1(),FertiliserProducts[[#Headers],[Include or Exclude]], 0,4)</f>
        <v/>
      </c>
      <c r="AD144" s="197" t="str" cm="1">
        <f t="array" ref="AD144">Common_InputFunctions.Utility_DisplayArrayInTable(Fertiliser_SourceData.Fertiliser_Products_Data1(),FertiliserProducts[[#Headers],[Include or Exclude]], 0,4)</f>
        <v/>
      </c>
      <c r="AE144" s="197" t="str" cm="1">
        <f t="array" ref="AE144">Common_InputFunctions.Utility_DisplayArrayInTable(Fertiliser_SourceData.Fertiliser_Products_Data1(),FertiliserProducts[[#Headers],[Include or Exclude]], 0,4)</f>
        <v/>
      </c>
    </row>
    <row r="145" spans="4:31" ht="20.100000000000001" customHeight="1" x14ac:dyDescent="0.25">
      <c r="D145" s="197" t="str" cm="1">
        <f t="array" ref="D145">Common_InputFunctions.Utility_DisplayArrayInTable(Fertiliser_SourceData.Fertiliser_Products_Data1(),FertiliserProducts[[#Headers],[Include or Exclude]], -1)</f>
        <v/>
      </c>
      <c r="E145" s="197" t="str" cm="1">
        <f t="array" ref="E145">Common_InputFunctions.Utility_DisplayArrayInTable(Fertiliser_SourceData.Fertiliser_Products_Data1(),FertiliserProducts[[#Headers],[Include or Exclude]], 0)</f>
        <v/>
      </c>
      <c r="F145" s="197" t="str" cm="1">
        <f t="array" ref="F145">Common_InputFunctions.Utility_DisplayArrayInTable(Fertiliser_SourceData.Fertiliser_Products_Data1(),FertiliserProducts[[#Headers],[Include or Exclude]], 0)</f>
        <v/>
      </c>
      <c r="G145" s="197" t="str" cm="1">
        <f t="array" ref="G145">Common_InputFunctions.Utility_DisplayArrayInTable(Fertiliser_SourceData.Fertiliser_Products_Data1(),FertiliserProducts[[#Headers],[Include or Exclude]], 0)</f>
        <v/>
      </c>
      <c r="H145" s="197" t="str" cm="1">
        <f t="array" ref="H145">Common_InputFunctions.Utility_DisplayArrayInTable(Fertiliser_SourceData.Fertiliser_Products_Data1(),FertiliserProducts[[#Headers],[Include or Exclude]], 0,4)</f>
        <v/>
      </c>
      <c r="I145" s="197" t="str" cm="1">
        <f t="array" ref="I145">Common_InputFunctions.Utility_DisplayArrayInTable(Fertiliser_SourceData.Fertiliser_Products_Data1(),FertiliserProducts[[#Headers],[Include or Exclude]], 0,4)</f>
        <v/>
      </c>
      <c r="J145" s="197" t="str" cm="1">
        <f t="array" ref="J145">Common_InputFunctions.Utility_DisplayArrayInTable(Fertiliser_SourceData.Fertiliser_Products_Data1(),FertiliserProducts[[#Headers],[Include or Exclude]], 0,4)</f>
        <v/>
      </c>
      <c r="K145" s="197" t="str" cm="1">
        <f t="array" ref="K145">Common_InputFunctions.Utility_DisplayArrayInTable(Fertiliser_SourceData.Fertiliser_Products_Data1(),FertiliserProducts[[#Headers],[Include or Exclude]], 0,4)</f>
        <v/>
      </c>
      <c r="L145" s="197" t="str" cm="1">
        <f t="array" ref="L145">Common_InputFunctions.Utility_DisplayArrayInTable(Fertiliser_SourceData.Fertiliser_Products_Data1(),FertiliserProducts[[#Headers],[Include or Exclude]], 0,4)</f>
        <v/>
      </c>
      <c r="M145" s="197" t="str" cm="1">
        <f t="array" ref="M145">Common_InputFunctions.Utility_DisplayArrayInTable(Fertiliser_SourceData.Fertiliser_Products_Data1(),FertiliserProducts[[#Headers],[Include or Exclude]], 0,4)</f>
        <v/>
      </c>
      <c r="N145" s="197" t="str" cm="1">
        <f t="array" ref="N145">Common_InputFunctions.Utility_DisplayArrayInTable(Fertiliser_SourceData.Fertiliser_Products_Data1(),FertiliserProducts[[#Headers],[Include or Exclude]], 0,4)</f>
        <v/>
      </c>
      <c r="O145" s="197" t="str" cm="1">
        <f t="array" ref="O145">Common_InputFunctions.Utility_DisplayArrayInTable(Fertiliser_SourceData.Fertiliser_Products_Data1(),FertiliserProducts[[#Headers],[Include or Exclude]], 0,4)</f>
        <v/>
      </c>
      <c r="P145" s="197" t="str" cm="1">
        <f t="array" ref="P145">Common_InputFunctions.Utility_DisplayArrayInTable(Fertiliser_SourceData.Fertiliser_Products_Data1(),FertiliserProducts[[#Headers],[Include or Exclude]], 0,4)</f>
        <v/>
      </c>
      <c r="Q145" s="197" t="str" cm="1">
        <f t="array" ref="Q145">Common_InputFunctions.Utility_DisplayArrayInTable(Fertiliser_SourceData.Fertiliser_Products_Data1(),FertiliserProducts[[#Headers],[Include or Exclude]], 0,4)</f>
        <v/>
      </c>
      <c r="R145" s="197" t="str" cm="1">
        <f t="array" ref="R145">Common_InputFunctions.Utility_DisplayArrayInTable(Fertiliser_SourceData.Fertiliser_Products_Data1(),FertiliserProducts[[#Headers],[Include or Exclude]], 0,4)</f>
        <v/>
      </c>
      <c r="S145" s="197" t="str" cm="1">
        <f t="array" ref="S145">Common_InputFunctions.Utility_DisplayArrayInTable(Fertiliser_SourceData.Fertiliser_Products_Data1(),FertiliserProducts[[#Headers],[Include or Exclude]], 0,4)</f>
        <v/>
      </c>
      <c r="T145" s="197" t="str" cm="1">
        <f t="array" ref="T145">Common_InputFunctions.Utility_DisplayArrayInTable(Fertiliser_SourceData.Fertiliser_Products_Data1(),FertiliserProducts[[#Headers],[Include or Exclude]], 0,4)</f>
        <v/>
      </c>
      <c r="U145" s="197" t="str" cm="1">
        <f t="array" ref="U145">Common_InputFunctions.Utility_DisplayArrayInTable(Fertiliser_SourceData.Fertiliser_Products_Data1(),FertiliserProducts[[#Headers],[Include or Exclude]], 0,4)</f>
        <v/>
      </c>
      <c r="V145" s="197" t="str" cm="1">
        <f t="array" ref="V145">Common_InputFunctions.Utility_DisplayArrayInTable(Fertiliser_SourceData.Fertiliser_Products_Data1(),FertiliserProducts[[#Headers],[Include or Exclude]], 0,4)</f>
        <v/>
      </c>
      <c r="W145" s="197" t="str" cm="1">
        <f t="array" ref="W145">Common_InputFunctions.Utility_DisplayArrayInTable(Fertiliser_SourceData.Fertiliser_Products_Data1(),FertiliserProducts[[#Headers],[Include or Exclude]], 0,4)</f>
        <v/>
      </c>
      <c r="X145" s="197" t="str" cm="1">
        <f t="array" ref="X145">Common_InputFunctions.Utility_DisplayArrayInTable(Fertiliser_SourceData.Fertiliser_Products_Data1(),FertiliserProducts[[#Headers],[Include or Exclude]], 0,4)</f>
        <v/>
      </c>
      <c r="Y145" s="197" t="str" cm="1">
        <f t="array" ref="Y145">Common_InputFunctions.Utility_DisplayArrayInTable(Fertiliser_SourceData.Fertiliser_Products_Data1(),FertiliserProducts[[#Headers],[Include or Exclude]], 0,4)</f>
        <v/>
      </c>
      <c r="Z145" s="197" t="str" cm="1">
        <f t="array" ref="Z145">Common_InputFunctions.Utility_DisplayArrayInTable(Fertiliser_SourceData.Fertiliser_Products_Data1(),FertiliserProducts[[#Headers],[Include or Exclude]], 0,4)</f>
        <v/>
      </c>
      <c r="AA145" s="197" t="str" cm="1">
        <f t="array" ref="AA145">Common_InputFunctions.Utility_DisplayArrayInTable(Fertiliser_SourceData.Fertiliser_Products_Data1(),FertiliserProducts[[#Headers],[Include or Exclude]], 0,4)</f>
        <v/>
      </c>
      <c r="AB145" s="197" t="str" cm="1">
        <f t="array" ref="AB145">Common_InputFunctions.Utility_DisplayArrayInTable(Fertiliser_SourceData.Fertiliser_Products_Data1(),FertiliserProducts[[#Headers],[Include or Exclude]], 0,4)</f>
        <v/>
      </c>
      <c r="AC145" s="197" t="str" cm="1">
        <f t="array" ref="AC145">Common_InputFunctions.Utility_DisplayArrayInTable(Fertiliser_SourceData.Fertiliser_Products_Data1(),FertiliserProducts[[#Headers],[Include or Exclude]], 0,4)</f>
        <v/>
      </c>
      <c r="AD145" s="197" t="str" cm="1">
        <f t="array" ref="AD145">Common_InputFunctions.Utility_DisplayArrayInTable(Fertiliser_SourceData.Fertiliser_Products_Data1(),FertiliserProducts[[#Headers],[Include or Exclude]], 0,4)</f>
        <v/>
      </c>
      <c r="AE145" s="197" t="str" cm="1">
        <f t="array" ref="AE145">Common_InputFunctions.Utility_DisplayArrayInTable(Fertiliser_SourceData.Fertiliser_Products_Data1(),FertiliserProducts[[#Headers],[Include or Exclude]], 0,4)</f>
        <v/>
      </c>
    </row>
    <row r="146" spans="4:31" ht="20.100000000000001" customHeight="1" x14ac:dyDescent="0.25">
      <c r="D146" s="197" t="str" cm="1">
        <f t="array" ref="D146">Common_InputFunctions.Utility_DisplayArrayInTable(Fertiliser_SourceData.Fertiliser_Products_Data1(),FertiliserProducts[[#Headers],[Include or Exclude]], -1)</f>
        <v/>
      </c>
      <c r="E146" s="197" t="str" cm="1">
        <f t="array" ref="E146">Common_InputFunctions.Utility_DisplayArrayInTable(Fertiliser_SourceData.Fertiliser_Products_Data1(),FertiliserProducts[[#Headers],[Include or Exclude]], 0)</f>
        <v/>
      </c>
      <c r="F146" s="197" t="str" cm="1">
        <f t="array" ref="F146">Common_InputFunctions.Utility_DisplayArrayInTable(Fertiliser_SourceData.Fertiliser_Products_Data1(),FertiliserProducts[[#Headers],[Include or Exclude]], 0)</f>
        <v/>
      </c>
      <c r="G146" s="197" t="str" cm="1">
        <f t="array" ref="G146">Common_InputFunctions.Utility_DisplayArrayInTable(Fertiliser_SourceData.Fertiliser_Products_Data1(),FertiliserProducts[[#Headers],[Include or Exclude]], 0)</f>
        <v/>
      </c>
      <c r="H146" s="197" t="str" cm="1">
        <f t="array" ref="H146">Common_InputFunctions.Utility_DisplayArrayInTable(Fertiliser_SourceData.Fertiliser_Products_Data1(),FertiliserProducts[[#Headers],[Include or Exclude]], 0,4)</f>
        <v/>
      </c>
      <c r="I146" s="197" t="str" cm="1">
        <f t="array" ref="I146">Common_InputFunctions.Utility_DisplayArrayInTable(Fertiliser_SourceData.Fertiliser_Products_Data1(),FertiliserProducts[[#Headers],[Include or Exclude]], 0,4)</f>
        <v/>
      </c>
      <c r="J146" s="197" t="str" cm="1">
        <f t="array" ref="J146">Common_InputFunctions.Utility_DisplayArrayInTable(Fertiliser_SourceData.Fertiliser_Products_Data1(),FertiliserProducts[[#Headers],[Include or Exclude]], 0,4)</f>
        <v/>
      </c>
      <c r="K146" s="197" t="str" cm="1">
        <f t="array" ref="K146">Common_InputFunctions.Utility_DisplayArrayInTable(Fertiliser_SourceData.Fertiliser_Products_Data1(),FertiliserProducts[[#Headers],[Include or Exclude]], 0,4)</f>
        <v/>
      </c>
      <c r="L146" s="197" t="str" cm="1">
        <f t="array" ref="L146">Common_InputFunctions.Utility_DisplayArrayInTable(Fertiliser_SourceData.Fertiliser_Products_Data1(),FertiliserProducts[[#Headers],[Include or Exclude]], 0,4)</f>
        <v/>
      </c>
      <c r="M146" s="197" t="str" cm="1">
        <f t="array" ref="M146">Common_InputFunctions.Utility_DisplayArrayInTable(Fertiliser_SourceData.Fertiliser_Products_Data1(),FertiliserProducts[[#Headers],[Include or Exclude]], 0,4)</f>
        <v/>
      </c>
      <c r="N146" s="197" t="str" cm="1">
        <f t="array" ref="N146">Common_InputFunctions.Utility_DisplayArrayInTable(Fertiliser_SourceData.Fertiliser_Products_Data1(),FertiliserProducts[[#Headers],[Include or Exclude]], 0,4)</f>
        <v/>
      </c>
      <c r="O146" s="197" t="str" cm="1">
        <f t="array" ref="O146">Common_InputFunctions.Utility_DisplayArrayInTable(Fertiliser_SourceData.Fertiliser_Products_Data1(),FertiliserProducts[[#Headers],[Include or Exclude]], 0,4)</f>
        <v/>
      </c>
      <c r="P146" s="197" t="str" cm="1">
        <f t="array" ref="P146">Common_InputFunctions.Utility_DisplayArrayInTable(Fertiliser_SourceData.Fertiliser_Products_Data1(),FertiliserProducts[[#Headers],[Include or Exclude]], 0,4)</f>
        <v/>
      </c>
      <c r="Q146" s="197" t="str" cm="1">
        <f t="array" ref="Q146">Common_InputFunctions.Utility_DisplayArrayInTable(Fertiliser_SourceData.Fertiliser_Products_Data1(),FertiliserProducts[[#Headers],[Include or Exclude]], 0,4)</f>
        <v/>
      </c>
      <c r="R146" s="197" t="str" cm="1">
        <f t="array" ref="R146">Common_InputFunctions.Utility_DisplayArrayInTable(Fertiliser_SourceData.Fertiliser_Products_Data1(),FertiliserProducts[[#Headers],[Include or Exclude]], 0,4)</f>
        <v/>
      </c>
      <c r="S146" s="197" t="str" cm="1">
        <f t="array" ref="S146">Common_InputFunctions.Utility_DisplayArrayInTable(Fertiliser_SourceData.Fertiliser_Products_Data1(),FertiliserProducts[[#Headers],[Include or Exclude]], 0,4)</f>
        <v/>
      </c>
      <c r="T146" s="197" t="str" cm="1">
        <f t="array" ref="T146">Common_InputFunctions.Utility_DisplayArrayInTable(Fertiliser_SourceData.Fertiliser_Products_Data1(),FertiliserProducts[[#Headers],[Include or Exclude]], 0,4)</f>
        <v/>
      </c>
      <c r="U146" s="197" t="str" cm="1">
        <f t="array" ref="U146">Common_InputFunctions.Utility_DisplayArrayInTable(Fertiliser_SourceData.Fertiliser_Products_Data1(),FertiliserProducts[[#Headers],[Include or Exclude]], 0,4)</f>
        <v/>
      </c>
      <c r="V146" s="197" t="str" cm="1">
        <f t="array" ref="V146">Common_InputFunctions.Utility_DisplayArrayInTable(Fertiliser_SourceData.Fertiliser_Products_Data1(),FertiliserProducts[[#Headers],[Include or Exclude]], 0,4)</f>
        <v/>
      </c>
      <c r="W146" s="197" t="str" cm="1">
        <f t="array" ref="W146">Common_InputFunctions.Utility_DisplayArrayInTable(Fertiliser_SourceData.Fertiliser_Products_Data1(),FertiliserProducts[[#Headers],[Include or Exclude]], 0,4)</f>
        <v/>
      </c>
      <c r="X146" s="197" t="str" cm="1">
        <f t="array" ref="X146">Common_InputFunctions.Utility_DisplayArrayInTable(Fertiliser_SourceData.Fertiliser_Products_Data1(),FertiliserProducts[[#Headers],[Include or Exclude]], 0,4)</f>
        <v/>
      </c>
      <c r="Y146" s="197" t="str" cm="1">
        <f t="array" ref="Y146">Common_InputFunctions.Utility_DisplayArrayInTable(Fertiliser_SourceData.Fertiliser_Products_Data1(),FertiliserProducts[[#Headers],[Include or Exclude]], 0,4)</f>
        <v/>
      </c>
      <c r="Z146" s="197" t="str" cm="1">
        <f t="array" ref="Z146">Common_InputFunctions.Utility_DisplayArrayInTable(Fertiliser_SourceData.Fertiliser_Products_Data1(),FertiliserProducts[[#Headers],[Include or Exclude]], 0,4)</f>
        <v/>
      </c>
      <c r="AA146" s="197" t="str" cm="1">
        <f t="array" ref="AA146">Common_InputFunctions.Utility_DisplayArrayInTable(Fertiliser_SourceData.Fertiliser_Products_Data1(),FertiliserProducts[[#Headers],[Include or Exclude]], 0,4)</f>
        <v/>
      </c>
      <c r="AB146" s="197" t="str" cm="1">
        <f t="array" ref="AB146">Common_InputFunctions.Utility_DisplayArrayInTable(Fertiliser_SourceData.Fertiliser_Products_Data1(),FertiliserProducts[[#Headers],[Include or Exclude]], 0,4)</f>
        <v/>
      </c>
      <c r="AC146" s="197" t="str" cm="1">
        <f t="array" ref="AC146">Common_InputFunctions.Utility_DisplayArrayInTable(Fertiliser_SourceData.Fertiliser_Products_Data1(),FertiliserProducts[[#Headers],[Include or Exclude]], 0,4)</f>
        <v/>
      </c>
      <c r="AD146" s="197" t="str" cm="1">
        <f t="array" ref="AD146">Common_InputFunctions.Utility_DisplayArrayInTable(Fertiliser_SourceData.Fertiliser_Products_Data1(),FertiliserProducts[[#Headers],[Include or Exclude]], 0,4)</f>
        <v/>
      </c>
      <c r="AE146" s="197" t="str" cm="1">
        <f t="array" ref="AE146">Common_InputFunctions.Utility_DisplayArrayInTable(Fertiliser_SourceData.Fertiliser_Products_Data1(),FertiliserProducts[[#Headers],[Include or Exclude]], 0,4)</f>
        <v/>
      </c>
    </row>
    <row r="147" spans="4:31" ht="20.100000000000001" customHeight="1" x14ac:dyDescent="0.25">
      <c r="D147" s="197" t="str" cm="1">
        <f t="array" ref="D147">Common_InputFunctions.Utility_DisplayArrayInTable(Fertiliser_SourceData.Fertiliser_Products_Data1(),FertiliserProducts[[#Headers],[Include or Exclude]], -1)</f>
        <v/>
      </c>
      <c r="E147" s="197" t="str" cm="1">
        <f t="array" ref="E147">Common_InputFunctions.Utility_DisplayArrayInTable(Fertiliser_SourceData.Fertiliser_Products_Data1(),FertiliserProducts[[#Headers],[Include or Exclude]], 0)</f>
        <v/>
      </c>
      <c r="F147" s="197" t="str" cm="1">
        <f t="array" ref="F147">Common_InputFunctions.Utility_DisplayArrayInTable(Fertiliser_SourceData.Fertiliser_Products_Data1(),FertiliserProducts[[#Headers],[Include or Exclude]], 0)</f>
        <v/>
      </c>
      <c r="G147" s="197" t="str" cm="1">
        <f t="array" ref="G147">Common_InputFunctions.Utility_DisplayArrayInTable(Fertiliser_SourceData.Fertiliser_Products_Data1(),FertiliserProducts[[#Headers],[Include or Exclude]], 0)</f>
        <v/>
      </c>
      <c r="H147" s="197" t="str" cm="1">
        <f t="array" ref="H147">Common_InputFunctions.Utility_DisplayArrayInTable(Fertiliser_SourceData.Fertiliser_Products_Data1(),FertiliserProducts[[#Headers],[Include or Exclude]], 0,4)</f>
        <v/>
      </c>
      <c r="I147" s="197" t="str" cm="1">
        <f t="array" ref="I147">Common_InputFunctions.Utility_DisplayArrayInTable(Fertiliser_SourceData.Fertiliser_Products_Data1(),FertiliserProducts[[#Headers],[Include or Exclude]], 0,4)</f>
        <v/>
      </c>
      <c r="J147" s="197" t="str" cm="1">
        <f t="array" ref="J147">Common_InputFunctions.Utility_DisplayArrayInTable(Fertiliser_SourceData.Fertiliser_Products_Data1(),FertiliserProducts[[#Headers],[Include or Exclude]], 0,4)</f>
        <v/>
      </c>
      <c r="K147" s="197" t="str" cm="1">
        <f t="array" ref="K147">Common_InputFunctions.Utility_DisplayArrayInTable(Fertiliser_SourceData.Fertiliser_Products_Data1(),FertiliserProducts[[#Headers],[Include or Exclude]], 0,4)</f>
        <v/>
      </c>
      <c r="L147" s="197" t="str" cm="1">
        <f t="array" ref="L147">Common_InputFunctions.Utility_DisplayArrayInTable(Fertiliser_SourceData.Fertiliser_Products_Data1(),FertiliserProducts[[#Headers],[Include or Exclude]], 0,4)</f>
        <v/>
      </c>
      <c r="M147" s="197" t="str" cm="1">
        <f t="array" ref="M147">Common_InputFunctions.Utility_DisplayArrayInTable(Fertiliser_SourceData.Fertiliser_Products_Data1(),FertiliserProducts[[#Headers],[Include or Exclude]], 0,4)</f>
        <v/>
      </c>
      <c r="N147" s="197" t="str" cm="1">
        <f t="array" ref="N147">Common_InputFunctions.Utility_DisplayArrayInTable(Fertiliser_SourceData.Fertiliser_Products_Data1(),FertiliserProducts[[#Headers],[Include or Exclude]], 0,4)</f>
        <v/>
      </c>
      <c r="O147" s="197" t="str" cm="1">
        <f t="array" ref="O147">Common_InputFunctions.Utility_DisplayArrayInTable(Fertiliser_SourceData.Fertiliser_Products_Data1(),FertiliserProducts[[#Headers],[Include or Exclude]], 0,4)</f>
        <v/>
      </c>
      <c r="P147" s="197" t="str" cm="1">
        <f t="array" ref="P147">Common_InputFunctions.Utility_DisplayArrayInTable(Fertiliser_SourceData.Fertiliser_Products_Data1(),FertiliserProducts[[#Headers],[Include or Exclude]], 0,4)</f>
        <v/>
      </c>
      <c r="Q147" s="197" t="str" cm="1">
        <f t="array" ref="Q147">Common_InputFunctions.Utility_DisplayArrayInTable(Fertiliser_SourceData.Fertiliser_Products_Data1(),FertiliserProducts[[#Headers],[Include or Exclude]], 0,4)</f>
        <v/>
      </c>
      <c r="R147" s="197" t="str" cm="1">
        <f t="array" ref="R147">Common_InputFunctions.Utility_DisplayArrayInTable(Fertiliser_SourceData.Fertiliser_Products_Data1(),FertiliserProducts[[#Headers],[Include or Exclude]], 0,4)</f>
        <v/>
      </c>
      <c r="S147" s="197" t="str" cm="1">
        <f t="array" ref="S147">Common_InputFunctions.Utility_DisplayArrayInTable(Fertiliser_SourceData.Fertiliser_Products_Data1(),FertiliserProducts[[#Headers],[Include or Exclude]], 0,4)</f>
        <v/>
      </c>
      <c r="T147" s="197" t="str" cm="1">
        <f t="array" ref="T147">Common_InputFunctions.Utility_DisplayArrayInTable(Fertiliser_SourceData.Fertiliser_Products_Data1(),FertiliserProducts[[#Headers],[Include or Exclude]], 0,4)</f>
        <v/>
      </c>
      <c r="U147" s="197" t="str" cm="1">
        <f t="array" ref="U147">Common_InputFunctions.Utility_DisplayArrayInTable(Fertiliser_SourceData.Fertiliser_Products_Data1(),FertiliserProducts[[#Headers],[Include or Exclude]], 0,4)</f>
        <v/>
      </c>
      <c r="V147" s="197" t="str" cm="1">
        <f t="array" ref="V147">Common_InputFunctions.Utility_DisplayArrayInTable(Fertiliser_SourceData.Fertiliser_Products_Data1(),FertiliserProducts[[#Headers],[Include or Exclude]], 0,4)</f>
        <v/>
      </c>
      <c r="W147" s="197" t="str" cm="1">
        <f t="array" ref="W147">Common_InputFunctions.Utility_DisplayArrayInTable(Fertiliser_SourceData.Fertiliser_Products_Data1(),FertiliserProducts[[#Headers],[Include or Exclude]], 0,4)</f>
        <v/>
      </c>
      <c r="X147" s="197" t="str" cm="1">
        <f t="array" ref="X147">Common_InputFunctions.Utility_DisplayArrayInTable(Fertiliser_SourceData.Fertiliser_Products_Data1(),FertiliserProducts[[#Headers],[Include or Exclude]], 0,4)</f>
        <v/>
      </c>
      <c r="Y147" s="197" t="str" cm="1">
        <f t="array" ref="Y147">Common_InputFunctions.Utility_DisplayArrayInTable(Fertiliser_SourceData.Fertiliser_Products_Data1(),FertiliserProducts[[#Headers],[Include or Exclude]], 0,4)</f>
        <v/>
      </c>
      <c r="Z147" s="197" t="str" cm="1">
        <f t="array" ref="Z147">Common_InputFunctions.Utility_DisplayArrayInTable(Fertiliser_SourceData.Fertiliser_Products_Data1(),FertiliserProducts[[#Headers],[Include or Exclude]], 0,4)</f>
        <v/>
      </c>
      <c r="AA147" s="197" t="str" cm="1">
        <f t="array" ref="AA147">Common_InputFunctions.Utility_DisplayArrayInTable(Fertiliser_SourceData.Fertiliser_Products_Data1(),FertiliserProducts[[#Headers],[Include or Exclude]], 0,4)</f>
        <v/>
      </c>
      <c r="AB147" s="197" t="str" cm="1">
        <f t="array" ref="AB147">Common_InputFunctions.Utility_DisplayArrayInTable(Fertiliser_SourceData.Fertiliser_Products_Data1(),FertiliserProducts[[#Headers],[Include or Exclude]], 0,4)</f>
        <v/>
      </c>
      <c r="AC147" s="197" t="str" cm="1">
        <f t="array" ref="AC147">Common_InputFunctions.Utility_DisplayArrayInTable(Fertiliser_SourceData.Fertiliser_Products_Data1(),FertiliserProducts[[#Headers],[Include or Exclude]], 0,4)</f>
        <v/>
      </c>
      <c r="AD147" s="197" t="str" cm="1">
        <f t="array" ref="AD147">Common_InputFunctions.Utility_DisplayArrayInTable(Fertiliser_SourceData.Fertiliser_Products_Data1(),FertiliserProducts[[#Headers],[Include or Exclude]], 0,4)</f>
        <v/>
      </c>
      <c r="AE147" s="197" t="str" cm="1">
        <f t="array" ref="AE147">Common_InputFunctions.Utility_DisplayArrayInTable(Fertiliser_SourceData.Fertiliser_Products_Data1(),FertiliserProducts[[#Headers],[Include or Exclude]], 0,4)</f>
        <v/>
      </c>
    </row>
    <row r="148" spans="4:31" ht="20.100000000000001" customHeight="1" x14ac:dyDescent="0.25">
      <c r="D148" s="197" t="str" cm="1">
        <f t="array" ref="D148">Common_InputFunctions.Utility_DisplayArrayInTable(Fertiliser_SourceData.Fertiliser_Products_Data1(),FertiliserProducts[[#Headers],[Include or Exclude]], -1)</f>
        <v/>
      </c>
      <c r="E148" s="197" t="str" cm="1">
        <f t="array" ref="E148">Common_InputFunctions.Utility_DisplayArrayInTable(Fertiliser_SourceData.Fertiliser_Products_Data1(),FertiliserProducts[[#Headers],[Include or Exclude]], 0)</f>
        <v/>
      </c>
      <c r="F148" s="197" t="str" cm="1">
        <f t="array" ref="F148">Common_InputFunctions.Utility_DisplayArrayInTable(Fertiliser_SourceData.Fertiliser_Products_Data1(),FertiliserProducts[[#Headers],[Include or Exclude]], 0)</f>
        <v/>
      </c>
      <c r="G148" s="197" t="str" cm="1">
        <f t="array" ref="G148">Common_InputFunctions.Utility_DisplayArrayInTable(Fertiliser_SourceData.Fertiliser_Products_Data1(),FertiliserProducts[[#Headers],[Include or Exclude]], 0)</f>
        <v/>
      </c>
      <c r="H148" s="197" t="str" cm="1">
        <f t="array" ref="H148">Common_InputFunctions.Utility_DisplayArrayInTable(Fertiliser_SourceData.Fertiliser_Products_Data1(),FertiliserProducts[[#Headers],[Include or Exclude]], 0,4)</f>
        <v/>
      </c>
      <c r="I148" s="197" t="str" cm="1">
        <f t="array" ref="I148">Common_InputFunctions.Utility_DisplayArrayInTable(Fertiliser_SourceData.Fertiliser_Products_Data1(),FertiliserProducts[[#Headers],[Include or Exclude]], 0,4)</f>
        <v/>
      </c>
      <c r="J148" s="197" t="str" cm="1">
        <f t="array" ref="J148">Common_InputFunctions.Utility_DisplayArrayInTable(Fertiliser_SourceData.Fertiliser_Products_Data1(),FertiliserProducts[[#Headers],[Include or Exclude]], 0,4)</f>
        <v/>
      </c>
      <c r="K148" s="197" t="str" cm="1">
        <f t="array" ref="K148">Common_InputFunctions.Utility_DisplayArrayInTable(Fertiliser_SourceData.Fertiliser_Products_Data1(),FertiliserProducts[[#Headers],[Include or Exclude]], 0,4)</f>
        <v/>
      </c>
      <c r="L148" s="197" t="str" cm="1">
        <f t="array" ref="L148">Common_InputFunctions.Utility_DisplayArrayInTable(Fertiliser_SourceData.Fertiliser_Products_Data1(),FertiliserProducts[[#Headers],[Include or Exclude]], 0,4)</f>
        <v/>
      </c>
      <c r="M148" s="197" t="str" cm="1">
        <f t="array" ref="M148">Common_InputFunctions.Utility_DisplayArrayInTable(Fertiliser_SourceData.Fertiliser_Products_Data1(),FertiliserProducts[[#Headers],[Include or Exclude]], 0,4)</f>
        <v/>
      </c>
      <c r="N148" s="197" t="str" cm="1">
        <f t="array" ref="N148">Common_InputFunctions.Utility_DisplayArrayInTable(Fertiliser_SourceData.Fertiliser_Products_Data1(),FertiliserProducts[[#Headers],[Include or Exclude]], 0,4)</f>
        <v/>
      </c>
      <c r="O148" s="197" t="str" cm="1">
        <f t="array" ref="O148">Common_InputFunctions.Utility_DisplayArrayInTable(Fertiliser_SourceData.Fertiliser_Products_Data1(),FertiliserProducts[[#Headers],[Include or Exclude]], 0,4)</f>
        <v/>
      </c>
      <c r="P148" s="197" t="str" cm="1">
        <f t="array" ref="P148">Common_InputFunctions.Utility_DisplayArrayInTable(Fertiliser_SourceData.Fertiliser_Products_Data1(),FertiliserProducts[[#Headers],[Include or Exclude]], 0,4)</f>
        <v/>
      </c>
      <c r="Q148" s="197" t="str" cm="1">
        <f t="array" ref="Q148">Common_InputFunctions.Utility_DisplayArrayInTable(Fertiliser_SourceData.Fertiliser_Products_Data1(),FertiliserProducts[[#Headers],[Include or Exclude]], 0,4)</f>
        <v/>
      </c>
      <c r="R148" s="197" t="str" cm="1">
        <f t="array" ref="R148">Common_InputFunctions.Utility_DisplayArrayInTable(Fertiliser_SourceData.Fertiliser_Products_Data1(),FertiliserProducts[[#Headers],[Include or Exclude]], 0,4)</f>
        <v/>
      </c>
      <c r="S148" s="197" t="str" cm="1">
        <f t="array" ref="S148">Common_InputFunctions.Utility_DisplayArrayInTable(Fertiliser_SourceData.Fertiliser_Products_Data1(),FertiliserProducts[[#Headers],[Include or Exclude]], 0,4)</f>
        <v/>
      </c>
      <c r="T148" s="197" t="str" cm="1">
        <f t="array" ref="T148">Common_InputFunctions.Utility_DisplayArrayInTable(Fertiliser_SourceData.Fertiliser_Products_Data1(),FertiliserProducts[[#Headers],[Include or Exclude]], 0,4)</f>
        <v/>
      </c>
      <c r="U148" s="197" t="str" cm="1">
        <f t="array" ref="U148">Common_InputFunctions.Utility_DisplayArrayInTable(Fertiliser_SourceData.Fertiliser_Products_Data1(),FertiliserProducts[[#Headers],[Include or Exclude]], 0,4)</f>
        <v/>
      </c>
      <c r="V148" s="197" t="str" cm="1">
        <f t="array" ref="V148">Common_InputFunctions.Utility_DisplayArrayInTable(Fertiliser_SourceData.Fertiliser_Products_Data1(),FertiliserProducts[[#Headers],[Include or Exclude]], 0,4)</f>
        <v/>
      </c>
      <c r="W148" s="197" t="str" cm="1">
        <f t="array" ref="W148">Common_InputFunctions.Utility_DisplayArrayInTable(Fertiliser_SourceData.Fertiliser_Products_Data1(),FertiliserProducts[[#Headers],[Include or Exclude]], 0,4)</f>
        <v/>
      </c>
      <c r="X148" s="197" t="str" cm="1">
        <f t="array" ref="X148">Common_InputFunctions.Utility_DisplayArrayInTable(Fertiliser_SourceData.Fertiliser_Products_Data1(),FertiliserProducts[[#Headers],[Include or Exclude]], 0,4)</f>
        <v/>
      </c>
      <c r="Y148" s="197" t="str" cm="1">
        <f t="array" ref="Y148">Common_InputFunctions.Utility_DisplayArrayInTable(Fertiliser_SourceData.Fertiliser_Products_Data1(),FertiliserProducts[[#Headers],[Include or Exclude]], 0,4)</f>
        <v/>
      </c>
      <c r="Z148" s="197" t="str" cm="1">
        <f t="array" ref="Z148">Common_InputFunctions.Utility_DisplayArrayInTable(Fertiliser_SourceData.Fertiliser_Products_Data1(),FertiliserProducts[[#Headers],[Include or Exclude]], 0,4)</f>
        <v/>
      </c>
      <c r="AA148" s="197" t="str" cm="1">
        <f t="array" ref="AA148">Common_InputFunctions.Utility_DisplayArrayInTable(Fertiliser_SourceData.Fertiliser_Products_Data1(),FertiliserProducts[[#Headers],[Include or Exclude]], 0,4)</f>
        <v/>
      </c>
      <c r="AB148" s="197" t="str" cm="1">
        <f t="array" ref="AB148">Common_InputFunctions.Utility_DisplayArrayInTable(Fertiliser_SourceData.Fertiliser_Products_Data1(),FertiliserProducts[[#Headers],[Include or Exclude]], 0,4)</f>
        <v/>
      </c>
      <c r="AC148" s="197" t="str" cm="1">
        <f t="array" ref="AC148">Common_InputFunctions.Utility_DisplayArrayInTable(Fertiliser_SourceData.Fertiliser_Products_Data1(),FertiliserProducts[[#Headers],[Include or Exclude]], 0,4)</f>
        <v/>
      </c>
      <c r="AD148" s="197" t="str" cm="1">
        <f t="array" ref="AD148">Common_InputFunctions.Utility_DisplayArrayInTable(Fertiliser_SourceData.Fertiliser_Products_Data1(),FertiliserProducts[[#Headers],[Include or Exclude]], 0,4)</f>
        <v/>
      </c>
      <c r="AE148" s="197" t="str" cm="1">
        <f t="array" ref="AE148">Common_InputFunctions.Utility_DisplayArrayInTable(Fertiliser_SourceData.Fertiliser_Products_Data1(),FertiliserProducts[[#Headers],[Include or Exclude]], 0,4)</f>
        <v/>
      </c>
    </row>
    <row r="149" spans="4:31" ht="20.100000000000001" customHeight="1" x14ac:dyDescent="0.25">
      <c r="D149" s="197" t="str" cm="1">
        <f t="array" ref="D149">Common_InputFunctions.Utility_DisplayArrayInTable(Fertiliser_SourceData.Fertiliser_Products_Data1(),FertiliserProducts[[#Headers],[Include or Exclude]], -1)</f>
        <v/>
      </c>
      <c r="E149" s="197" t="str" cm="1">
        <f t="array" ref="E149">Common_InputFunctions.Utility_DisplayArrayInTable(Fertiliser_SourceData.Fertiliser_Products_Data1(),FertiliserProducts[[#Headers],[Include or Exclude]], 0)</f>
        <v/>
      </c>
      <c r="F149" s="197" t="str" cm="1">
        <f t="array" ref="F149">Common_InputFunctions.Utility_DisplayArrayInTable(Fertiliser_SourceData.Fertiliser_Products_Data1(),FertiliserProducts[[#Headers],[Include or Exclude]], 0)</f>
        <v/>
      </c>
      <c r="G149" s="197" t="str" cm="1">
        <f t="array" ref="G149">Common_InputFunctions.Utility_DisplayArrayInTable(Fertiliser_SourceData.Fertiliser_Products_Data1(),FertiliserProducts[[#Headers],[Include or Exclude]], 0)</f>
        <v/>
      </c>
      <c r="H149" s="197" t="str" cm="1">
        <f t="array" ref="H149">Common_InputFunctions.Utility_DisplayArrayInTable(Fertiliser_SourceData.Fertiliser_Products_Data1(),FertiliserProducts[[#Headers],[Include or Exclude]], 0,4)</f>
        <v/>
      </c>
      <c r="I149" s="197" t="str" cm="1">
        <f t="array" ref="I149">Common_InputFunctions.Utility_DisplayArrayInTable(Fertiliser_SourceData.Fertiliser_Products_Data1(),FertiliserProducts[[#Headers],[Include or Exclude]], 0,4)</f>
        <v/>
      </c>
      <c r="J149" s="197" t="str" cm="1">
        <f t="array" ref="J149">Common_InputFunctions.Utility_DisplayArrayInTable(Fertiliser_SourceData.Fertiliser_Products_Data1(),FertiliserProducts[[#Headers],[Include or Exclude]], 0,4)</f>
        <v/>
      </c>
      <c r="K149" s="197" t="str" cm="1">
        <f t="array" ref="K149">Common_InputFunctions.Utility_DisplayArrayInTable(Fertiliser_SourceData.Fertiliser_Products_Data1(),FertiliserProducts[[#Headers],[Include or Exclude]], 0,4)</f>
        <v/>
      </c>
      <c r="L149" s="197" t="str" cm="1">
        <f t="array" ref="L149">Common_InputFunctions.Utility_DisplayArrayInTable(Fertiliser_SourceData.Fertiliser_Products_Data1(),FertiliserProducts[[#Headers],[Include or Exclude]], 0,4)</f>
        <v/>
      </c>
      <c r="M149" s="197" t="str" cm="1">
        <f t="array" ref="M149">Common_InputFunctions.Utility_DisplayArrayInTable(Fertiliser_SourceData.Fertiliser_Products_Data1(),FertiliserProducts[[#Headers],[Include or Exclude]], 0,4)</f>
        <v/>
      </c>
      <c r="N149" s="197" t="str" cm="1">
        <f t="array" ref="N149">Common_InputFunctions.Utility_DisplayArrayInTable(Fertiliser_SourceData.Fertiliser_Products_Data1(),FertiliserProducts[[#Headers],[Include or Exclude]], 0,4)</f>
        <v/>
      </c>
      <c r="O149" s="197" t="str" cm="1">
        <f t="array" ref="O149">Common_InputFunctions.Utility_DisplayArrayInTable(Fertiliser_SourceData.Fertiliser_Products_Data1(),FertiliserProducts[[#Headers],[Include or Exclude]], 0,4)</f>
        <v/>
      </c>
      <c r="P149" s="197" t="str" cm="1">
        <f t="array" ref="P149">Common_InputFunctions.Utility_DisplayArrayInTable(Fertiliser_SourceData.Fertiliser_Products_Data1(),FertiliserProducts[[#Headers],[Include or Exclude]], 0,4)</f>
        <v/>
      </c>
      <c r="Q149" s="197" t="str" cm="1">
        <f t="array" ref="Q149">Common_InputFunctions.Utility_DisplayArrayInTable(Fertiliser_SourceData.Fertiliser_Products_Data1(),FertiliserProducts[[#Headers],[Include or Exclude]], 0,4)</f>
        <v/>
      </c>
      <c r="R149" s="197" t="str" cm="1">
        <f t="array" ref="R149">Common_InputFunctions.Utility_DisplayArrayInTable(Fertiliser_SourceData.Fertiliser_Products_Data1(),FertiliserProducts[[#Headers],[Include or Exclude]], 0,4)</f>
        <v/>
      </c>
      <c r="S149" s="197" t="str" cm="1">
        <f t="array" ref="S149">Common_InputFunctions.Utility_DisplayArrayInTable(Fertiliser_SourceData.Fertiliser_Products_Data1(),FertiliserProducts[[#Headers],[Include or Exclude]], 0,4)</f>
        <v/>
      </c>
      <c r="T149" s="197" t="str" cm="1">
        <f t="array" ref="T149">Common_InputFunctions.Utility_DisplayArrayInTable(Fertiliser_SourceData.Fertiliser_Products_Data1(),FertiliserProducts[[#Headers],[Include or Exclude]], 0,4)</f>
        <v/>
      </c>
      <c r="U149" s="197" t="str" cm="1">
        <f t="array" ref="U149">Common_InputFunctions.Utility_DisplayArrayInTable(Fertiliser_SourceData.Fertiliser_Products_Data1(),FertiliserProducts[[#Headers],[Include or Exclude]], 0,4)</f>
        <v/>
      </c>
      <c r="V149" s="197" t="str" cm="1">
        <f t="array" ref="V149">Common_InputFunctions.Utility_DisplayArrayInTable(Fertiliser_SourceData.Fertiliser_Products_Data1(),FertiliserProducts[[#Headers],[Include or Exclude]], 0,4)</f>
        <v/>
      </c>
      <c r="W149" s="197" t="str" cm="1">
        <f t="array" ref="W149">Common_InputFunctions.Utility_DisplayArrayInTable(Fertiliser_SourceData.Fertiliser_Products_Data1(),FertiliserProducts[[#Headers],[Include or Exclude]], 0,4)</f>
        <v/>
      </c>
      <c r="X149" s="197" t="str" cm="1">
        <f t="array" ref="X149">Common_InputFunctions.Utility_DisplayArrayInTable(Fertiliser_SourceData.Fertiliser_Products_Data1(),FertiliserProducts[[#Headers],[Include or Exclude]], 0,4)</f>
        <v/>
      </c>
      <c r="Y149" s="197" t="str" cm="1">
        <f t="array" ref="Y149">Common_InputFunctions.Utility_DisplayArrayInTable(Fertiliser_SourceData.Fertiliser_Products_Data1(),FertiliserProducts[[#Headers],[Include or Exclude]], 0,4)</f>
        <v/>
      </c>
      <c r="Z149" s="197" t="str" cm="1">
        <f t="array" ref="Z149">Common_InputFunctions.Utility_DisplayArrayInTable(Fertiliser_SourceData.Fertiliser_Products_Data1(),FertiliserProducts[[#Headers],[Include or Exclude]], 0,4)</f>
        <v/>
      </c>
      <c r="AA149" s="197" t="str" cm="1">
        <f t="array" ref="AA149">Common_InputFunctions.Utility_DisplayArrayInTable(Fertiliser_SourceData.Fertiliser_Products_Data1(),FertiliserProducts[[#Headers],[Include or Exclude]], 0,4)</f>
        <v/>
      </c>
      <c r="AB149" s="197" t="str" cm="1">
        <f t="array" ref="AB149">Common_InputFunctions.Utility_DisplayArrayInTable(Fertiliser_SourceData.Fertiliser_Products_Data1(),FertiliserProducts[[#Headers],[Include or Exclude]], 0,4)</f>
        <v/>
      </c>
      <c r="AC149" s="197" t="str" cm="1">
        <f t="array" ref="AC149">Common_InputFunctions.Utility_DisplayArrayInTable(Fertiliser_SourceData.Fertiliser_Products_Data1(),FertiliserProducts[[#Headers],[Include or Exclude]], 0,4)</f>
        <v/>
      </c>
      <c r="AD149" s="197" t="str" cm="1">
        <f t="array" ref="AD149">Common_InputFunctions.Utility_DisplayArrayInTable(Fertiliser_SourceData.Fertiliser_Products_Data1(),FertiliserProducts[[#Headers],[Include or Exclude]], 0,4)</f>
        <v/>
      </c>
      <c r="AE149" s="197" t="str" cm="1">
        <f t="array" ref="AE149">Common_InputFunctions.Utility_DisplayArrayInTable(Fertiliser_SourceData.Fertiliser_Products_Data1(),FertiliserProducts[[#Headers],[Include or Exclude]], 0,4)</f>
        <v/>
      </c>
    </row>
    <row r="150" spans="4:31" ht="20.100000000000001" customHeight="1" x14ac:dyDescent="0.25">
      <c r="D150" s="197" t="str" cm="1">
        <f t="array" ref="D150">Common_InputFunctions.Utility_DisplayArrayInTable(Fertiliser_SourceData.Fertiliser_Products_Data1(),FertiliserProducts[[#Headers],[Include or Exclude]], -1)</f>
        <v/>
      </c>
      <c r="E150" s="197" t="str" cm="1">
        <f t="array" ref="E150">Common_InputFunctions.Utility_DisplayArrayInTable(Fertiliser_SourceData.Fertiliser_Products_Data1(),FertiliserProducts[[#Headers],[Include or Exclude]], 0)</f>
        <v/>
      </c>
      <c r="F150" s="197" t="str" cm="1">
        <f t="array" ref="F150">Common_InputFunctions.Utility_DisplayArrayInTable(Fertiliser_SourceData.Fertiliser_Products_Data1(),FertiliserProducts[[#Headers],[Include or Exclude]], 0)</f>
        <v/>
      </c>
      <c r="G150" s="197" t="str" cm="1">
        <f t="array" ref="G150">Common_InputFunctions.Utility_DisplayArrayInTable(Fertiliser_SourceData.Fertiliser_Products_Data1(),FertiliserProducts[[#Headers],[Include or Exclude]], 0)</f>
        <v/>
      </c>
      <c r="H150" s="197" t="str" cm="1">
        <f t="array" ref="H150">Common_InputFunctions.Utility_DisplayArrayInTable(Fertiliser_SourceData.Fertiliser_Products_Data1(),FertiliserProducts[[#Headers],[Include or Exclude]], 0,4)</f>
        <v/>
      </c>
      <c r="I150" s="197" t="str" cm="1">
        <f t="array" ref="I150">Common_InputFunctions.Utility_DisplayArrayInTable(Fertiliser_SourceData.Fertiliser_Products_Data1(),FertiliserProducts[[#Headers],[Include or Exclude]], 0,4)</f>
        <v/>
      </c>
      <c r="J150" s="197" t="str" cm="1">
        <f t="array" ref="J150">Common_InputFunctions.Utility_DisplayArrayInTable(Fertiliser_SourceData.Fertiliser_Products_Data1(),FertiliserProducts[[#Headers],[Include or Exclude]], 0,4)</f>
        <v/>
      </c>
      <c r="K150" s="197" t="str" cm="1">
        <f t="array" ref="K150">Common_InputFunctions.Utility_DisplayArrayInTable(Fertiliser_SourceData.Fertiliser_Products_Data1(),FertiliserProducts[[#Headers],[Include or Exclude]], 0,4)</f>
        <v/>
      </c>
      <c r="L150" s="197" t="str" cm="1">
        <f t="array" ref="L150">Common_InputFunctions.Utility_DisplayArrayInTable(Fertiliser_SourceData.Fertiliser_Products_Data1(),FertiliserProducts[[#Headers],[Include or Exclude]], 0,4)</f>
        <v/>
      </c>
      <c r="M150" s="197" t="str" cm="1">
        <f t="array" ref="M150">Common_InputFunctions.Utility_DisplayArrayInTable(Fertiliser_SourceData.Fertiliser_Products_Data1(),FertiliserProducts[[#Headers],[Include or Exclude]], 0,4)</f>
        <v/>
      </c>
      <c r="N150" s="197" t="str" cm="1">
        <f t="array" ref="N150">Common_InputFunctions.Utility_DisplayArrayInTable(Fertiliser_SourceData.Fertiliser_Products_Data1(),FertiliserProducts[[#Headers],[Include or Exclude]], 0,4)</f>
        <v/>
      </c>
      <c r="O150" s="197" t="str" cm="1">
        <f t="array" ref="O150">Common_InputFunctions.Utility_DisplayArrayInTable(Fertiliser_SourceData.Fertiliser_Products_Data1(),FertiliserProducts[[#Headers],[Include or Exclude]], 0,4)</f>
        <v/>
      </c>
      <c r="P150" s="197" t="str" cm="1">
        <f t="array" ref="P150">Common_InputFunctions.Utility_DisplayArrayInTable(Fertiliser_SourceData.Fertiliser_Products_Data1(),FertiliserProducts[[#Headers],[Include or Exclude]], 0,4)</f>
        <v/>
      </c>
      <c r="Q150" s="197" t="str" cm="1">
        <f t="array" ref="Q150">Common_InputFunctions.Utility_DisplayArrayInTable(Fertiliser_SourceData.Fertiliser_Products_Data1(),FertiliserProducts[[#Headers],[Include or Exclude]], 0,4)</f>
        <v/>
      </c>
      <c r="R150" s="197" t="str" cm="1">
        <f t="array" ref="R150">Common_InputFunctions.Utility_DisplayArrayInTable(Fertiliser_SourceData.Fertiliser_Products_Data1(),FertiliserProducts[[#Headers],[Include or Exclude]], 0,4)</f>
        <v/>
      </c>
      <c r="S150" s="197" t="str" cm="1">
        <f t="array" ref="S150">Common_InputFunctions.Utility_DisplayArrayInTable(Fertiliser_SourceData.Fertiliser_Products_Data1(),FertiliserProducts[[#Headers],[Include or Exclude]], 0,4)</f>
        <v/>
      </c>
      <c r="T150" s="197" t="str" cm="1">
        <f t="array" ref="T150">Common_InputFunctions.Utility_DisplayArrayInTable(Fertiliser_SourceData.Fertiliser_Products_Data1(),FertiliserProducts[[#Headers],[Include or Exclude]], 0,4)</f>
        <v/>
      </c>
      <c r="U150" s="197" t="str" cm="1">
        <f t="array" ref="U150">Common_InputFunctions.Utility_DisplayArrayInTable(Fertiliser_SourceData.Fertiliser_Products_Data1(),FertiliserProducts[[#Headers],[Include or Exclude]], 0,4)</f>
        <v/>
      </c>
      <c r="V150" s="197" t="str" cm="1">
        <f t="array" ref="V150">Common_InputFunctions.Utility_DisplayArrayInTable(Fertiliser_SourceData.Fertiliser_Products_Data1(),FertiliserProducts[[#Headers],[Include or Exclude]], 0,4)</f>
        <v/>
      </c>
      <c r="W150" s="197" t="str" cm="1">
        <f t="array" ref="W150">Common_InputFunctions.Utility_DisplayArrayInTable(Fertiliser_SourceData.Fertiliser_Products_Data1(),FertiliserProducts[[#Headers],[Include or Exclude]], 0,4)</f>
        <v/>
      </c>
      <c r="X150" s="197" t="str" cm="1">
        <f t="array" ref="X150">Common_InputFunctions.Utility_DisplayArrayInTable(Fertiliser_SourceData.Fertiliser_Products_Data1(),FertiliserProducts[[#Headers],[Include or Exclude]], 0,4)</f>
        <v/>
      </c>
      <c r="Y150" s="197" t="str" cm="1">
        <f t="array" ref="Y150">Common_InputFunctions.Utility_DisplayArrayInTable(Fertiliser_SourceData.Fertiliser_Products_Data1(),FertiliserProducts[[#Headers],[Include or Exclude]], 0,4)</f>
        <v/>
      </c>
      <c r="Z150" s="197" t="str" cm="1">
        <f t="array" ref="Z150">Common_InputFunctions.Utility_DisplayArrayInTable(Fertiliser_SourceData.Fertiliser_Products_Data1(),FertiliserProducts[[#Headers],[Include or Exclude]], 0,4)</f>
        <v/>
      </c>
      <c r="AA150" s="197" t="str" cm="1">
        <f t="array" ref="AA150">Common_InputFunctions.Utility_DisplayArrayInTable(Fertiliser_SourceData.Fertiliser_Products_Data1(),FertiliserProducts[[#Headers],[Include or Exclude]], 0,4)</f>
        <v/>
      </c>
      <c r="AB150" s="197" t="str" cm="1">
        <f t="array" ref="AB150">Common_InputFunctions.Utility_DisplayArrayInTable(Fertiliser_SourceData.Fertiliser_Products_Data1(),FertiliserProducts[[#Headers],[Include or Exclude]], 0,4)</f>
        <v/>
      </c>
      <c r="AC150" s="197" t="str" cm="1">
        <f t="array" ref="AC150">Common_InputFunctions.Utility_DisplayArrayInTable(Fertiliser_SourceData.Fertiliser_Products_Data1(),FertiliserProducts[[#Headers],[Include or Exclude]], 0,4)</f>
        <v/>
      </c>
      <c r="AD150" s="197" t="str" cm="1">
        <f t="array" ref="AD150">Common_InputFunctions.Utility_DisplayArrayInTable(Fertiliser_SourceData.Fertiliser_Products_Data1(),FertiliserProducts[[#Headers],[Include or Exclude]], 0,4)</f>
        <v/>
      </c>
      <c r="AE150" s="197" t="str" cm="1">
        <f t="array" ref="AE150">Common_InputFunctions.Utility_DisplayArrayInTable(Fertiliser_SourceData.Fertiliser_Products_Data1(),FertiliserProducts[[#Headers],[Include or Exclude]], 0,4)</f>
        <v/>
      </c>
    </row>
    <row r="151" spans="4:31" ht="20.100000000000001" customHeight="1" x14ac:dyDescent="0.25">
      <c r="D151" s="197" t="str" cm="1">
        <f t="array" ref="D151">Common_InputFunctions.Utility_DisplayArrayInTable(Fertiliser_SourceData.Fertiliser_Products_Data1(),FertiliserProducts[[#Headers],[Include or Exclude]], -1)</f>
        <v/>
      </c>
      <c r="E151" s="197" t="str" cm="1">
        <f t="array" ref="E151">Common_InputFunctions.Utility_DisplayArrayInTable(Fertiliser_SourceData.Fertiliser_Products_Data1(),FertiliserProducts[[#Headers],[Include or Exclude]], 0)</f>
        <v/>
      </c>
      <c r="F151" s="197" t="str" cm="1">
        <f t="array" ref="F151">Common_InputFunctions.Utility_DisplayArrayInTable(Fertiliser_SourceData.Fertiliser_Products_Data1(),FertiliserProducts[[#Headers],[Include or Exclude]], 0)</f>
        <v/>
      </c>
      <c r="G151" s="197" t="str" cm="1">
        <f t="array" ref="G151">Common_InputFunctions.Utility_DisplayArrayInTable(Fertiliser_SourceData.Fertiliser_Products_Data1(),FertiliserProducts[[#Headers],[Include or Exclude]], 0)</f>
        <v/>
      </c>
      <c r="H151" s="197" t="str" cm="1">
        <f t="array" ref="H151">Common_InputFunctions.Utility_DisplayArrayInTable(Fertiliser_SourceData.Fertiliser_Products_Data1(),FertiliserProducts[[#Headers],[Include or Exclude]], 0,4)</f>
        <v/>
      </c>
      <c r="I151" s="197" t="str" cm="1">
        <f t="array" ref="I151">Common_InputFunctions.Utility_DisplayArrayInTable(Fertiliser_SourceData.Fertiliser_Products_Data1(),FertiliserProducts[[#Headers],[Include or Exclude]], 0,4)</f>
        <v/>
      </c>
      <c r="J151" s="197" t="str" cm="1">
        <f t="array" ref="J151">Common_InputFunctions.Utility_DisplayArrayInTable(Fertiliser_SourceData.Fertiliser_Products_Data1(),FertiliserProducts[[#Headers],[Include or Exclude]], 0,4)</f>
        <v/>
      </c>
      <c r="K151" s="197" t="str" cm="1">
        <f t="array" ref="K151">Common_InputFunctions.Utility_DisplayArrayInTable(Fertiliser_SourceData.Fertiliser_Products_Data1(),FertiliserProducts[[#Headers],[Include or Exclude]], 0,4)</f>
        <v/>
      </c>
      <c r="L151" s="197" t="str" cm="1">
        <f t="array" ref="L151">Common_InputFunctions.Utility_DisplayArrayInTable(Fertiliser_SourceData.Fertiliser_Products_Data1(),FertiliserProducts[[#Headers],[Include or Exclude]], 0,4)</f>
        <v/>
      </c>
      <c r="M151" s="197" t="str" cm="1">
        <f t="array" ref="M151">Common_InputFunctions.Utility_DisplayArrayInTable(Fertiliser_SourceData.Fertiliser_Products_Data1(),FertiliserProducts[[#Headers],[Include or Exclude]], 0,4)</f>
        <v/>
      </c>
      <c r="N151" s="197" t="str" cm="1">
        <f t="array" ref="N151">Common_InputFunctions.Utility_DisplayArrayInTable(Fertiliser_SourceData.Fertiliser_Products_Data1(),FertiliserProducts[[#Headers],[Include or Exclude]], 0,4)</f>
        <v/>
      </c>
      <c r="O151" s="197" t="str" cm="1">
        <f t="array" ref="O151">Common_InputFunctions.Utility_DisplayArrayInTable(Fertiliser_SourceData.Fertiliser_Products_Data1(),FertiliserProducts[[#Headers],[Include or Exclude]], 0,4)</f>
        <v/>
      </c>
      <c r="P151" s="197" t="str" cm="1">
        <f t="array" ref="P151">Common_InputFunctions.Utility_DisplayArrayInTable(Fertiliser_SourceData.Fertiliser_Products_Data1(),FertiliserProducts[[#Headers],[Include or Exclude]], 0,4)</f>
        <v/>
      </c>
      <c r="Q151" s="197" t="str" cm="1">
        <f t="array" ref="Q151">Common_InputFunctions.Utility_DisplayArrayInTable(Fertiliser_SourceData.Fertiliser_Products_Data1(),FertiliserProducts[[#Headers],[Include or Exclude]], 0,4)</f>
        <v/>
      </c>
      <c r="R151" s="197" t="str" cm="1">
        <f t="array" ref="R151">Common_InputFunctions.Utility_DisplayArrayInTable(Fertiliser_SourceData.Fertiliser_Products_Data1(),FertiliserProducts[[#Headers],[Include or Exclude]], 0,4)</f>
        <v/>
      </c>
      <c r="S151" s="197" t="str" cm="1">
        <f t="array" ref="S151">Common_InputFunctions.Utility_DisplayArrayInTable(Fertiliser_SourceData.Fertiliser_Products_Data1(),FertiliserProducts[[#Headers],[Include or Exclude]], 0,4)</f>
        <v/>
      </c>
      <c r="T151" s="197" t="str" cm="1">
        <f t="array" ref="T151">Common_InputFunctions.Utility_DisplayArrayInTable(Fertiliser_SourceData.Fertiliser_Products_Data1(),FertiliserProducts[[#Headers],[Include or Exclude]], 0,4)</f>
        <v/>
      </c>
      <c r="U151" s="197" t="str" cm="1">
        <f t="array" ref="U151">Common_InputFunctions.Utility_DisplayArrayInTable(Fertiliser_SourceData.Fertiliser_Products_Data1(),FertiliserProducts[[#Headers],[Include or Exclude]], 0,4)</f>
        <v/>
      </c>
      <c r="V151" s="197" t="str" cm="1">
        <f t="array" ref="V151">Common_InputFunctions.Utility_DisplayArrayInTable(Fertiliser_SourceData.Fertiliser_Products_Data1(),FertiliserProducts[[#Headers],[Include or Exclude]], 0,4)</f>
        <v/>
      </c>
      <c r="W151" s="197" t="str" cm="1">
        <f t="array" ref="W151">Common_InputFunctions.Utility_DisplayArrayInTable(Fertiliser_SourceData.Fertiliser_Products_Data1(),FertiliserProducts[[#Headers],[Include or Exclude]], 0,4)</f>
        <v/>
      </c>
      <c r="X151" s="197" t="str" cm="1">
        <f t="array" ref="X151">Common_InputFunctions.Utility_DisplayArrayInTable(Fertiliser_SourceData.Fertiliser_Products_Data1(),FertiliserProducts[[#Headers],[Include or Exclude]], 0,4)</f>
        <v/>
      </c>
      <c r="Y151" s="197" t="str" cm="1">
        <f t="array" ref="Y151">Common_InputFunctions.Utility_DisplayArrayInTable(Fertiliser_SourceData.Fertiliser_Products_Data1(),FertiliserProducts[[#Headers],[Include or Exclude]], 0,4)</f>
        <v/>
      </c>
      <c r="Z151" s="197" t="str" cm="1">
        <f t="array" ref="Z151">Common_InputFunctions.Utility_DisplayArrayInTable(Fertiliser_SourceData.Fertiliser_Products_Data1(),FertiliserProducts[[#Headers],[Include or Exclude]], 0,4)</f>
        <v/>
      </c>
      <c r="AA151" s="197" t="str" cm="1">
        <f t="array" ref="AA151">Common_InputFunctions.Utility_DisplayArrayInTable(Fertiliser_SourceData.Fertiliser_Products_Data1(),FertiliserProducts[[#Headers],[Include or Exclude]], 0,4)</f>
        <v/>
      </c>
      <c r="AB151" s="197" t="str" cm="1">
        <f t="array" ref="AB151">Common_InputFunctions.Utility_DisplayArrayInTable(Fertiliser_SourceData.Fertiliser_Products_Data1(),FertiliserProducts[[#Headers],[Include or Exclude]], 0,4)</f>
        <v/>
      </c>
      <c r="AC151" s="197" t="str" cm="1">
        <f t="array" ref="AC151">Common_InputFunctions.Utility_DisplayArrayInTable(Fertiliser_SourceData.Fertiliser_Products_Data1(),FertiliserProducts[[#Headers],[Include or Exclude]], 0,4)</f>
        <v/>
      </c>
      <c r="AD151" s="197" t="str" cm="1">
        <f t="array" ref="AD151">Common_InputFunctions.Utility_DisplayArrayInTable(Fertiliser_SourceData.Fertiliser_Products_Data1(),FertiliserProducts[[#Headers],[Include or Exclude]], 0,4)</f>
        <v/>
      </c>
      <c r="AE151" s="197" t="str" cm="1">
        <f t="array" ref="AE151">Common_InputFunctions.Utility_DisplayArrayInTable(Fertiliser_SourceData.Fertiliser_Products_Data1(),FertiliserProducts[[#Headers],[Include or Exclude]], 0,4)</f>
        <v/>
      </c>
    </row>
    <row r="152" spans="4:31" ht="20.100000000000001" customHeight="1" x14ac:dyDescent="0.25">
      <c r="D152" s="197" t="str" cm="1">
        <f t="array" ref="D152">Common_InputFunctions.Utility_DisplayArrayInTable(Fertiliser_SourceData.Fertiliser_Products_Data1(),FertiliserProducts[[#Headers],[Include or Exclude]], -1)</f>
        <v/>
      </c>
      <c r="E152" s="197" t="str" cm="1">
        <f t="array" ref="E152">Common_InputFunctions.Utility_DisplayArrayInTable(Fertiliser_SourceData.Fertiliser_Products_Data1(),FertiliserProducts[[#Headers],[Include or Exclude]], 0)</f>
        <v/>
      </c>
      <c r="F152" s="197" t="str" cm="1">
        <f t="array" ref="F152">Common_InputFunctions.Utility_DisplayArrayInTable(Fertiliser_SourceData.Fertiliser_Products_Data1(),FertiliserProducts[[#Headers],[Include or Exclude]], 0)</f>
        <v/>
      </c>
      <c r="G152" s="197" t="str" cm="1">
        <f t="array" ref="G152">Common_InputFunctions.Utility_DisplayArrayInTable(Fertiliser_SourceData.Fertiliser_Products_Data1(),FertiliserProducts[[#Headers],[Include or Exclude]], 0)</f>
        <v/>
      </c>
      <c r="H152" s="197" t="str" cm="1">
        <f t="array" ref="H152">Common_InputFunctions.Utility_DisplayArrayInTable(Fertiliser_SourceData.Fertiliser_Products_Data1(),FertiliserProducts[[#Headers],[Include or Exclude]], 0,4)</f>
        <v/>
      </c>
      <c r="I152" s="197" t="str" cm="1">
        <f t="array" ref="I152">Common_InputFunctions.Utility_DisplayArrayInTable(Fertiliser_SourceData.Fertiliser_Products_Data1(),FertiliserProducts[[#Headers],[Include or Exclude]], 0,4)</f>
        <v/>
      </c>
      <c r="J152" s="197" t="str" cm="1">
        <f t="array" ref="J152">Common_InputFunctions.Utility_DisplayArrayInTable(Fertiliser_SourceData.Fertiliser_Products_Data1(),FertiliserProducts[[#Headers],[Include or Exclude]], 0,4)</f>
        <v/>
      </c>
      <c r="K152" s="197" t="str" cm="1">
        <f t="array" ref="K152">Common_InputFunctions.Utility_DisplayArrayInTable(Fertiliser_SourceData.Fertiliser_Products_Data1(),FertiliserProducts[[#Headers],[Include or Exclude]], 0,4)</f>
        <v/>
      </c>
      <c r="L152" s="197" t="str" cm="1">
        <f t="array" ref="L152">Common_InputFunctions.Utility_DisplayArrayInTable(Fertiliser_SourceData.Fertiliser_Products_Data1(),FertiliserProducts[[#Headers],[Include or Exclude]], 0,4)</f>
        <v/>
      </c>
      <c r="M152" s="197" t="str" cm="1">
        <f t="array" ref="M152">Common_InputFunctions.Utility_DisplayArrayInTable(Fertiliser_SourceData.Fertiliser_Products_Data1(),FertiliserProducts[[#Headers],[Include or Exclude]], 0,4)</f>
        <v/>
      </c>
      <c r="N152" s="197" t="str" cm="1">
        <f t="array" ref="N152">Common_InputFunctions.Utility_DisplayArrayInTable(Fertiliser_SourceData.Fertiliser_Products_Data1(),FertiliserProducts[[#Headers],[Include or Exclude]], 0,4)</f>
        <v/>
      </c>
      <c r="O152" s="197" t="str" cm="1">
        <f t="array" ref="O152">Common_InputFunctions.Utility_DisplayArrayInTable(Fertiliser_SourceData.Fertiliser_Products_Data1(),FertiliserProducts[[#Headers],[Include or Exclude]], 0,4)</f>
        <v/>
      </c>
      <c r="P152" s="197" t="str" cm="1">
        <f t="array" ref="P152">Common_InputFunctions.Utility_DisplayArrayInTable(Fertiliser_SourceData.Fertiliser_Products_Data1(),FertiliserProducts[[#Headers],[Include or Exclude]], 0,4)</f>
        <v/>
      </c>
      <c r="Q152" s="197" t="str" cm="1">
        <f t="array" ref="Q152">Common_InputFunctions.Utility_DisplayArrayInTable(Fertiliser_SourceData.Fertiliser_Products_Data1(),FertiliserProducts[[#Headers],[Include or Exclude]], 0,4)</f>
        <v/>
      </c>
      <c r="R152" s="197" t="str" cm="1">
        <f t="array" ref="R152">Common_InputFunctions.Utility_DisplayArrayInTable(Fertiliser_SourceData.Fertiliser_Products_Data1(),FertiliserProducts[[#Headers],[Include or Exclude]], 0,4)</f>
        <v/>
      </c>
      <c r="S152" s="197" t="str" cm="1">
        <f t="array" ref="S152">Common_InputFunctions.Utility_DisplayArrayInTable(Fertiliser_SourceData.Fertiliser_Products_Data1(),FertiliserProducts[[#Headers],[Include or Exclude]], 0,4)</f>
        <v/>
      </c>
      <c r="T152" s="197" t="str" cm="1">
        <f t="array" ref="T152">Common_InputFunctions.Utility_DisplayArrayInTable(Fertiliser_SourceData.Fertiliser_Products_Data1(),FertiliserProducts[[#Headers],[Include or Exclude]], 0,4)</f>
        <v/>
      </c>
      <c r="U152" s="197" t="str" cm="1">
        <f t="array" ref="U152">Common_InputFunctions.Utility_DisplayArrayInTable(Fertiliser_SourceData.Fertiliser_Products_Data1(),FertiliserProducts[[#Headers],[Include or Exclude]], 0,4)</f>
        <v/>
      </c>
      <c r="V152" s="197" t="str" cm="1">
        <f t="array" ref="V152">Common_InputFunctions.Utility_DisplayArrayInTable(Fertiliser_SourceData.Fertiliser_Products_Data1(),FertiliserProducts[[#Headers],[Include or Exclude]], 0,4)</f>
        <v/>
      </c>
      <c r="W152" s="197" t="str" cm="1">
        <f t="array" ref="W152">Common_InputFunctions.Utility_DisplayArrayInTable(Fertiliser_SourceData.Fertiliser_Products_Data1(),FertiliserProducts[[#Headers],[Include or Exclude]], 0,4)</f>
        <v/>
      </c>
      <c r="X152" s="197" t="str" cm="1">
        <f t="array" ref="X152">Common_InputFunctions.Utility_DisplayArrayInTable(Fertiliser_SourceData.Fertiliser_Products_Data1(),FertiliserProducts[[#Headers],[Include or Exclude]], 0,4)</f>
        <v/>
      </c>
      <c r="Y152" s="197" t="str" cm="1">
        <f t="array" ref="Y152">Common_InputFunctions.Utility_DisplayArrayInTable(Fertiliser_SourceData.Fertiliser_Products_Data1(),FertiliserProducts[[#Headers],[Include or Exclude]], 0,4)</f>
        <v/>
      </c>
      <c r="Z152" s="197" t="str" cm="1">
        <f t="array" ref="Z152">Common_InputFunctions.Utility_DisplayArrayInTable(Fertiliser_SourceData.Fertiliser_Products_Data1(),FertiliserProducts[[#Headers],[Include or Exclude]], 0,4)</f>
        <v/>
      </c>
      <c r="AA152" s="197" t="str" cm="1">
        <f t="array" ref="AA152">Common_InputFunctions.Utility_DisplayArrayInTable(Fertiliser_SourceData.Fertiliser_Products_Data1(),FertiliserProducts[[#Headers],[Include or Exclude]], 0,4)</f>
        <v/>
      </c>
      <c r="AB152" s="197" t="str" cm="1">
        <f t="array" ref="AB152">Common_InputFunctions.Utility_DisplayArrayInTable(Fertiliser_SourceData.Fertiliser_Products_Data1(),FertiliserProducts[[#Headers],[Include or Exclude]], 0,4)</f>
        <v/>
      </c>
      <c r="AC152" s="197" t="str" cm="1">
        <f t="array" ref="AC152">Common_InputFunctions.Utility_DisplayArrayInTable(Fertiliser_SourceData.Fertiliser_Products_Data1(),FertiliserProducts[[#Headers],[Include or Exclude]], 0,4)</f>
        <v/>
      </c>
      <c r="AD152" s="197" t="str" cm="1">
        <f t="array" ref="AD152">Common_InputFunctions.Utility_DisplayArrayInTable(Fertiliser_SourceData.Fertiliser_Products_Data1(),FertiliserProducts[[#Headers],[Include or Exclude]], 0,4)</f>
        <v/>
      </c>
      <c r="AE152" s="197" t="str" cm="1">
        <f t="array" ref="AE152">Common_InputFunctions.Utility_DisplayArrayInTable(Fertiliser_SourceData.Fertiliser_Products_Data1(),FertiliserProducts[[#Headers],[Include or Exclude]], 0,4)</f>
        <v/>
      </c>
    </row>
    <row r="153" spans="4:31" ht="20.100000000000001" customHeight="1" x14ac:dyDescent="0.25">
      <c r="D153" s="197" t="str" cm="1">
        <f t="array" ref="D153">Common_InputFunctions.Utility_DisplayArrayInTable(Fertiliser_SourceData.Fertiliser_Products_Data1(),FertiliserProducts[[#Headers],[Include or Exclude]], -1)</f>
        <v/>
      </c>
      <c r="E153" s="197" t="str" cm="1">
        <f t="array" ref="E153">Common_InputFunctions.Utility_DisplayArrayInTable(Fertiliser_SourceData.Fertiliser_Products_Data1(),FertiliserProducts[[#Headers],[Include or Exclude]], 0)</f>
        <v/>
      </c>
      <c r="F153" s="197" t="str" cm="1">
        <f t="array" ref="F153">Common_InputFunctions.Utility_DisplayArrayInTable(Fertiliser_SourceData.Fertiliser_Products_Data1(),FertiliserProducts[[#Headers],[Include or Exclude]], 0)</f>
        <v/>
      </c>
      <c r="G153" s="197" t="str" cm="1">
        <f t="array" ref="G153">Common_InputFunctions.Utility_DisplayArrayInTable(Fertiliser_SourceData.Fertiliser_Products_Data1(),FertiliserProducts[[#Headers],[Include or Exclude]], 0)</f>
        <v/>
      </c>
      <c r="H153" s="197" t="str" cm="1">
        <f t="array" ref="H153">Common_InputFunctions.Utility_DisplayArrayInTable(Fertiliser_SourceData.Fertiliser_Products_Data1(),FertiliserProducts[[#Headers],[Include or Exclude]], 0,4)</f>
        <v/>
      </c>
      <c r="I153" s="197" t="str" cm="1">
        <f t="array" ref="I153">Common_InputFunctions.Utility_DisplayArrayInTable(Fertiliser_SourceData.Fertiliser_Products_Data1(),FertiliserProducts[[#Headers],[Include or Exclude]], 0,4)</f>
        <v/>
      </c>
      <c r="J153" s="197" t="str" cm="1">
        <f t="array" ref="J153">Common_InputFunctions.Utility_DisplayArrayInTable(Fertiliser_SourceData.Fertiliser_Products_Data1(),FertiliserProducts[[#Headers],[Include or Exclude]], 0,4)</f>
        <v/>
      </c>
      <c r="K153" s="197" t="str" cm="1">
        <f t="array" ref="K153">Common_InputFunctions.Utility_DisplayArrayInTable(Fertiliser_SourceData.Fertiliser_Products_Data1(),FertiliserProducts[[#Headers],[Include or Exclude]], 0,4)</f>
        <v/>
      </c>
      <c r="L153" s="197" t="str" cm="1">
        <f t="array" ref="L153">Common_InputFunctions.Utility_DisplayArrayInTable(Fertiliser_SourceData.Fertiliser_Products_Data1(),FertiliserProducts[[#Headers],[Include or Exclude]], 0,4)</f>
        <v/>
      </c>
      <c r="M153" s="197" t="str" cm="1">
        <f t="array" ref="M153">Common_InputFunctions.Utility_DisplayArrayInTable(Fertiliser_SourceData.Fertiliser_Products_Data1(),FertiliserProducts[[#Headers],[Include or Exclude]], 0,4)</f>
        <v/>
      </c>
      <c r="N153" s="197" t="str" cm="1">
        <f t="array" ref="N153">Common_InputFunctions.Utility_DisplayArrayInTable(Fertiliser_SourceData.Fertiliser_Products_Data1(),FertiliserProducts[[#Headers],[Include or Exclude]], 0,4)</f>
        <v/>
      </c>
      <c r="O153" s="197" t="str" cm="1">
        <f t="array" ref="O153">Common_InputFunctions.Utility_DisplayArrayInTable(Fertiliser_SourceData.Fertiliser_Products_Data1(),FertiliserProducts[[#Headers],[Include or Exclude]], 0,4)</f>
        <v/>
      </c>
      <c r="P153" s="197" t="str" cm="1">
        <f t="array" ref="P153">Common_InputFunctions.Utility_DisplayArrayInTable(Fertiliser_SourceData.Fertiliser_Products_Data1(),FertiliserProducts[[#Headers],[Include or Exclude]], 0,4)</f>
        <v/>
      </c>
      <c r="Q153" s="197" t="str" cm="1">
        <f t="array" ref="Q153">Common_InputFunctions.Utility_DisplayArrayInTable(Fertiliser_SourceData.Fertiliser_Products_Data1(),FertiliserProducts[[#Headers],[Include or Exclude]], 0,4)</f>
        <v/>
      </c>
      <c r="R153" s="197" t="str" cm="1">
        <f t="array" ref="R153">Common_InputFunctions.Utility_DisplayArrayInTable(Fertiliser_SourceData.Fertiliser_Products_Data1(),FertiliserProducts[[#Headers],[Include or Exclude]], 0,4)</f>
        <v/>
      </c>
      <c r="S153" s="197" t="str" cm="1">
        <f t="array" ref="S153">Common_InputFunctions.Utility_DisplayArrayInTable(Fertiliser_SourceData.Fertiliser_Products_Data1(),FertiliserProducts[[#Headers],[Include or Exclude]], 0,4)</f>
        <v/>
      </c>
      <c r="T153" s="197" t="str" cm="1">
        <f t="array" ref="T153">Common_InputFunctions.Utility_DisplayArrayInTable(Fertiliser_SourceData.Fertiliser_Products_Data1(),FertiliserProducts[[#Headers],[Include or Exclude]], 0,4)</f>
        <v/>
      </c>
      <c r="U153" s="197" t="str" cm="1">
        <f t="array" ref="U153">Common_InputFunctions.Utility_DisplayArrayInTable(Fertiliser_SourceData.Fertiliser_Products_Data1(),FertiliserProducts[[#Headers],[Include or Exclude]], 0,4)</f>
        <v/>
      </c>
      <c r="V153" s="197" t="str" cm="1">
        <f t="array" ref="V153">Common_InputFunctions.Utility_DisplayArrayInTable(Fertiliser_SourceData.Fertiliser_Products_Data1(),FertiliserProducts[[#Headers],[Include or Exclude]], 0,4)</f>
        <v/>
      </c>
      <c r="W153" s="197" t="str" cm="1">
        <f t="array" ref="W153">Common_InputFunctions.Utility_DisplayArrayInTable(Fertiliser_SourceData.Fertiliser_Products_Data1(),FertiliserProducts[[#Headers],[Include or Exclude]], 0,4)</f>
        <v/>
      </c>
      <c r="X153" s="197" t="str" cm="1">
        <f t="array" ref="X153">Common_InputFunctions.Utility_DisplayArrayInTable(Fertiliser_SourceData.Fertiliser_Products_Data1(),FertiliserProducts[[#Headers],[Include or Exclude]], 0,4)</f>
        <v/>
      </c>
      <c r="Y153" s="197" t="str" cm="1">
        <f t="array" ref="Y153">Common_InputFunctions.Utility_DisplayArrayInTable(Fertiliser_SourceData.Fertiliser_Products_Data1(),FertiliserProducts[[#Headers],[Include or Exclude]], 0,4)</f>
        <v/>
      </c>
      <c r="Z153" s="197" t="str" cm="1">
        <f t="array" ref="Z153">Common_InputFunctions.Utility_DisplayArrayInTable(Fertiliser_SourceData.Fertiliser_Products_Data1(),FertiliserProducts[[#Headers],[Include or Exclude]], 0,4)</f>
        <v/>
      </c>
      <c r="AA153" s="197" t="str" cm="1">
        <f t="array" ref="AA153">Common_InputFunctions.Utility_DisplayArrayInTable(Fertiliser_SourceData.Fertiliser_Products_Data1(),FertiliserProducts[[#Headers],[Include or Exclude]], 0,4)</f>
        <v/>
      </c>
      <c r="AB153" s="197" t="str" cm="1">
        <f t="array" ref="AB153">Common_InputFunctions.Utility_DisplayArrayInTable(Fertiliser_SourceData.Fertiliser_Products_Data1(),FertiliserProducts[[#Headers],[Include or Exclude]], 0,4)</f>
        <v/>
      </c>
      <c r="AC153" s="197" t="str" cm="1">
        <f t="array" ref="AC153">Common_InputFunctions.Utility_DisplayArrayInTable(Fertiliser_SourceData.Fertiliser_Products_Data1(),FertiliserProducts[[#Headers],[Include or Exclude]], 0,4)</f>
        <v/>
      </c>
      <c r="AD153" s="197" t="str" cm="1">
        <f t="array" ref="AD153">Common_InputFunctions.Utility_DisplayArrayInTable(Fertiliser_SourceData.Fertiliser_Products_Data1(),FertiliserProducts[[#Headers],[Include or Exclude]], 0,4)</f>
        <v/>
      </c>
      <c r="AE153" s="19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801C-5A7A-40A0-AB7F-8F597AAC6834}">
  <dimension ref="A1:AI165"/>
  <sheetViews>
    <sheetView showGridLines="0" topLeftCell="A13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829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89"/>
      <c r="F5" s="189"/>
      <c r="G5" s="189"/>
      <c r="H5" s="189"/>
      <c r="I5" s="189"/>
      <c r="J5" s="189"/>
      <c r="K5" s="189"/>
      <c r="L5" s="18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89"/>
      <c r="F6" s="189"/>
      <c r="G6" s="189"/>
      <c r="H6" s="189"/>
      <c r="I6" s="189"/>
      <c r="J6" s="189"/>
      <c r="K6" s="189"/>
      <c r="L6" s="189"/>
    </row>
    <row r="7" spans="1:35" ht="20.100000000000001" customHeight="1" x14ac:dyDescent="0.25">
      <c r="D7" s="27" t="str" cm="1">
        <f t="array" ref="D7">Fuel_SourceData.Fuel_Scope1Scope3EmissionFactorsTransport_Source()</f>
        <v>Australian National Greenhouse Accounts Factors 2025 - Table 9</v>
      </c>
      <c r="E7" s="189"/>
      <c r="F7" s="189"/>
      <c r="G7" s="189"/>
      <c r="H7" s="189"/>
      <c r="I7" s="189"/>
      <c r="J7" s="189"/>
      <c r="K7" s="189"/>
      <c r="L7" s="189"/>
    </row>
    <row r="8" spans="1:35" ht="20.100000000000001" customHeight="1" x14ac:dyDescent="0.25">
      <c r="A8" s="7" t="s">
        <v>0</v>
      </c>
      <c r="D8" s="36" t="str" cm="1">
        <f t="array" ref="D8">"⚠️" &amp; Fuel_SourceData.Fuel_Scope1Scope3EmissionFactorsTransport_Variation()</f>
        <v>⚠️VARIATION OF SOURCE DATA: 'NE' values returned as zero for calculations.</v>
      </c>
      <c r="E8" s="189"/>
      <c r="F8" s="189"/>
      <c r="G8" s="189"/>
      <c r="H8" s="189"/>
      <c r="I8" s="189"/>
      <c r="J8" s="189"/>
      <c r="K8" s="189"/>
      <c r="L8" s="189"/>
    </row>
    <row r="9" spans="1:35" ht="20.100000000000001" customHeight="1" x14ac:dyDescent="0.25">
      <c r="A9" s="5" t="str">
        <f>HYPERLINK("#'Input - Enterprise'!A1", "Enterprise")</f>
        <v>Enterprise</v>
      </c>
      <c r="D9" s="238" t="s">
        <v>830</v>
      </c>
      <c r="E9" s="238" t="s">
        <v>831</v>
      </c>
      <c r="F9" s="238" t="s">
        <v>832</v>
      </c>
      <c r="G9" s="238" t="s">
        <v>833</v>
      </c>
      <c r="H9" s="238" t="s">
        <v>834</v>
      </c>
      <c r="I9" s="238" t="s">
        <v>835</v>
      </c>
      <c r="J9" s="238" t="s">
        <v>836</v>
      </c>
      <c r="K9" s="238" t="s">
        <v>837</v>
      </c>
      <c r="L9" s="238" t="s">
        <v>838</v>
      </c>
    </row>
    <row r="10" spans="1:35" ht="20.100000000000001" customHeight="1" x14ac:dyDescent="0.25">
      <c r="A10" s="5" t="str">
        <f>HYPERLINK("#'Input - Site'!A1", "Site")</f>
        <v>Site</v>
      </c>
      <c r="D10" s="239" t="str" cm="1">
        <f t="array" ref="D10">Common_InputFunctions.Utility_DisplayArrayInTable(Fuel_SourceData.Fuel_Scope1Scope3EmissionFactorsTransport_Data(), Table_Fuel_EFs_Transport[[#Headers],[Transport type]], 0)</f>
        <v>Cars and light commercial vehicles</v>
      </c>
      <c r="E10" s="239" t="str" cm="1">
        <f t="array" ref="E10">Common_InputFunctions.Utility_DisplayArrayInTable(Fuel_SourceData.Fuel_Scope1Scope3EmissionFactorsTransport_Data(), Table_Fuel_EFs_Transport[[#Headers],[Transport type]], 0)</f>
        <v>Gasoline</v>
      </c>
      <c r="F10" s="239" cm="1">
        <f t="array" ref="F10">Common_InputFunctions.Utility_DisplayArrayInTable(Fuel_SourceData.Fuel_Scope1Scope3EmissionFactorsTransport_Data(), Table_Fuel_EFs_Transport[[#Headers],[Transport type]], 0)</f>
        <v>34.200000000000003</v>
      </c>
      <c r="G10" s="239" t="str" cm="1">
        <f t="array" ref="G10">Common_InputFunctions.Utility_DisplayArrayInTable(Fuel_SourceData.Fuel_Scope1Scope3EmissionFactorsTransport_Data(), Table_Fuel_EFs_Transport[[#Headers],[Transport type]], 0)</f>
        <v>kl</v>
      </c>
      <c r="H10" s="239" cm="1">
        <f t="array" ref="H10">Common_InputFunctions.Utility_DisplayArrayInTable(Fuel_SourceData.Fuel_Scope1Scope3EmissionFactorsTransport_Data(), Table_Fuel_EFs_Transport[[#Headers],[Transport type]], 0)</f>
        <v>67.400000000000006</v>
      </c>
      <c r="I10" s="239" cm="1">
        <f t="array" ref="I10">Common_InputFunctions.Utility_DisplayArrayInTable(Fuel_SourceData.Fuel_Scope1Scope3EmissionFactorsTransport_Data(), Table_Fuel_EFs_Transport[[#Headers],[Transport type]], 0)</f>
        <v>0.02</v>
      </c>
      <c r="J10" s="239" cm="1">
        <f t="array" ref="J10">Common_InputFunctions.Utility_DisplayArrayInTable(Fuel_SourceData.Fuel_Scope1Scope3EmissionFactorsTransport_Data(), Table_Fuel_EFs_Transport[[#Headers],[Transport type]], 0)</f>
        <v>0.2</v>
      </c>
      <c r="K10" s="239" cm="1">
        <f t="array" ref="K10">Common_InputFunctions.Utility_DisplayArrayInTable(Fuel_SourceData.Fuel_Scope1Scope3EmissionFactorsTransport_Data(), Table_Fuel_EFs_Transport[[#Headers],[Transport type]], 0)</f>
        <v>67.62</v>
      </c>
      <c r="L10" s="23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39" t="str" cm="1">
        <f t="array" ref="D11">Common_InputFunctions.Utility_DisplayArrayInTable(Fuel_SourceData.Fuel_Scope1Scope3EmissionFactorsTransport_Data(), Table_Fuel_EFs_Transport[[#Headers],[Transport type]], 0)</f>
        <v>Cars and light commercial vehicles</v>
      </c>
      <c r="E11" s="239" t="str" cm="1">
        <f t="array" ref="E11">Common_InputFunctions.Utility_DisplayArrayInTable(Fuel_SourceData.Fuel_Scope1Scope3EmissionFactorsTransport_Data(), Table_Fuel_EFs_Transport[[#Headers],[Transport type]], 0)</f>
        <v>Diesel oil</v>
      </c>
      <c r="F11" s="239" cm="1">
        <f t="array" ref="F11">Common_InputFunctions.Utility_DisplayArrayInTable(Fuel_SourceData.Fuel_Scope1Scope3EmissionFactorsTransport_Data(), Table_Fuel_EFs_Transport[[#Headers],[Transport type]], 0)</f>
        <v>38.6</v>
      </c>
      <c r="G11" s="239" t="str" cm="1">
        <f t="array" ref="G11">Common_InputFunctions.Utility_DisplayArrayInTable(Fuel_SourceData.Fuel_Scope1Scope3EmissionFactorsTransport_Data(), Table_Fuel_EFs_Transport[[#Headers],[Transport type]], 0)</f>
        <v>kl</v>
      </c>
      <c r="H11" s="239" cm="1">
        <f t="array" ref="H11">Common_InputFunctions.Utility_DisplayArrayInTable(Fuel_SourceData.Fuel_Scope1Scope3EmissionFactorsTransport_Data(), Table_Fuel_EFs_Transport[[#Headers],[Transport type]], 0)</f>
        <v>69.900000000000006</v>
      </c>
      <c r="I11" s="239" cm="1">
        <f t="array" ref="I11">Common_InputFunctions.Utility_DisplayArrayInTable(Fuel_SourceData.Fuel_Scope1Scope3EmissionFactorsTransport_Data(), Table_Fuel_EFs_Transport[[#Headers],[Transport type]], 0)</f>
        <v>0.01</v>
      </c>
      <c r="J11" s="239" cm="1">
        <f t="array" ref="J11">Common_InputFunctions.Utility_DisplayArrayInTable(Fuel_SourceData.Fuel_Scope1Scope3EmissionFactorsTransport_Data(), Table_Fuel_EFs_Transport[[#Headers],[Transport type]], 0)</f>
        <v>0.5</v>
      </c>
      <c r="K11" s="239" cm="1">
        <f t="array" ref="K11">Common_InputFunctions.Utility_DisplayArrayInTable(Fuel_SourceData.Fuel_Scope1Scope3EmissionFactorsTransport_Data(), Table_Fuel_EFs_Transport[[#Headers],[Transport type]], 0)</f>
        <v>70.41</v>
      </c>
      <c r="L11" s="23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39" t="str" cm="1">
        <f t="array" ref="D12">Common_InputFunctions.Utility_DisplayArrayInTable(Fuel_SourceData.Fuel_Scope1Scope3EmissionFactorsTransport_Data(), Table_Fuel_EFs_Transport[[#Headers],[Transport type]], 0)</f>
        <v>Cars and light commercial vehicles</v>
      </c>
      <c r="E12" s="239" t="str" cm="1">
        <f t="array" ref="E12">Common_InputFunctions.Utility_DisplayArrayInTable(Fuel_SourceData.Fuel_Scope1Scope3EmissionFactorsTransport_Data(), Table_Fuel_EFs_Transport[[#Headers],[Transport type]], 0)</f>
        <v>Liquefied petroleum gas (LPG)</v>
      </c>
      <c r="F12" s="239" cm="1">
        <f t="array" ref="F12">Common_InputFunctions.Utility_DisplayArrayInTable(Fuel_SourceData.Fuel_Scope1Scope3EmissionFactorsTransport_Data(), Table_Fuel_EFs_Transport[[#Headers],[Transport type]], 0)</f>
        <v>26.2</v>
      </c>
      <c r="G12" s="239" t="str" cm="1">
        <f t="array" ref="G12">Common_InputFunctions.Utility_DisplayArrayInTable(Fuel_SourceData.Fuel_Scope1Scope3EmissionFactorsTransport_Data(), Table_Fuel_EFs_Transport[[#Headers],[Transport type]], 0)</f>
        <v>kl</v>
      </c>
      <c r="H12" s="239" cm="1">
        <f t="array" ref="H12">Common_InputFunctions.Utility_DisplayArrayInTable(Fuel_SourceData.Fuel_Scope1Scope3EmissionFactorsTransport_Data(), Table_Fuel_EFs_Transport[[#Headers],[Transport type]], 0)</f>
        <v>60.2</v>
      </c>
      <c r="I12" s="239" cm="1">
        <f t="array" ref="I12">Common_InputFunctions.Utility_DisplayArrayInTable(Fuel_SourceData.Fuel_Scope1Scope3EmissionFactorsTransport_Data(), Table_Fuel_EFs_Transport[[#Headers],[Transport type]], 0)</f>
        <v>0.5</v>
      </c>
      <c r="J12" s="239" cm="1">
        <f t="array" ref="J12">Common_InputFunctions.Utility_DisplayArrayInTable(Fuel_SourceData.Fuel_Scope1Scope3EmissionFactorsTransport_Data(), Table_Fuel_EFs_Transport[[#Headers],[Transport type]], 0)</f>
        <v>0.3</v>
      </c>
      <c r="K12" s="239" cm="1">
        <f t="array" ref="K12">Common_InputFunctions.Utility_DisplayArrayInTable(Fuel_SourceData.Fuel_Scope1Scope3EmissionFactorsTransport_Data(), Table_Fuel_EFs_Transport[[#Headers],[Transport type]], 0)</f>
        <v>61</v>
      </c>
      <c r="L12" s="23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9" t="str" cm="1">
        <f t="array" ref="D13">Common_InputFunctions.Utility_DisplayArrayInTable(Fuel_SourceData.Fuel_Scope1Scope3EmissionFactorsTransport_Data(), Table_Fuel_EFs_Transport[[#Headers],[Transport type]], 0)</f>
        <v>Cars and light commercial vehicles</v>
      </c>
      <c r="E13" s="239" t="str" cm="1">
        <f t="array" ref="E13">Common_InputFunctions.Utility_DisplayArrayInTable(Fuel_SourceData.Fuel_Scope1Scope3EmissionFactorsTransport_Data(), Table_Fuel_EFs_Transport[[#Headers],[Transport type]], 0)</f>
        <v>Fuel oil</v>
      </c>
      <c r="F13" s="239" cm="1">
        <f t="array" ref="F13">Common_InputFunctions.Utility_DisplayArrayInTable(Fuel_SourceData.Fuel_Scope1Scope3EmissionFactorsTransport_Data(), Table_Fuel_EFs_Transport[[#Headers],[Transport type]], 0)</f>
        <v>39.700000000000003</v>
      </c>
      <c r="G13" s="239" t="str" cm="1">
        <f t="array" ref="G13">Common_InputFunctions.Utility_DisplayArrayInTable(Fuel_SourceData.Fuel_Scope1Scope3EmissionFactorsTransport_Data(), Table_Fuel_EFs_Transport[[#Headers],[Transport type]], 0)</f>
        <v>kl</v>
      </c>
      <c r="H13" s="239" cm="1">
        <f t="array" ref="H13">Common_InputFunctions.Utility_DisplayArrayInTable(Fuel_SourceData.Fuel_Scope1Scope3EmissionFactorsTransport_Data(), Table_Fuel_EFs_Transport[[#Headers],[Transport type]], 0)</f>
        <v>73.599999999999994</v>
      </c>
      <c r="I13" s="239" cm="1">
        <f t="array" ref="I13">Common_InputFunctions.Utility_DisplayArrayInTable(Fuel_SourceData.Fuel_Scope1Scope3EmissionFactorsTransport_Data(), Table_Fuel_EFs_Transport[[#Headers],[Transport type]], 0)</f>
        <v>0.08</v>
      </c>
      <c r="J13" s="239" cm="1">
        <f t="array" ref="J13">Common_InputFunctions.Utility_DisplayArrayInTable(Fuel_SourceData.Fuel_Scope1Scope3EmissionFactorsTransport_Data(), Table_Fuel_EFs_Transport[[#Headers],[Transport type]], 0)</f>
        <v>0.5</v>
      </c>
      <c r="K13" s="239" cm="1">
        <f t="array" ref="K13">Common_InputFunctions.Utility_DisplayArrayInTable(Fuel_SourceData.Fuel_Scope1Scope3EmissionFactorsTransport_Data(), Table_Fuel_EFs_Transport[[#Headers],[Transport type]], 0)</f>
        <v>74.180000000000007</v>
      </c>
      <c r="L13" s="23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9" t="str" cm="1">
        <f t="array" ref="D14">Common_InputFunctions.Utility_DisplayArrayInTable(Fuel_SourceData.Fuel_Scope1Scope3EmissionFactorsTransport_Data(), Table_Fuel_EFs_Transport[[#Headers],[Transport type]], 0)</f>
        <v>Cars and light commercial vehicles</v>
      </c>
      <c r="E14" s="239" t="str" cm="1">
        <f t="array" ref="E14">Common_InputFunctions.Utility_DisplayArrayInTable(Fuel_SourceData.Fuel_Scope1Scope3EmissionFactorsTransport_Data(), Table_Fuel_EFs_Transport[[#Headers],[Transport type]], 0)</f>
        <v>Ethanol</v>
      </c>
      <c r="F14" s="239" cm="1">
        <f t="array" ref="F14">Common_InputFunctions.Utility_DisplayArrayInTable(Fuel_SourceData.Fuel_Scope1Scope3EmissionFactorsTransport_Data(), Table_Fuel_EFs_Transport[[#Headers],[Transport type]], 0)</f>
        <v>23.4</v>
      </c>
      <c r="G14" s="239" t="str" cm="1">
        <f t="array" ref="G14">Common_InputFunctions.Utility_DisplayArrayInTable(Fuel_SourceData.Fuel_Scope1Scope3EmissionFactorsTransport_Data(), Table_Fuel_EFs_Transport[[#Headers],[Transport type]], 0)</f>
        <v>kl</v>
      </c>
      <c r="H14" s="239" cm="1">
        <f t="array" ref="H14">Common_InputFunctions.Utility_DisplayArrayInTable(Fuel_SourceData.Fuel_Scope1Scope3EmissionFactorsTransport_Data(), Table_Fuel_EFs_Transport[[#Headers],[Transport type]], 0)</f>
        <v>0</v>
      </c>
      <c r="I14" s="239" cm="1">
        <f t="array" ref="I14">Common_InputFunctions.Utility_DisplayArrayInTable(Fuel_SourceData.Fuel_Scope1Scope3EmissionFactorsTransport_Data(), Table_Fuel_EFs_Transport[[#Headers],[Transport type]], 0)</f>
        <v>0.2</v>
      </c>
      <c r="J14" s="239" cm="1">
        <f t="array" ref="J14">Common_InputFunctions.Utility_DisplayArrayInTable(Fuel_SourceData.Fuel_Scope1Scope3EmissionFactorsTransport_Data(), Table_Fuel_EFs_Transport[[#Headers],[Transport type]], 0)</f>
        <v>0.2</v>
      </c>
      <c r="K14" s="239" cm="1">
        <f t="array" ref="K14">Common_InputFunctions.Utility_DisplayArrayInTable(Fuel_SourceData.Fuel_Scope1Scope3EmissionFactorsTransport_Data(), Table_Fuel_EFs_Transport[[#Headers],[Transport type]], 0)</f>
        <v>0.4</v>
      </c>
      <c r="L14" s="23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9" t="str" cm="1">
        <f t="array" ref="D15">Common_InputFunctions.Utility_DisplayArrayInTable(Fuel_SourceData.Fuel_Scope1Scope3EmissionFactorsTransport_Data(), Table_Fuel_EFs_Transport[[#Headers],[Transport type]], 0)</f>
        <v>Cars and light commercial vehicles</v>
      </c>
      <c r="E15" s="239" t="str" cm="1">
        <f t="array" ref="E15">Common_InputFunctions.Utility_DisplayArrayInTable(Fuel_SourceData.Fuel_Scope1Scope3EmissionFactorsTransport_Data(), Table_Fuel_EFs_Transport[[#Headers],[Transport type]], 0)</f>
        <v>Biodiesel</v>
      </c>
      <c r="F15" s="239" cm="1">
        <f t="array" ref="F15">Common_InputFunctions.Utility_DisplayArrayInTable(Fuel_SourceData.Fuel_Scope1Scope3EmissionFactorsTransport_Data(), Table_Fuel_EFs_Transport[[#Headers],[Transport type]], 0)</f>
        <v>34.6</v>
      </c>
      <c r="G15" s="239" t="str" cm="1">
        <f t="array" ref="G15">Common_InputFunctions.Utility_DisplayArrayInTable(Fuel_SourceData.Fuel_Scope1Scope3EmissionFactorsTransport_Data(), Table_Fuel_EFs_Transport[[#Headers],[Transport type]], 0)</f>
        <v>kl</v>
      </c>
      <c r="H15" s="239" cm="1">
        <f t="array" ref="H15">Common_InputFunctions.Utility_DisplayArrayInTable(Fuel_SourceData.Fuel_Scope1Scope3EmissionFactorsTransport_Data(), Table_Fuel_EFs_Transport[[#Headers],[Transport type]], 0)</f>
        <v>0</v>
      </c>
      <c r="I15" s="239" cm="1">
        <f t="array" ref="I15">Common_InputFunctions.Utility_DisplayArrayInTable(Fuel_SourceData.Fuel_Scope1Scope3EmissionFactorsTransport_Data(), Table_Fuel_EFs_Transport[[#Headers],[Transport type]], 0)</f>
        <v>0.8</v>
      </c>
      <c r="J15" s="239" cm="1">
        <f t="array" ref="J15">Common_InputFunctions.Utility_DisplayArrayInTable(Fuel_SourceData.Fuel_Scope1Scope3EmissionFactorsTransport_Data(), Table_Fuel_EFs_Transport[[#Headers],[Transport type]], 0)</f>
        <v>1.7</v>
      </c>
      <c r="K15" s="239" cm="1">
        <f t="array" ref="K15">Common_InputFunctions.Utility_DisplayArrayInTable(Fuel_SourceData.Fuel_Scope1Scope3EmissionFactorsTransport_Data(), Table_Fuel_EFs_Transport[[#Headers],[Transport type]], 0)</f>
        <v>2.5</v>
      </c>
      <c r="L15" s="23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9" t="str" cm="1">
        <f t="array" ref="D16">Common_InputFunctions.Utility_DisplayArrayInTable(Fuel_SourceData.Fuel_Scope1Scope3EmissionFactorsTransport_Data(), Table_Fuel_EFs_Transport[[#Headers],[Transport type]], 0)</f>
        <v>Cars and light commercial vehicles</v>
      </c>
      <c r="E16" s="239" t="str" cm="1">
        <f t="array" ref="E16">Common_InputFunctions.Utility_DisplayArrayInTable(Fuel_SourceData.Fuel_Scope1Scope3EmissionFactorsTransport_Data(), Table_Fuel_EFs_Transport[[#Headers],[Transport type]], 0)</f>
        <v>Renewable diesel</v>
      </c>
      <c r="F16" s="239" cm="1">
        <f t="array" ref="F16">Common_InputFunctions.Utility_DisplayArrayInTable(Fuel_SourceData.Fuel_Scope1Scope3EmissionFactorsTransport_Data(), Table_Fuel_EFs_Transport[[#Headers],[Transport type]], 0)</f>
        <v>38.6</v>
      </c>
      <c r="G16" s="239" t="str" cm="1">
        <f t="array" ref="G16">Common_InputFunctions.Utility_DisplayArrayInTable(Fuel_SourceData.Fuel_Scope1Scope3EmissionFactorsTransport_Data(), Table_Fuel_EFs_Transport[[#Headers],[Transport type]], 0)</f>
        <v>kl</v>
      </c>
      <c r="H16" s="239" cm="1">
        <f t="array" ref="H16">Common_InputFunctions.Utility_DisplayArrayInTable(Fuel_SourceData.Fuel_Scope1Scope3EmissionFactorsTransport_Data(), Table_Fuel_EFs_Transport[[#Headers],[Transport type]], 0)</f>
        <v>0</v>
      </c>
      <c r="I16" s="239" cm="1">
        <f t="array" ref="I16">Common_InputFunctions.Utility_DisplayArrayInTable(Fuel_SourceData.Fuel_Scope1Scope3EmissionFactorsTransport_Data(), Table_Fuel_EFs_Transport[[#Headers],[Transport type]], 0)</f>
        <v>0.01</v>
      </c>
      <c r="J16" s="239" cm="1">
        <f t="array" ref="J16">Common_InputFunctions.Utility_DisplayArrayInTable(Fuel_SourceData.Fuel_Scope1Scope3EmissionFactorsTransport_Data(), Table_Fuel_EFs_Transport[[#Headers],[Transport type]], 0)</f>
        <v>0.5</v>
      </c>
      <c r="K16" s="239" cm="1">
        <f t="array" ref="K16">Common_InputFunctions.Utility_DisplayArrayInTable(Fuel_SourceData.Fuel_Scope1Scope3EmissionFactorsTransport_Data(), Table_Fuel_EFs_Transport[[#Headers],[Transport type]], 0)</f>
        <v>0.51</v>
      </c>
      <c r="L16" s="23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9" t="str" cm="1">
        <f t="array" ref="D17">Common_InputFunctions.Utility_DisplayArrayInTable(Fuel_SourceData.Fuel_Scope1Scope3EmissionFactorsTransport_Data(), Table_Fuel_EFs_Transport[[#Headers],[Transport type]], 0)</f>
        <v>Cars and light commercial vehicles</v>
      </c>
      <c r="E17" s="239" t="str" cm="1">
        <f t="array" ref="E17">Common_InputFunctions.Utility_DisplayArrayInTable(Fuel_SourceData.Fuel_Scope1Scope3EmissionFactorsTransport_Data(), Table_Fuel_EFs_Transport[[#Headers],[Transport type]], 0)</f>
        <v>Other biofuels</v>
      </c>
      <c r="F17" s="239" cm="1">
        <f t="array" ref="F17">Common_InputFunctions.Utility_DisplayArrayInTable(Fuel_SourceData.Fuel_Scope1Scope3EmissionFactorsTransport_Data(), Table_Fuel_EFs_Transport[[#Headers],[Transport type]], 0)</f>
        <v>23.4</v>
      </c>
      <c r="G17" s="239" t="str" cm="1">
        <f t="array" ref="G17">Common_InputFunctions.Utility_DisplayArrayInTable(Fuel_SourceData.Fuel_Scope1Scope3EmissionFactorsTransport_Data(), Table_Fuel_EFs_Transport[[#Headers],[Transport type]], 0)</f>
        <v>kl</v>
      </c>
      <c r="H17" s="239" cm="1">
        <f t="array" ref="H17">Common_InputFunctions.Utility_DisplayArrayInTable(Fuel_SourceData.Fuel_Scope1Scope3EmissionFactorsTransport_Data(), Table_Fuel_EFs_Transport[[#Headers],[Transport type]], 0)</f>
        <v>0</v>
      </c>
      <c r="I17" s="239" cm="1">
        <f t="array" ref="I17">Common_InputFunctions.Utility_DisplayArrayInTable(Fuel_SourceData.Fuel_Scope1Scope3EmissionFactorsTransport_Data(), Table_Fuel_EFs_Transport[[#Headers],[Transport type]], 0)</f>
        <v>0.8</v>
      </c>
      <c r="J17" s="239" cm="1">
        <f t="array" ref="J17">Common_InputFunctions.Utility_DisplayArrayInTable(Fuel_SourceData.Fuel_Scope1Scope3EmissionFactorsTransport_Data(), Table_Fuel_EFs_Transport[[#Headers],[Transport type]], 0)</f>
        <v>1.7</v>
      </c>
      <c r="K17" s="239" cm="1">
        <f t="array" ref="K17">Common_InputFunctions.Utility_DisplayArrayInTable(Fuel_SourceData.Fuel_Scope1Scope3EmissionFactorsTransport_Data(), Table_Fuel_EFs_Transport[[#Headers],[Transport type]], 0)</f>
        <v>2.5</v>
      </c>
      <c r="L17" s="23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9" t="str" cm="1">
        <f t="array" ref="D18">Common_InputFunctions.Utility_DisplayArrayInTable(Fuel_SourceData.Fuel_Scope1Scope3EmissionFactorsTransport_Data(), Table_Fuel_EFs_Transport[[#Headers],[Transport type]], 0)</f>
        <v>Light duty vehicles</v>
      </c>
      <c r="E18" s="239" t="str" cm="1">
        <f t="array" ref="E18">Common_InputFunctions.Utility_DisplayArrayInTable(Fuel_SourceData.Fuel_Scope1Scope3EmissionFactorsTransport_Data(), Table_Fuel_EFs_Transport[[#Headers],[Transport type]], 0)</f>
        <v>Compressed natural gas</v>
      </c>
      <c r="F18" s="239" cm="1">
        <f t="array" ref="F18">Common_InputFunctions.Utility_DisplayArrayInTable(Fuel_SourceData.Fuel_Scope1Scope3EmissionFactorsTransport_Data(), Table_Fuel_EFs_Transport[[#Headers],[Transport type]], 0)</f>
        <v>3.9300000000000002E-2</v>
      </c>
      <c r="G18" s="239" t="str" cm="1">
        <f t="array" ref="G18">Common_InputFunctions.Utility_DisplayArrayInTable(Fuel_SourceData.Fuel_Scope1Scope3EmissionFactorsTransport_Data(), Table_Fuel_EFs_Transport[[#Headers],[Transport type]], 0)</f>
        <v>m3</v>
      </c>
      <c r="H18" s="239" cm="1">
        <f t="array" ref="H18">Common_InputFunctions.Utility_DisplayArrayInTable(Fuel_SourceData.Fuel_Scope1Scope3EmissionFactorsTransport_Data(), Table_Fuel_EFs_Transport[[#Headers],[Transport type]], 0)</f>
        <v>51.4</v>
      </c>
      <c r="I18" s="239" cm="1">
        <f t="array" ref="I18">Common_InputFunctions.Utility_DisplayArrayInTable(Fuel_SourceData.Fuel_Scope1Scope3EmissionFactorsTransport_Data(), Table_Fuel_EFs_Transport[[#Headers],[Transport type]], 0)</f>
        <v>7.3</v>
      </c>
      <c r="J18" s="239" cm="1">
        <f t="array" ref="J18">Common_InputFunctions.Utility_DisplayArrayInTable(Fuel_SourceData.Fuel_Scope1Scope3EmissionFactorsTransport_Data(), Table_Fuel_EFs_Transport[[#Headers],[Transport type]], 0)</f>
        <v>0.3</v>
      </c>
      <c r="K18" s="239" cm="1">
        <f t="array" ref="K18">Common_InputFunctions.Utility_DisplayArrayInTable(Fuel_SourceData.Fuel_Scope1Scope3EmissionFactorsTransport_Data(), Table_Fuel_EFs_Transport[[#Headers],[Transport type]], 0)</f>
        <v>59</v>
      </c>
      <c r="L18" s="23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9" t="str" cm="1">
        <f t="array" ref="D19">Common_InputFunctions.Utility_DisplayArrayInTable(Fuel_SourceData.Fuel_Scope1Scope3EmissionFactorsTransport_Data(), Table_Fuel_EFs_Transport[[#Headers],[Transport type]], 0)</f>
        <v>Light duty vehicles</v>
      </c>
      <c r="E19" s="239" t="str" cm="1">
        <f t="array" ref="E19">Common_InputFunctions.Utility_DisplayArrayInTable(Fuel_SourceData.Fuel_Scope1Scope3EmissionFactorsTransport_Data(), Table_Fuel_EFs_Transport[[#Headers],[Transport type]], 0)</f>
        <v>Liquefied natural gas</v>
      </c>
      <c r="F19" s="239" cm="1">
        <f t="array" ref="F19">Common_InputFunctions.Utility_DisplayArrayInTable(Fuel_SourceData.Fuel_Scope1Scope3EmissionFactorsTransport_Data(), Table_Fuel_EFs_Transport[[#Headers],[Transport type]], 0)</f>
        <v>25.3</v>
      </c>
      <c r="G19" s="239" t="str" cm="1">
        <f t="array" ref="G19">Common_InputFunctions.Utility_DisplayArrayInTable(Fuel_SourceData.Fuel_Scope1Scope3EmissionFactorsTransport_Data(), Table_Fuel_EFs_Transport[[#Headers],[Transport type]], 0)</f>
        <v>kl</v>
      </c>
      <c r="H19" s="239" cm="1">
        <f t="array" ref="H19">Common_InputFunctions.Utility_DisplayArrayInTable(Fuel_SourceData.Fuel_Scope1Scope3EmissionFactorsTransport_Data(), Table_Fuel_EFs_Transport[[#Headers],[Transport type]], 0)</f>
        <v>51.4</v>
      </c>
      <c r="I19" s="239" cm="1">
        <f t="array" ref="I19">Common_InputFunctions.Utility_DisplayArrayInTable(Fuel_SourceData.Fuel_Scope1Scope3EmissionFactorsTransport_Data(), Table_Fuel_EFs_Transport[[#Headers],[Transport type]], 0)</f>
        <v>7.3</v>
      </c>
      <c r="J19" s="239" cm="1">
        <f t="array" ref="J19">Common_InputFunctions.Utility_DisplayArrayInTable(Fuel_SourceData.Fuel_Scope1Scope3EmissionFactorsTransport_Data(), Table_Fuel_EFs_Transport[[#Headers],[Transport type]], 0)</f>
        <v>0.3</v>
      </c>
      <c r="K19" s="239" cm="1">
        <f t="array" ref="K19">Common_InputFunctions.Utility_DisplayArrayInTable(Fuel_SourceData.Fuel_Scope1Scope3EmissionFactorsTransport_Data(), Table_Fuel_EFs_Transport[[#Headers],[Transport type]], 0)</f>
        <v>59</v>
      </c>
      <c r="L19" s="23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39" t="str" cm="1">
        <f t="array" ref="D20">Common_InputFunctions.Utility_DisplayArrayInTable(Fuel_SourceData.Fuel_Scope1Scope3EmissionFactorsTransport_Data(), Table_Fuel_EFs_Transport[[#Headers],[Transport type]], 0)</f>
        <v>Heavy duty vehicles</v>
      </c>
      <c r="E20" s="239" t="str" cm="1">
        <f t="array" ref="E20">Common_InputFunctions.Utility_DisplayArrayInTable(Fuel_SourceData.Fuel_Scope1Scope3EmissionFactorsTransport_Data(), Table_Fuel_EFs_Transport[[#Headers],[Transport type]], 0)</f>
        <v>Compressed natural gas</v>
      </c>
      <c r="F20" s="239" cm="1">
        <f t="array" ref="F20">Common_InputFunctions.Utility_DisplayArrayInTable(Fuel_SourceData.Fuel_Scope1Scope3EmissionFactorsTransport_Data(), Table_Fuel_EFs_Transport[[#Headers],[Transport type]], 0)</f>
        <v>3.9300000000000002E-2</v>
      </c>
      <c r="G20" s="239" t="str" cm="1">
        <f t="array" ref="G20">Common_InputFunctions.Utility_DisplayArrayInTable(Fuel_SourceData.Fuel_Scope1Scope3EmissionFactorsTransport_Data(), Table_Fuel_EFs_Transport[[#Headers],[Transport type]], 0)</f>
        <v>m3</v>
      </c>
      <c r="H20" s="239" cm="1">
        <f t="array" ref="H20">Common_InputFunctions.Utility_DisplayArrayInTable(Fuel_SourceData.Fuel_Scope1Scope3EmissionFactorsTransport_Data(), Table_Fuel_EFs_Transport[[#Headers],[Transport type]], 0)</f>
        <v>51.4</v>
      </c>
      <c r="I20" s="239" cm="1">
        <f t="array" ref="I20">Common_InputFunctions.Utility_DisplayArrayInTable(Fuel_SourceData.Fuel_Scope1Scope3EmissionFactorsTransport_Data(), Table_Fuel_EFs_Transport[[#Headers],[Transport type]], 0)</f>
        <v>2.8</v>
      </c>
      <c r="J20" s="239" cm="1">
        <f t="array" ref="J20">Common_InputFunctions.Utility_DisplayArrayInTable(Fuel_SourceData.Fuel_Scope1Scope3EmissionFactorsTransport_Data(), Table_Fuel_EFs_Transport[[#Headers],[Transport type]], 0)</f>
        <v>0.3</v>
      </c>
      <c r="K20" s="239" cm="1">
        <f t="array" ref="K20">Common_InputFunctions.Utility_DisplayArrayInTable(Fuel_SourceData.Fuel_Scope1Scope3EmissionFactorsTransport_Data(), Table_Fuel_EFs_Transport[[#Headers],[Transport type]], 0)</f>
        <v>54.5</v>
      </c>
      <c r="L20" s="23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39" t="str" cm="1">
        <f t="array" ref="D21">Common_InputFunctions.Utility_DisplayArrayInTable(Fuel_SourceData.Fuel_Scope1Scope3EmissionFactorsTransport_Data(), Table_Fuel_EFs_Transport[[#Headers],[Transport type]], 0)</f>
        <v>Heavy duty vehicles</v>
      </c>
      <c r="E21" s="239" t="str" cm="1">
        <f t="array" ref="E21">Common_InputFunctions.Utility_DisplayArrayInTable(Fuel_SourceData.Fuel_Scope1Scope3EmissionFactorsTransport_Data(), Table_Fuel_EFs_Transport[[#Headers],[Transport type]], 0)</f>
        <v>Liquefied natural gas</v>
      </c>
      <c r="F21" s="239" cm="1">
        <f t="array" ref="F21">Common_InputFunctions.Utility_DisplayArrayInTable(Fuel_SourceData.Fuel_Scope1Scope3EmissionFactorsTransport_Data(), Table_Fuel_EFs_Transport[[#Headers],[Transport type]], 0)</f>
        <v>25.3</v>
      </c>
      <c r="G21" s="239" t="str" cm="1">
        <f t="array" ref="G21">Common_InputFunctions.Utility_DisplayArrayInTable(Fuel_SourceData.Fuel_Scope1Scope3EmissionFactorsTransport_Data(), Table_Fuel_EFs_Transport[[#Headers],[Transport type]], 0)</f>
        <v>kl</v>
      </c>
      <c r="H21" s="239" cm="1">
        <f t="array" ref="H21">Common_InputFunctions.Utility_DisplayArrayInTable(Fuel_SourceData.Fuel_Scope1Scope3EmissionFactorsTransport_Data(), Table_Fuel_EFs_Transport[[#Headers],[Transport type]], 0)</f>
        <v>51.4</v>
      </c>
      <c r="I21" s="239" cm="1">
        <f t="array" ref="I21">Common_InputFunctions.Utility_DisplayArrayInTable(Fuel_SourceData.Fuel_Scope1Scope3EmissionFactorsTransport_Data(), Table_Fuel_EFs_Transport[[#Headers],[Transport type]], 0)</f>
        <v>2.8</v>
      </c>
      <c r="J21" s="239" cm="1">
        <f t="array" ref="J21">Common_InputFunctions.Utility_DisplayArrayInTable(Fuel_SourceData.Fuel_Scope1Scope3EmissionFactorsTransport_Data(), Table_Fuel_EFs_Transport[[#Headers],[Transport type]], 0)</f>
        <v>0.3</v>
      </c>
      <c r="K21" s="239" cm="1">
        <f t="array" ref="K21">Common_InputFunctions.Utility_DisplayArrayInTable(Fuel_SourceData.Fuel_Scope1Scope3EmissionFactorsTransport_Data(), Table_Fuel_EFs_Transport[[#Headers],[Transport type]], 0)</f>
        <v>54.5</v>
      </c>
      <c r="L21" s="23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39" t="str" cm="1">
        <f t="array" ref="D22">Common_InputFunctions.Utility_DisplayArrayInTable(Fuel_SourceData.Fuel_Scope1Scope3EmissionFactorsTransport_Data(), Table_Fuel_EFs_Transport[[#Headers],[Transport type]], 0)</f>
        <v>Heavy duty vehicles</v>
      </c>
      <c r="E22" s="239" t="str" cm="1">
        <f t="array" ref="E22">Common_InputFunctions.Utility_DisplayArrayInTable(Fuel_SourceData.Fuel_Scope1Scope3EmissionFactorsTransport_Data(), Table_Fuel_EFs_Transport[[#Headers],[Transport type]], 0)</f>
        <v>Diesel oil - Euro iv or higher</v>
      </c>
      <c r="F22" s="239" cm="1">
        <f t="array" ref="F22">Common_InputFunctions.Utility_DisplayArrayInTable(Fuel_SourceData.Fuel_Scope1Scope3EmissionFactorsTransport_Data(), Table_Fuel_EFs_Transport[[#Headers],[Transport type]], 0)</f>
        <v>38.6</v>
      </c>
      <c r="G22" s="239" t="str" cm="1">
        <f t="array" ref="G22">Common_InputFunctions.Utility_DisplayArrayInTable(Fuel_SourceData.Fuel_Scope1Scope3EmissionFactorsTransport_Data(), Table_Fuel_EFs_Transport[[#Headers],[Transport type]], 0)</f>
        <v>kl</v>
      </c>
      <c r="H22" s="239" cm="1">
        <f t="array" ref="H22">Common_InputFunctions.Utility_DisplayArrayInTable(Fuel_SourceData.Fuel_Scope1Scope3EmissionFactorsTransport_Data(), Table_Fuel_EFs_Transport[[#Headers],[Transport type]], 0)</f>
        <v>69.900000000000006</v>
      </c>
      <c r="I22" s="239" cm="1">
        <f t="array" ref="I22">Common_InputFunctions.Utility_DisplayArrayInTable(Fuel_SourceData.Fuel_Scope1Scope3EmissionFactorsTransport_Data(), Table_Fuel_EFs_Transport[[#Headers],[Transport type]], 0)</f>
        <v>7.0000000000000007E-2</v>
      </c>
      <c r="J22" s="239" cm="1">
        <f t="array" ref="J22">Common_InputFunctions.Utility_DisplayArrayInTable(Fuel_SourceData.Fuel_Scope1Scope3EmissionFactorsTransport_Data(), Table_Fuel_EFs_Transport[[#Headers],[Transport type]], 0)</f>
        <v>0.4</v>
      </c>
      <c r="K22" s="239" cm="1">
        <f t="array" ref="K22">Common_InputFunctions.Utility_DisplayArrayInTable(Fuel_SourceData.Fuel_Scope1Scope3EmissionFactorsTransport_Data(), Table_Fuel_EFs_Transport[[#Headers],[Transport type]], 0)</f>
        <v>70.37</v>
      </c>
      <c r="L22" s="23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39" t="str" cm="1">
        <f t="array" ref="D23">Common_InputFunctions.Utility_DisplayArrayInTable(Fuel_SourceData.Fuel_Scope1Scope3EmissionFactorsTransport_Data(), Table_Fuel_EFs_Transport[[#Headers],[Transport type]], 0)</f>
        <v>Heavy duty vehicles</v>
      </c>
      <c r="E23" s="239" t="str" cm="1">
        <f t="array" ref="E23">Common_InputFunctions.Utility_DisplayArrayInTable(Fuel_SourceData.Fuel_Scope1Scope3EmissionFactorsTransport_Data(), Table_Fuel_EFs_Transport[[#Headers],[Transport type]], 0)</f>
        <v>Diesel oil - Euro iii</v>
      </c>
      <c r="F23" s="239" cm="1">
        <f t="array" ref="F23">Common_InputFunctions.Utility_DisplayArrayInTable(Fuel_SourceData.Fuel_Scope1Scope3EmissionFactorsTransport_Data(), Table_Fuel_EFs_Transport[[#Headers],[Transport type]], 0)</f>
        <v>38.6</v>
      </c>
      <c r="G23" s="239" t="str" cm="1">
        <f t="array" ref="G23">Common_InputFunctions.Utility_DisplayArrayInTable(Fuel_SourceData.Fuel_Scope1Scope3EmissionFactorsTransport_Data(), Table_Fuel_EFs_Transport[[#Headers],[Transport type]], 0)</f>
        <v>kl</v>
      </c>
      <c r="H23" s="239" cm="1">
        <f t="array" ref="H23">Common_InputFunctions.Utility_DisplayArrayInTable(Fuel_SourceData.Fuel_Scope1Scope3EmissionFactorsTransport_Data(), Table_Fuel_EFs_Transport[[#Headers],[Transport type]], 0)</f>
        <v>69.900000000000006</v>
      </c>
      <c r="I23" s="239" cm="1">
        <f t="array" ref="I23">Common_InputFunctions.Utility_DisplayArrayInTable(Fuel_SourceData.Fuel_Scope1Scope3EmissionFactorsTransport_Data(), Table_Fuel_EFs_Transport[[#Headers],[Transport type]], 0)</f>
        <v>0.1</v>
      </c>
      <c r="J23" s="239" cm="1">
        <f t="array" ref="J23">Common_InputFunctions.Utility_DisplayArrayInTable(Fuel_SourceData.Fuel_Scope1Scope3EmissionFactorsTransport_Data(), Table_Fuel_EFs_Transport[[#Headers],[Transport type]], 0)</f>
        <v>0.4</v>
      </c>
      <c r="K23" s="239" cm="1">
        <f t="array" ref="K23">Common_InputFunctions.Utility_DisplayArrayInTable(Fuel_SourceData.Fuel_Scope1Scope3EmissionFactorsTransport_Data(), Table_Fuel_EFs_Transport[[#Headers],[Transport type]], 0)</f>
        <v>70.400000000000006</v>
      </c>
      <c r="L23" s="239" cm="1">
        <f t="array" ref="L23">Common_InputFunctions.Utility_DisplayArrayInTable(Fuel_SourceData.Fuel_Scope1Scope3EmissionFactorsTransport_Data(), Table_Fuel_EFs_Transport[[#Headers],[Transport type]], 0)</f>
        <v>17.3</v>
      </c>
    </row>
    <row r="24" spans="1:12" ht="20.100000000000001" customHeight="1" x14ac:dyDescent="0.25">
      <c r="D24" s="239" t="str" cm="1">
        <f t="array" ref="D24">Common_InputFunctions.Utility_DisplayArrayInTable(Fuel_SourceData.Fuel_Scope1Scope3EmissionFactorsTransport_Data(), Table_Fuel_EFs_Transport[[#Headers],[Transport type]], 0)</f>
        <v>Heavy duty vehicles</v>
      </c>
      <c r="E24" s="239" t="str" cm="1">
        <f t="array" ref="E24">Common_InputFunctions.Utility_DisplayArrayInTable(Fuel_SourceData.Fuel_Scope1Scope3EmissionFactorsTransport_Data(), Table_Fuel_EFs_Transport[[#Headers],[Transport type]], 0)</f>
        <v>Diesel oil - Euro i</v>
      </c>
      <c r="F24" s="239" cm="1">
        <f t="array" ref="F24">Common_InputFunctions.Utility_DisplayArrayInTable(Fuel_SourceData.Fuel_Scope1Scope3EmissionFactorsTransport_Data(), Table_Fuel_EFs_Transport[[#Headers],[Transport type]], 0)</f>
        <v>38.6</v>
      </c>
      <c r="G24" s="239" t="str" cm="1">
        <f t="array" ref="G24">Common_InputFunctions.Utility_DisplayArrayInTable(Fuel_SourceData.Fuel_Scope1Scope3EmissionFactorsTransport_Data(), Table_Fuel_EFs_Transport[[#Headers],[Transport type]], 0)</f>
        <v>kl</v>
      </c>
      <c r="H24" s="239" cm="1">
        <f t="array" ref="H24">Common_InputFunctions.Utility_DisplayArrayInTable(Fuel_SourceData.Fuel_Scope1Scope3EmissionFactorsTransport_Data(), Table_Fuel_EFs_Transport[[#Headers],[Transport type]], 0)</f>
        <v>69.900000000000006</v>
      </c>
      <c r="I24" s="239" cm="1">
        <f t="array" ref="I24">Common_InputFunctions.Utility_DisplayArrayInTable(Fuel_SourceData.Fuel_Scope1Scope3EmissionFactorsTransport_Data(), Table_Fuel_EFs_Transport[[#Headers],[Transport type]], 0)</f>
        <v>0.2</v>
      </c>
      <c r="J24" s="239" cm="1">
        <f t="array" ref="J24">Common_InputFunctions.Utility_DisplayArrayInTable(Fuel_SourceData.Fuel_Scope1Scope3EmissionFactorsTransport_Data(), Table_Fuel_EFs_Transport[[#Headers],[Transport type]], 0)</f>
        <v>0.4</v>
      </c>
      <c r="K24" s="239" cm="1">
        <f t="array" ref="K24">Common_InputFunctions.Utility_DisplayArrayInTable(Fuel_SourceData.Fuel_Scope1Scope3EmissionFactorsTransport_Data(), Table_Fuel_EFs_Transport[[#Headers],[Transport type]], 0)</f>
        <v>70.5</v>
      </c>
      <c r="L24" s="239" cm="1">
        <f t="array" ref="L24">Common_InputFunctions.Utility_DisplayArrayInTable(Fuel_SourceData.Fuel_Scope1Scope3EmissionFactorsTransport_Data(), Table_Fuel_EFs_Transport[[#Headers],[Transport type]], 0)</f>
        <v>17.3</v>
      </c>
    </row>
    <row r="25" spans="1:12" ht="20.100000000000001" customHeight="1" x14ac:dyDescent="0.25">
      <c r="D25" s="239" t="str" cm="1">
        <f t="array" ref="D25">Common_InputFunctions.Utility_DisplayArrayInTable(Fuel_SourceData.Fuel_Scope1Scope3EmissionFactorsTransport_Data(), Table_Fuel_EFs_Transport[[#Headers],[Transport type]], 0)</f>
        <v>Heavy duty vehicles</v>
      </c>
      <c r="E25" s="239" t="str" cm="1">
        <f t="array" ref="E25">Common_InputFunctions.Utility_DisplayArrayInTable(Fuel_SourceData.Fuel_Scope1Scope3EmissionFactorsTransport_Data(), Table_Fuel_EFs_Transport[[#Headers],[Transport type]], 0)</f>
        <v>Renewable diesel – Euro iv or higher</v>
      </c>
      <c r="F25" s="239" cm="1">
        <f t="array" ref="F25">Common_InputFunctions.Utility_DisplayArrayInTable(Fuel_SourceData.Fuel_Scope1Scope3EmissionFactorsTransport_Data(), Table_Fuel_EFs_Transport[[#Headers],[Transport type]], 0)</f>
        <v>38.6</v>
      </c>
      <c r="G25" s="239" t="str" cm="1">
        <f t="array" ref="G25">Common_InputFunctions.Utility_DisplayArrayInTable(Fuel_SourceData.Fuel_Scope1Scope3EmissionFactorsTransport_Data(), Table_Fuel_EFs_Transport[[#Headers],[Transport type]], 0)</f>
        <v>kl</v>
      </c>
      <c r="H25" s="239" cm="1">
        <f t="array" ref="H25">Common_InputFunctions.Utility_DisplayArrayInTable(Fuel_SourceData.Fuel_Scope1Scope3EmissionFactorsTransport_Data(), Table_Fuel_EFs_Transport[[#Headers],[Transport type]], 0)</f>
        <v>0</v>
      </c>
      <c r="I25" s="239" cm="1">
        <f t="array" ref="I25">Common_InputFunctions.Utility_DisplayArrayInTable(Fuel_SourceData.Fuel_Scope1Scope3EmissionFactorsTransport_Data(), Table_Fuel_EFs_Transport[[#Headers],[Transport type]], 0)</f>
        <v>7.0000000000000007E-2</v>
      </c>
      <c r="J25" s="239" cm="1">
        <f t="array" ref="J25">Common_InputFunctions.Utility_DisplayArrayInTable(Fuel_SourceData.Fuel_Scope1Scope3EmissionFactorsTransport_Data(), Table_Fuel_EFs_Transport[[#Headers],[Transport type]], 0)</f>
        <v>0.4</v>
      </c>
      <c r="K25" s="239" cm="1">
        <f t="array" ref="K25">Common_InputFunctions.Utility_DisplayArrayInTable(Fuel_SourceData.Fuel_Scope1Scope3EmissionFactorsTransport_Data(), Table_Fuel_EFs_Transport[[#Headers],[Transport type]], 0)</f>
        <v>0.47</v>
      </c>
      <c r="L25" s="23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39" t="str" cm="1">
        <f t="array" ref="D26">Common_InputFunctions.Utility_DisplayArrayInTable(Fuel_SourceData.Fuel_Scope1Scope3EmissionFactorsTransport_Data(), Table_Fuel_EFs_Transport[[#Headers],[Transport type]], 0)</f>
        <v>Heavy duty vehicles</v>
      </c>
      <c r="E26" s="239" t="str" cm="1">
        <f t="array" ref="E26">Common_InputFunctions.Utility_DisplayArrayInTable(Fuel_SourceData.Fuel_Scope1Scope3EmissionFactorsTransport_Data(), Table_Fuel_EFs_Transport[[#Headers],[Transport type]], 0)</f>
        <v>Renewable diesel – Euro iii</v>
      </c>
      <c r="F26" s="239" cm="1">
        <f t="array" ref="F26">Common_InputFunctions.Utility_DisplayArrayInTable(Fuel_SourceData.Fuel_Scope1Scope3EmissionFactorsTransport_Data(), Table_Fuel_EFs_Transport[[#Headers],[Transport type]], 0)</f>
        <v>38.6</v>
      </c>
      <c r="G26" s="239" t="str" cm="1">
        <f t="array" ref="G26">Common_InputFunctions.Utility_DisplayArrayInTable(Fuel_SourceData.Fuel_Scope1Scope3EmissionFactorsTransport_Data(), Table_Fuel_EFs_Transport[[#Headers],[Transport type]], 0)</f>
        <v>kl</v>
      </c>
      <c r="H26" s="239" cm="1">
        <f t="array" ref="H26">Common_InputFunctions.Utility_DisplayArrayInTable(Fuel_SourceData.Fuel_Scope1Scope3EmissionFactorsTransport_Data(), Table_Fuel_EFs_Transport[[#Headers],[Transport type]], 0)</f>
        <v>0</v>
      </c>
      <c r="I26" s="239" cm="1">
        <f t="array" ref="I26">Common_InputFunctions.Utility_DisplayArrayInTable(Fuel_SourceData.Fuel_Scope1Scope3EmissionFactorsTransport_Data(), Table_Fuel_EFs_Transport[[#Headers],[Transport type]], 0)</f>
        <v>0.1</v>
      </c>
      <c r="J26" s="239" cm="1">
        <f t="array" ref="J26">Common_InputFunctions.Utility_DisplayArrayInTable(Fuel_SourceData.Fuel_Scope1Scope3EmissionFactorsTransport_Data(), Table_Fuel_EFs_Transport[[#Headers],[Transport type]], 0)</f>
        <v>0.4</v>
      </c>
      <c r="K26" s="239" cm="1">
        <f t="array" ref="K26">Common_InputFunctions.Utility_DisplayArrayInTable(Fuel_SourceData.Fuel_Scope1Scope3EmissionFactorsTransport_Data(), Table_Fuel_EFs_Transport[[#Headers],[Transport type]], 0)</f>
        <v>0.5</v>
      </c>
      <c r="L26" s="23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39" t="str" cm="1">
        <f t="array" ref="D27">Common_InputFunctions.Utility_DisplayArrayInTable(Fuel_SourceData.Fuel_Scope1Scope3EmissionFactorsTransport_Data(), Table_Fuel_EFs_Transport[[#Headers],[Transport type]], 0)</f>
        <v>Heavy duty vehicles</v>
      </c>
      <c r="E27" s="239" t="str" cm="1">
        <f t="array" ref="E27">Common_InputFunctions.Utility_DisplayArrayInTable(Fuel_SourceData.Fuel_Scope1Scope3EmissionFactorsTransport_Data(), Table_Fuel_EFs_Transport[[#Headers],[Transport type]], 0)</f>
        <v>Renewable diesel – Euro i</v>
      </c>
      <c r="F27" s="239" cm="1">
        <f t="array" ref="F27">Common_InputFunctions.Utility_DisplayArrayInTable(Fuel_SourceData.Fuel_Scope1Scope3EmissionFactorsTransport_Data(), Table_Fuel_EFs_Transport[[#Headers],[Transport type]], 0)</f>
        <v>38.6</v>
      </c>
      <c r="G27" s="239" t="str" cm="1">
        <f t="array" ref="G27">Common_InputFunctions.Utility_DisplayArrayInTable(Fuel_SourceData.Fuel_Scope1Scope3EmissionFactorsTransport_Data(), Table_Fuel_EFs_Transport[[#Headers],[Transport type]], 0)</f>
        <v>kl</v>
      </c>
      <c r="H27" s="239" cm="1">
        <f t="array" ref="H27">Common_InputFunctions.Utility_DisplayArrayInTable(Fuel_SourceData.Fuel_Scope1Scope3EmissionFactorsTransport_Data(), Table_Fuel_EFs_Transport[[#Headers],[Transport type]], 0)</f>
        <v>0</v>
      </c>
      <c r="I27" s="239" cm="1">
        <f t="array" ref="I27">Common_InputFunctions.Utility_DisplayArrayInTable(Fuel_SourceData.Fuel_Scope1Scope3EmissionFactorsTransport_Data(), Table_Fuel_EFs_Transport[[#Headers],[Transport type]], 0)</f>
        <v>0.2</v>
      </c>
      <c r="J27" s="239" cm="1">
        <f t="array" ref="J27">Common_InputFunctions.Utility_DisplayArrayInTable(Fuel_SourceData.Fuel_Scope1Scope3EmissionFactorsTransport_Data(), Table_Fuel_EFs_Transport[[#Headers],[Transport type]], 0)</f>
        <v>0.4</v>
      </c>
      <c r="K27" s="239" cm="1">
        <f t="array" ref="K27">Common_InputFunctions.Utility_DisplayArrayInTable(Fuel_SourceData.Fuel_Scope1Scope3EmissionFactorsTransport_Data(), Table_Fuel_EFs_Transport[[#Headers],[Transport type]], 0)</f>
        <v>0.6</v>
      </c>
      <c r="L27" s="23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39" t="str" cm="1">
        <f t="array" ref="D28">Common_InputFunctions.Utility_DisplayArrayInTable(Fuel_SourceData.Fuel_Scope1Scope3EmissionFactorsTransport_Data(), Table_Fuel_EFs_Transport[[#Headers],[Transport type]], 0)</f>
        <v>Aviation</v>
      </c>
      <c r="E28" s="239" t="str" cm="1">
        <f t="array" ref="E28">Common_InputFunctions.Utility_DisplayArrayInTable(Fuel_SourceData.Fuel_Scope1Scope3EmissionFactorsTransport_Data(), Table_Fuel_EFs_Transport[[#Headers],[Transport type]], 0)</f>
        <v>Gasoline for use as fuel in an aircraft</v>
      </c>
      <c r="F28" s="239" cm="1">
        <f t="array" ref="F28">Common_InputFunctions.Utility_DisplayArrayInTable(Fuel_SourceData.Fuel_Scope1Scope3EmissionFactorsTransport_Data(), Table_Fuel_EFs_Transport[[#Headers],[Transport type]], 0)</f>
        <v>33.1</v>
      </c>
      <c r="G28" s="239" t="str" cm="1">
        <f t="array" ref="G28">Common_InputFunctions.Utility_DisplayArrayInTable(Fuel_SourceData.Fuel_Scope1Scope3EmissionFactorsTransport_Data(), Table_Fuel_EFs_Transport[[#Headers],[Transport type]], 0)</f>
        <v>kl</v>
      </c>
      <c r="H28" s="239" cm="1">
        <f t="array" ref="H28">Common_InputFunctions.Utility_DisplayArrayInTable(Fuel_SourceData.Fuel_Scope1Scope3EmissionFactorsTransport_Data(), Table_Fuel_EFs_Transport[[#Headers],[Transport type]], 0)</f>
        <v>67</v>
      </c>
      <c r="I28" s="239" cm="1">
        <f t="array" ref="I28">Common_InputFunctions.Utility_DisplayArrayInTable(Fuel_SourceData.Fuel_Scope1Scope3EmissionFactorsTransport_Data(), Table_Fuel_EFs_Transport[[#Headers],[Transport type]], 0)</f>
        <v>0.06</v>
      </c>
      <c r="J28" s="239" cm="1">
        <f t="array" ref="J28">Common_InputFunctions.Utility_DisplayArrayInTable(Fuel_SourceData.Fuel_Scope1Scope3EmissionFactorsTransport_Data(), Table_Fuel_EFs_Transport[[#Headers],[Transport type]], 0)</f>
        <v>0.6</v>
      </c>
      <c r="K28" s="239" cm="1">
        <f t="array" ref="K28">Common_InputFunctions.Utility_DisplayArrayInTable(Fuel_SourceData.Fuel_Scope1Scope3EmissionFactorsTransport_Data(), Table_Fuel_EFs_Transport[[#Headers],[Transport type]], 0)</f>
        <v>67.66</v>
      </c>
      <c r="L28" s="23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39" t="str" cm="1">
        <f t="array" ref="D29">Common_InputFunctions.Utility_DisplayArrayInTable(Fuel_SourceData.Fuel_Scope1Scope3EmissionFactorsTransport_Data(), Table_Fuel_EFs_Transport[[#Headers],[Transport type]], 0)</f>
        <v>Aviation</v>
      </c>
      <c r="E29" s="239" t="str" cm="1">
        <f t="array" ref="E29">Common_InputFunctions.Utility_DisplayArrayInTable(Fuel_SourceData.Fuel_Scope1Scope3EmissionFactorsTransport_Data(), Table_Fuel_EFs_Transport[[#Headers],[Transport type]], 0)</f>
        <v>Kerosene for use as fuel in an aircraft</v>
      </c>
      <c r="F29" s="239" cm="1">
        <f t="array" ref="F29">Common_InputFunctions.Utility_DisplayArrayInTable(Fuel_SourceData.Fuel_Scope1Scope3EmissionFactorsTransport_Data(), Table_Fuel_EFs_Transport[[#Headers],[Transport type]], 0)</f>
        <v>36.799999999999997</v>
      </c>
      <c r="G29" s="239" t="str" cm="1">
        <f t="array" ref="G29">Common_InputFunctions.Utility_DisplayArrayInTable(Fuel_SourceData.Fuel_Scope1Scope3EmissionFactorsTransport_Data(), Table_Fuel_EFs_Transport[[#Headers],[Transport type]], 0)</f>
        <v>kl</v>
      </c>
      <c r="H29" s="239" cm="1">
        <f t="array" ref="H29">Common_InputFunctions.Utility_DisplayArrayInTable(Fuel_SourceData.Fuel_Scope1Scope3EmissionFactorsTransport_Data(), Table_Fuel_EFs_Transport[[#Headers],[Transport type]], 0)</f>
        <v>69.599999999999994</v>
      </c>
      <c r="I29" s="239" cm="1">
        <f t="array" ref="I29">Common_InputFunctions.Utility_DisplayArrayInTable(Fuel_SourceData.Fuel_Scope1Scope3EmissionFactorsTransport_Data(), Table_Fuel_EFs_Transport[[#Headers],[Transport type]], 0)</f>
        <v>0.01</v>
      </c>
      <c r="J29" s="239" cm="1">
        <f t="array" ref="J29">Common_InputFunctions.Utility_DisplayArrayInTable(Fuel_SourceData.Fuel_Scope1Scope3EmissionFactorsTransport_Data(), Table_Fuel_EFs_Transport[[#Headers],[Transport type]], 0)</f>
        <v>0.6</v>
      </c>
      <c r="K29" s="239" cm="1">
        <f t="array" ref="K29">Common_InputFunctions.Utility_DisplayArrayInTable(Fuel_SourceData.Fuel_Scope1Scope3EmissionFactorsTransport_Data(), Table_Fuel_EFs_Transport[[#Headers],[Transport type]], 0)</f>
        <v>70.209999999999994</v>
      </c>
      <c r="L29" s="23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39" t="str" cm="1">
        <f t="array" ref="D30">Common_InputFunctions.Utility_DisplayArrayInTable(Fuel_SourceData.Fuel_Scope1Scope3EmissionFactorsTransport_Data(), Table_Fuel_EFs_Transport[[#Headers],[Transport type]], 0)</f>
        <v>Aviation</v>
      </c>
      <c r="E30" s="239" t="str" cm="1">
        <f t="array" ref="E30">Common_InputFunctions.Utility_DisplayArrayInTable(Fuel_SourceData.Fuel_Scope1Scope3EmissionFactorsTransport_Data(), Table_Fuel_EFs_Transport[[#Headers],[Transport type]], 0)</f>
        <v>Renewable aviation kerosene</v>
      </c>
      <c r="F30" s="239" cm="1">
        <f t="array" ref="F30">Common_InputFunctions.Utility_DisplayArrayInTable(Fuel_SourceData.Fuel_Scope1Scope3EmissionFactorsTransport_Data(), Table_Fuel_EFs_Transport[[#Headers],[Transport type]], 0)</f>
        <v>36.799999999999997</v>
      </c>
      <c r="G30" s="239" t="str" cm="1">
        <f t="array" ref="G30">Common_InputFunctions.Utility_DisplayArrayInTable(Fuel_SourceData.Fuel_Scope1Scope3EmissionFactorsTransport_Data(), Table_Fuel_EFs_Transport[[#Headers],[Transport type]], 0)</f>
        <v>kl</v>
      </c>
      <c r="H30" s="239" cm="1">
        <f t="array" ref="H30">Common_InputFunctions.Utility_DisplayArrayInTable(Fuel_SourceData.Fuel_Scope1Scope3EmissionFactorsTransport_Data(), Table_Fuel_EFs_Transport[[#Headers],[Transport type]], 0)</f>
        <v>0</v>
      </c>
      <c r="I30" s="239" cm="1">
        <f t="array" ref="I30">Common_InputFunctions.Utility_DisplayArrayInTable(Fuel_SourceData.Fuel_Scope1Scope3EmissionFactorsTransport_Data(), Table_Fuel_EFs_Transport[[#Headers],[Transport type]], 0)</f>
        <v>0.01</v>
      </c>
      <c r="J30" s="239" cm="1">
        <f t="array" ref="J30">Common_InputFunctions.Utility_DisplayArrayInTable(Fuel_SourceData.Fuel_Scope1Scope3EmissionFactorsTransport_Data(), Table_Fuel_EFs_Transport[[#Headers],[Transport type]], 0)</f>
        <v>0.6</v>
      </c>
      <c r="K30" s="239" cm="1">
        <f t="array" ref="K30">Common_InputFunctions.Utility_DisplayArrayInTable(Fuel_SourceData.Fuel_Scope1Scope3EmissionFactorsTransport_Data(), Table_Fuel_EFs_Transport[[#Headers],[Transport type]], 0)</f>
        <v>0.61</v>
      </c>
      <c r="L30" s="23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39" t="str" cm="1">
        <f t="array" ref="D31">Common_InputFunctions.Utility_DisplayArrayInTable(Fuel_SourceData.Fuel_Scope1Scope3EmissionFactorsTransport_Data(), Table_Fuel_EFs_Transport[[#Headers],[Transport type]], 0)</f>
        <v>Vessels</v>
      </c>
      <c r="E31" s="239" t="str" cm="1">
        <f t="array" ref="E31">Common_InputFunctions.Utility_DisplayArrayInTable(Fuel_SourceData.Fuel_Scope1Scope3EmissionFactorsTransport_Data(), Table_Fuel_EFs_Transport[[#Headers],[Transport type]], 0)</f>
        <v>Gasoline</v>
      </c>
      <c r="F31" s="239" cm="1">
        <f t="array" ref="F31">Common_InputFunctions.Utility_DisplayArrayInTable(Fuel_SourceData.Fuel_Scope1Scope3EmissionFactorsTransport_Data(), Table_Fuel_EFs_Transport[[#Headers],[Transport type]], 0)</f>
        <v>34.200000000000003</v>
      </c>
      <c r="G31" s="239" t="str" cm="1">
        <f t="array" ref="G31">Common_InputFunctions.Utility_DisplayArrayInTable(Fuel_SourceData.Fuel_Scope1Scope3EmissionFactorsTransport_Data(), Table_Fuel_EFs_Transport[[#Headers],[Transport type]], 0)</f>
        <v>kL</v>
      </c>
      <c r="H31" s="239" cm="1">
        <f t="array" ref="H31">Common_InputFunctions.Utility_DisplayArrayInTable(Fuel_SourceData.Fuel_Scope1Scope3EmissionFactorsTransport_Data(), Table_Fuel_EFs_Transport[[#Headers],[Transport type]], 0)</f>
        <v>67.400000000000006</v>
      </c>
      <c r="I31" s="239" cm="1">
        <f t="array" ref="I31">Common_InputFunctions.Utility_DisplayArrayInTable(Fuel_SourceData.Fuel_Scope1Scope3EmissionFactorsTransport_Data(), Table_Fuel_EFs_Transport[[#Headers],[Transport type]], 0)</f>
        <v>10.1</v>
      </c>
      <c r="J31" s="239" cm="1">
        <f t="array" ref="J31">Common_InputFunctions.Utility_DisplayArrayInTable(Fuel_SourceData.Fuel_Scope1Scope3EmissionFactorsTransport_Data(), Table_Fuel_EFs_Transport[[#Headers],[Transport type]], 0)</f>
        <v>0.3</v>
      </c>
      <c r="K31" s="239" t="str" cm="1">
        <f t="array" ref="K31">Common_InputFunctions.Utility_DisplayArrayInTable(Fuel_SourceData.Fuel_Scope1Scope3EmissionFactorsTransport_Data(), Table_Fuel_EFs_Transport[[#Headers],[Transport type]], 0)</f>
        <v/>
      </c>
      <c r="L31" s="23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0" t="str" cm="1">
        <f t="array" ref="D32">Common_InputFunctions.Utility_DisplayArrayInTable(Fuel_SourceData.Fuel_Scope1Scope3EmissionFactorsTransport_Data(), Table_Fuel_EFs_Transport[[#Headers],[Transport type]], 0)</f>
        <v>Vessels</v>
      </c>
      <c r="E32" s="240" t="str" cm="1">
        <f t="array" ref="E32">Common_InputFunctions.Utility_DisplayArrayInTable(Fuel_SourceData.Fuel_Scope1Scope3EmissionFactorsTransport_Data(), Table_Fuel_EFs_Transport[[#Headers],[Transport type]], 0)</f>
        <v>Diesel oil</v>
      </c>
      <c r="F32" s="240" cm="1">
        <f t="array" ref="F32">Common_InputFunctions.Utility_DisplayArrayInTable(Fuel_SourceData.Fuel_Scope1Scope3EmissionFactorsTransport_Data(), Table_Fuel_EFs_Transport[[#Headers],[Transport type]], 0)</f>
        <v>38.6</v>
      </c>
      <c r="G32" s="240" t="str" cm="1">
        <f t="array" ref="G32">Common_InputFunctions.Utility_DisplayArrayInTable(Fuel_SourceData.Fuel_Scope1Scope3EmissionFactorsTransport_Data(), Table_Fuel_EFs_Transport[[#Headers],[Transport type]], 0)</f>
        <v>kL</v>
      </c>
      <c r="H32" s="240" cm="1">
        <f t="array" ref="H32">Common_InputFunctions.Utility_DisplayArrayInTable(Fuel_SourceData.Fuel_Scope1Scope3EmissionFactorsTransport_Data(), Table_Fuel_EFs_Transport[[#Headers],[Transport type]], 0)</f>
        <v>69.900000000000006</v>
      </c>
      <c r="I32" s="240" cm="1">
        <f t="array" ref="I32">Common_InputFunctions.Utility_DisplayArrayInTable(Fuel_SourceData.Fuel_Scope1Scope3EmissionFactorsTransport_Data(), Table_Fuel_EFs_Transport[[#Headers],[Transport type]], 0)</f>
        <v>0.2</v>
      </c>
      <c r="J32" s="240" cm="1">
        <f t="array" ref="J32">Common_InputFunctions.Utility_DisplayArrayInTable(Fuel_SourceData.Fuel_Scope1Scope3EmissionFactorsTransport_Data(), Table_Fuel_EFs_Transport[[#Headers],[Transport type]], 0)</f>
        <v>0.5</v>
      </c>
      <c r="K32" s="240" t="str" cm="1">
        <f t="array" ref="K32">Common_InputFunctions.Utility_DisplayArrayInTable(Fuel_SourceData.Fuel_Scope1Scope3EmissionFactorsTransport_Data(), Table_Fuel_EFs_Transport[[#Headers],[Transport type]], 0)</f>
        <v/>
      </c>
      <c r="L32" s="24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0" t="str" cm="1">
        <f t="array" ref="D33">Common_InputFunctions.Utility_DisplayArrayInTable(Fuel_SourceData.Fuel_Scope1Scope3EmissionFactorsTransport_Data(), Table_Fuel_EFs_Transport[[#Headers],[Transport type]], 0)</f>
        <v>Vessels</v>
      </c>
      <c r="E33" s="240" t="str" cm="1">
        <f t="array" ref="E33">Common_InputFunctions.Utility_DisplayArrayInTable(Fuel_SourceData.Fuel_Scope1Scope3EmissionFactorsTransport_Data(), Table_Fuel_EFs_Transport[[#Headers],[Transport type]], 0)</f>
        <v>Fuel Oil</v>
      </c>
      <c r="F33" s="240" cm="1">
        <f t="array" ref="F33">Common_InputFunctions.Utility_DisplayArrayInTable(Fuel_SourceData.Fuel_Scope1Scope3EmissionFactorsTransport_Data(), Table_Fuel_EFs_Transport[[#Headers],[Transport type]], 0)</f>
        <v>39.700000000000003</v>
      </c>
      <c r="G33" s="240" t="str" cm="1">
        <f t="array" ref="G33">Common_InputFunctions.Utility_DisplayArrayInTable(Fuel_SourceData.Fuel_Scope1Scope3EmissionFactorsTransport_Data(), Table_Fuel_EFs_Transport[[#Headers],[Transport type]], 0)</f>
        <v>kL</v>
      </c>
      <c r="H33" s="240" cm="1">
        <f t="array" ref="H33">Common_InputFunctions.Utility_DisplayArrayInTable(Fuel_SourceData.Fuel_Scope1Scope3EmissionFactorsTransport_Data(), Table_Fuel_EFs_Transport[[#Headers],[Transport type]], 0)</f>
        <v>73.599999999999994</v>
      </c>
      <c r="I33" s="240" cm="1">
        <f t="array" ref="I33">Common_InputFunctions.Utility_DisplayArrayInTable(Fuel_SourceData.Fuel_Scope1Scope3EmissionFactorsTransport_Data(), Table_Fuel_EFs_Transport[[#Headers],[Transport type]], 0)</f>
        <v>0.2</v>
      </c>
      <c r="J33" s="240" cm="1">
        <f t="array" ref="J33">Common_InputFunctions.Utility_DisplayArrayInTable(Fuel_SourceData.Fuel_Scope1Scope3EmissionFactorsTransport_Data(), Table_Fuel_EFs_Transport[[#Headers],[Transport type]], 0)</f>
        <v>0.5</v>
      </c>
      <c r="K33" s="240" t="str" cm="1">
        <f t="array" ref="K33">Common_InputFunctions.Utility_DisplayArrayInTable(Fuel_SourceData.Fuel_Scope1Scope3EmissionFactorsTransport_Data(), Table_Fuel_EFs_Transport[[#Headers],[Transport type]], 0)</f>
        <v/>
      </c>
      <c r="L33" s="24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0" t="str" cm="1">
        <f t="array" ref="D34">Common_InputFunctions.Utility_DisplayArrayInTable(Fuel_SourceData.Fuel_Scope1Scope3EmissionFactorsTransport_Data(), Table_Fuel_EFs_Transport[[#Headers],[Transport type]], 0)</f>
        <v>Off-road Agriculture and forestry equipment</v>
      </c>
      <c r="E34" s="240" t="str" cm="1">
        <f t="array" ref="E34">Common_InputFunctions.Utility_DisplayArrayInTable(Fuel_SourceData.Fuel_Scope1Scope3EmissionFactorsTransport_Data(), Table_Fuel_EFs_Transport[[#Headers],[Transport type]], 0)</f>
        <v>Diesel oil</v>
      </c>
      <c r="F34" s="240" cm="1">
        <f t="array" ref="F34">Common_InputFunctions.Utility_DisplayArrayInTable(Fuel_SourceData.Fuel_Scope1Scope3EmissionFactorsTransport_Data(), Table_Fuel_EFs_Transport[[#Headers],[Transport type]], 0)</f>
        <v>38.6</v>
      </c>
      <c r="G34" s="240" t="str" cm="1">
        <f t="array" ref="G34">Common_InputFunctions.Utility_DisplayArrayInTable(Fuel_SourceData.Fuel_Scope1Scope3EmissionFactorsTransport_Data(), Table_Fuel_EFs_Transport[[#Headers],[Transport type]], 0)</f>
        <v>kL</v>
      </c>
      <c r="H34" s="240" cm="1">
        <f t="array" ref="H34">Common_InputFunctions.Utility_DisplayArrayInTable(Fuel_SourceData.Fuel_Scope1Scope3EmissionFactorsTransport_Data(), Table_Fuel_EFs_Transport[[#Headers],[Transport type]], 0)</f>
        <v>69.900000000000006</v>
      </c>
      <c r="I34" s="240" cm="1">
        <f t="array" ref="I34">Common_InputFunctions.Utility_DisplayArrayInTable(Fuel_SourceData.Fuel_Scope1Scope3EmissionFactorsTransport_Data(), Table_Fuel_EFs_Transport[[#Headers],[Transport type]], 0)</f>
        <v>0.3</v>
      </c>
      <c r="J34" s="240" cm="1">
        <f t="array" ref="J34">Common_InputFunctions.Utility_DisplayArrayInTable(Fuel_SourceData.Fuel_Scope1Scope3EmissionFactorsTransport_Data(), Table_Fuel_EFs_Transport[[#Headers],[Transport type]], 0)</f>
        <v>0.5</v>
      </c>
      <c r="K34" s="240" t="str" cm="1">
        <f t="array" ref="K34">Common_InputFunctions.Utility_DisplayArrayInTable(Fuel_SourceData.Fuel_Scope1Scope3EmissionFactorsTransport_Data(), Table_Fuel_EFs_Transport[[#Headers],[Transport type]], 0)</f>
        <v/>
      </c>
      <c r="L34" s="24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30" t="s">
        <v>839</v>
      </c>
      <c r="E39" s="30" t="s">
        <v>840</v>
      </c>
      <c r="F39" s="30" t="s">
        <v>841</v>
      </c>
      <c r="G39" s="30" t="s">
        <v>842</v>
      </c>
      <c r="H39" s="30" t="s">
        <v>843</v>
      </c>
      <c r="I39" s="30" t="s">
        <v>844</v>
      </c>
      <c r="J39" s="30" t="s">
        <v>845</v>
      </c>
    </row>
    <row r="40" spans="1:12" ht="20.100000000000001" customHeight="1" x14ac:dyDescent="0.25">
      <c r="A40" s="5" t="str">
        <f>HYPERLINK("#'4.3.1.1-2 Methane'!A1", "4.3.1.1-2 Methane")</f>
        <v>4.3.1.1-2 Methane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HYPERLINK("#'4.3.1.3-4 Direct N20'!A1", "4.3.1.3-4 Direct N20")</f>
        <v>4.3.1.3-4 Direct N20</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HYPERLINK("#'4.3.1.5 Atmos deposition'!A1", "4.3.1.5 Atmos deposition")</f>
        <v>4.3.1.5 Atmos deposition</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HYPERLINK("#'4.3.1.6-7 Leaching and runoff'!A1", "4.3.1.6-7 Leaching and runoff")</f>
        <v>4.3.1.6-7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89"/>
      <c r="F49" s="189"/>
      <c r="G49" s="189"/>
      <c r="H49" s="189"/>
      <c r="I49" s="189"/>
      <c r="J49" s="189"/>
      <c r="K49" s="189"/>
      <c r="L49" s="18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9"/>
      <c r="F50" s="189"/>
      <c r="G50" s="189"/>
      <c r="H50" s="189"/>
      <c r="I50" s="189"/>
      <c r="J50" s="189"/>
      <c r="K50" s="189"/>
      <c r="L50" s="189"/>
    </row>
    <row r="51" spans="1:12" ht="20.100000000000001" customHeight="1" x14ac:dyDescent="0.25">
      <c r="D51" s="27" t="str" cm="1">
        <f t="array" ref="D51">Fuel_SourceData.Fuel_Scope1Scope3EmissionFactorsStationaryLiquid_Source()</f>
        <v>Australian National Greenhouse Accounts Factors 2025 - Table 8</v>
      </c>
      <c r="E51" s="189"/>
      <c r="F51" s="189"/>
      <c r="G51" s="189"/>
      <c r="H51" s="189"/>
      <c r="I51" s="189"/>
      <c r="J51" s="189"/>
      <c r="K51" s="189"/>
      <c r="L51" s="189"/>
    </row>
    <row r="52" spans="1:12" ht="20.100000000000001" customHeight="1" x14ac:dyDescent="0.25">
      <c r="A52" s="99" t="s">
        <v>1</v>
      </c>
      <c r="D52" s="36" t="str" cm="1">
        <f t="array" ref="D52">"⚠️" &amp; Fuel_SourceData.Fuel_Scope1Scope3EmissionFactorsStationaryLiquid_Variation()</f>
        <v>⚠️VARIATION OF SOURCE DATA: 'NE' values returned as zero for calculations.</v>
      </c>
      <c r="E52" s="189"/>
      <c r="F52" s="189"/>
      <c r="G52" s="189"/>
      <c r="H52" s="189"/>
      <c r="I52" s="189"/>
      <c r="J52" s="189"/>
      <c r="K52" s="189"/>
      <c r="L52" s="189"/>
    </row>
    <row r="53" spans="1:12" ht="20.100000000000001" customHeight="1" x14ac:dyDescent="0.25">
      <c r="A53" s="5" t="str">
        <f>HYPERLINK("#'Constants - Dairy'!A1", "Constants - Dairy")</f>
        <v>Constants - Dairy</v>
      </c>
      <c r="D53" s="206" t="s">
        <v>831</v>
      </c>
      <c r="E53" s="238" t="s">
        <v>832</v>
      </c>
      <c r="F53" s="206" t="s">
        <v>833</v>
      </c>
      <c r="G53" s="238" t="s">
        <v>834</v>
      </c>
      <c r="H53" s="238" t="s">
        <v>835</v>
      </c>
      <c r="I53" s="238" t="s">
        <v>836</v>
      </c>
      <c r="J53" s="238" t="s">
        <v>837</v>
      </c>
      <c r="K53" s="238" t="s">
        <v>838</v>
      </c>
      <c r="L53" s="189"/>
    </row>
    <row r="54" spans="1:12" ht="20.100000000000001" customHeight="1" x14ac:dyDescent="0.25">
      <c r="A54" s="5" t="str">
        <f>HYPERLINK("#'Constants - Ag Residue'!A1", "Constants - Ag residue")</f>
        <v>Constants - Ag residue</v>
      </c>
      <c r="D54" s="24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1" cm="1">
        <f t="array" ref="E54">Common_InputFunctions.Utility_DisplayArrayInTable(Fuel_SourceData.Fuel_Scope1Scope3EmissionFactorsStationaryLiquid_Data(), Table_Fuel_EFs_StationaryLiquid[[#Headers],[Fuel combusted]],0)</f>
        <v>38.799999999999997</v>
      </c>
      <c r="F54" s="241" t="str" cm="1">
        <f t="array" ref="F54">Common_InputFunctions.Utility_DisplayArrayInTable(Fuel_SourceData.Fuel_Scope1Scope3EmissionFactorsStationaryLiquid_Data(), Table_Fuel_EFs_StationaryLiquid[[#Headers],[Fuel combusted]],0)</f>
        <v>kl</v>
      </c>
      <c r="G54" s="241" cm="1">
        <f t="array" ref="G54">Common_InputFunctions.Utility_DisplayArrayInTable(Fuel_SourceData.Fuel_Scope1Scope3EmissionFactorsStationaryLiquid_Data(), Table_Fuel_EFs_StationaryLiquid[[#Headers],[Fuel combusted]],0)</f>
        <v>13.9</v>
      </c>
      <c r="H54" s="241" cm="1">
        <f t="array" ref="H54">Common_InputFunctions.Utility_DisplayArrayInTable(Fuel_SourceData.Fuel_Scope1Scope3EmissionFactorsStationaryLiquid_Data(), Table_Fuel_EFs_StationaryLiquid[[#Headers],[Fuel combusted]],0)</f>
        <v>0</v>
      </c>
      <c r="I54" s="241" cm="1">
        <f t="array" ref="I54">Common_InputFunctions.Utility_DisplayArrayInTable(Fuel_SourceData.Fuel_Scope1Scope3EmissionFactorsStationaryLiquid_Data(), Table_Fuel_EFs_StationaryLiquid[[#Headers],[Fuel combusted]],0)</f>
        <v>0</v>
      </c>
      <c r="J54" s="241" cm="1">
        <f t="array" ref="J54">Common_InputFunctions.Utility_DisplayArrayInTable(Fuel_SourceData.Fuel_Scope1Scope3EmissionFactorsStationaryLiquid_Data(), Table_Fuel_EFs_StationaryLiquid[[#Headers],[Fuel combusted]],0)</f>
        <v>13.9</v>
      </c>
      <c r="K54" s="241" cm="1">
        <f t="array" ref="K54">Common_InputFunctions.Utility_DisplayArrayInTable(Fuel_SourceData.Fuel_Scope1Scope3EmissionFactorsStationaryLiquid_Data(), Table_Fuel_EFs_StationaryLiquid[[#Headers],[Fuel combusted]],0)</f>
        <v>18</v>
      </c>
      <c r="L54" s="189"/>
    </row>
    <row r="55" spans="1:12" ht="20.100000000000001" customHeight="1" x14ac:dyDescent="0.25">
      <c r="A55" s="5" t="str">
        <f>HYPERLINK("#'Constants - Common Livestock'!A1", "Constants - Common Livestock")</f>
        <v>Constants - Common Livestock</v>
      </c>
      <c r="D55" s="241" t="str" cm="1">
        <f t="array" ref="D55">Common_InputFunctions.Utility_DisplayArrayInTable(Fuel_SourceData.Fuel_Scope1Scope3EmissionFactorsStationaryLiquid_Data(), Table_Fuel_EFs_StationaryLiquid[[#Headers],[Fuel combusted]],0)</f>
        <v>Petroleum based greases</v>
      </c>
      <c r="E55" s="241" cm="1">
        <f t="array" ref="E55">Common_InputFunctions.Utility_DisplayArrayInTable(Fuel_SourceData.Fuel_Scope1Scope3EmissionFactorsStationaryLiquid_Data(), Table_Fuel_EFs_StationaryLiquid[[#Headers],[Fuel combusted]],0)</f>
        <v>38.799999999999997</v>
      </c>
      <c r="F55" s="241" t="str" cm="1">
        <f t="array" ref="F55">Common_InputFunctions.Utility_DisplayArrayInTable(Fuel_SourceData.Fuel_Scope1Scope3EmissionFactorsStationaryLiquid_Data(), Table_Fuel_EFs_StationaryLiquid[[#Headers],[Fuel combusted]],0)</f>
        <v>kl</v>
      </c>
      <c r="G55" s="241" cm="1">
        <f t="array" ref="G55">Common_InputFunctions.Utility_DisplayArrayInTable(Fuel_SourceData.Fuel_Scope1Scope3EmissionFactorsStationaryLiquid_Data(), Table_Fuel_EFs_StationaryLiquid[[#Headers],[Fuel combusted]],0)</f>
        <v>3.5</v>
      </c>
      <c r="H55" s="241" cm="1">
        <f t="array" ref="H55">Common_InputFunctions.Utility_DisplayArrayInTable(Fuel_SourceData.Fuel_Scope1Scope3EmissionFactorsStationaryLiquid_Data(), Table_Fuel_EFs_StationaryLiquid[[#Headers],[Fuel combusted]],0)</f>
        <v>0</v>
      </c>
      <c r="I55" s="241" cm="1">
        <f t="array" ref="I55">Common_InputFunctions.Utility_DisplayArrayInTable(Fuel_SourceData.Fuel_Scope1Scope3EmissionFactorsStationaryLiquid_Data(), Table_Fuel_EFs_StationaryLiquid[[#Headers],[Fuel combusted]],0)</f>
        <v>0</v>
      </c>
      <c r="J55" s="241" cm="1">
        <f t="array" ref="J55">Common_InputFunctions.Utility_DisplayArrayInTable(Fuel_SourceData.Fuel_Scope1Scope3EmissionFactorsStationaryLiquid_Data(), Table_Fuel_EFs_StationaryLiquid[[#Headers],[Fuel combusted]],0)</f>
        <v>3.5</v>
      </c>
      <c r="K55" s="241" cm="1">
        <f t="array" ref="K55">Common_InputFunctions.Utility_DisplayArrayInTable(Fuel_SourceData.Fuel_Scope1Scope3EmissionFactorsStationaryLiquid_Data(), Table_Fuel_EFs_StationaryLiquid[[#Headers],[Fuel combusted]],0)</f>
        <v>18</v>
      </c>
      <c r="L55" s="189"/>
    </row>
    <row r="56" spans="1:12" ht="20.100000000000001" customHeight="1" x14ac:dyDescent="0.25">
      <c r="A56" s="5" t="str">
        <f>HYPERLINK("#'Constants - Electricity'!A1", "Constants - Electricity")</f>
        <v>Constants - Electricity</v>
      </c>
      <c r="D56" s="241" t="str" cm="1">
        <f t="array" ref="D56">Common_InputFunctions.Utility_DisplayArrayInTable(Fuel_SourceData.Fuel_Scope1Scope3EmissionFactorsStationaryLiquid_Data(), Table_Fuel_EFs_StationaryLiquid[[#Headers],[Fuel combusted]],0)</f>
        <v>Crude oil including crude oil condensates</v>
      </c>
      <c r="E56" s="241" cm="1">
        <f t="array" ref="E56">Common_InputFunctions.Utility_DisplayArrayInTable(Fuel_SourceData.Fuel_Scope1Scope3EmissionFactorsStationaryLiquid_Data(), Table_Fuel_EFs_StationaryLiquid[[#Headers],[Fuel combusted]],0)</f>
        <v>45.3</v>
      </c>
      <c r="F56" s="241" t="str" cm="1">
        <f t="array" ref="F56">Common_InputFunctions.Utility_DisplayArrayInTable(Fuel_SourceData.Fuel_Scope1Scope3EmissionFactorsStationaryLiquid_Data(), Table_Fuel_EFs_StationaryLiquid[[#Headers],[Fuel combusted]],0)</f>
        <v>t</v>
      </c>
      <c r="G56" s="241" cm="1">
        <f t="array" ref="G56">Common_InputFunctions.Utility_DisplayArrayInTable(Fuel_SourceData.Fuel_Scope1Scope3EmissionFactorsStationaryLiquid_Data(), Table_Fuel_EFs_StationaryLiquid[[#Headers],[Fuel combusted]],0)</f>
        <v>69.599999999999994</v>
      </c>
      <c r="H56" s="241" cm="1">
        <f t="array" ref="H56">Common_InputFunctions.Utility_DisplayArrayInTable(Fuel_SourceData.Fuel_Scope1Scope3EmissionFactorsStationaryLiquid_Data(), Table_Fuel_EFs_StationaryLiquid[[#Headers],[Fuel combusted]],0)</f>
        <v>0.08</v>
      </c>
      <c r="I56" s="241" cm="1">
        <f t="array" ref="I56">Common_InputFunctions.Utility_DisplayArrayInTable(Fuel_SourceData.Fuel_Scope1Scope3EmissionFactorsStationaryLiquid_Data(), Table_Fuel_EFs_StationaryLiquid[[#Headers],[Fuel combusted]],0)</f>
        <v>0.2</v>
      </c>
      <c r="J56" s="241" cm="1">
        <f t="array" ref="J56">Common_InputFunctions.Utility_DisplayArrayInTable(Fuel_SourceData.Fuel_Scope1Scope3EmissionFactorsStationaryLiquid_Data(), Table_Fuel_EFs_StationaryLiquid[[#Headers],[Fuel combusted]],0)</f>
        <v>69.88</v>
      </c>
      <c r="K56" s="241" t="str" cm="1">
        <f t="array" ref="K56">Common_InputFunctions.Utility_DisplayArrayInTable(Fuel_SourceData.Fuel_Scope1Scope3EmissionFactorsStationaryLiquid_Data(), Table_Fuel_EFs_StationaryLiquid[[#Headers],[Fuel combusted]],0)</f>
        <v>NE</v>
      </c>
      <c r="L56" s="189"/>
    </row>
    <row r="57" spans="1:12" ht="20.100000000000001" customHeight="1" x14ac:dyDescent="0.25">
      <c r="A57" s="5" t="str">
        <f>HYPERLINK("#'Constants - Fertiliser'!A1", "Constants - Fertiliser")</f>
        <v>Constants - Fertiliser</v>
      </c>
      <c r="D57" s="241" t="str" cm="1">
        <f t="array" ref="D57">Common_InputFunctions.Utility_DisplayArrayInTable(Fuel_SourceData.Fuel_Scope1Scope3EmissionFactorsStationaryLiquid_Data(), Table_Fuel_EFs_StationaryLiquid[[#Headers],[Fuel combusted]],0)</f>
        <v>Other natural gas liquids</v>
      </c>
      <c r="E57" s="241" cm="1">
        <f t="array" ref="E57">Common_InputFunctions.Utility_DisplayArrayInTable(Fuel_SourceData.Fuel_Scope1Scope3EmissionFactorsStationaryLiquid_Data(), Table_Fuel_EFs_StationaryLiquid[[#Headers],[Fuel combusted]],0)</f>
        <v>46.5</v>
      </c>
      <c r="F57" s="241" t="str" cm="1">
        <f t="array" ref="F57">Common_InputFunctions.Utility_DisplayArrayInTable(Fuel_SourceData.Fuel_Scope1Scope3EmissionFactorsStationaryLiquid_Data(), Table_Fuel_EFs_StationaryLiquid[[#Headers],[Fuel combusted]],0)</f>
        <v>t</v>
      </c>
      <c r="G57" s="241" cm="1">
        <f t="array" ref="G57">Common_InputFunctions.Utility_DisplayArrayInTable(Fuel_SourceData.Fuel_Scope1Scope3EmissionFactorsStationaryLiquid_Data(), Table_Fuel_EFs_StationaryLiquid[[#Headers],[Fuel combusted]],0)</f>
        <v>61</v>
      </c>
      <c r="H57" s="241" cm="1">
        <f t="array" ref="H57">Common_InputFunctions.Utility_DisplayArrayInTable(Fuel_SourceData.Fuel_Scope1Scope3EmissionFactorsStationaryLiquid_Data(), Table_Fuel_EFs_StationaryLiquid[[#Headers],[Fuel combusted]],0)</f>
        <v>0.08</v>
      </c>
      <c r="I57" s="241" cm="1">
        <f t="array" ref="I57">Common_InputFunctions.Utility_DisplayArrayInTable(Fuel_SourceData.Fuel_Scope1Scope3EmissionFactorsStationaryLiquid_Data(), Table_Fuel_EFs_StationaryLiquid[[#Headers],[Fuel combusted]],0)</f>
        <v>0.2</v>
      </c>
      <c r="J57" s="241" cm="1">
        <f t="array" ref="J57">Common_InputFunctions.Utility_DisplayArrayInTable(Fuel_SourceData.Fuel_Scope1Scope3EmissionFactorsStationaryLiquid_Data(), Table_Fuel_EFs_StationaryLiquid[[#Headers],[Fuel combusted]],0)</f>
        <v>61.28</v>
      </c>
      <c r="K57" s="241" t="str" cm="1">
        <f t="array" ref="K57">Common_InputFunctions.Utility_DisplayArrayInTable(Fuel_SourceData.Fuel_Scope1Scope3EmissionFactorsStationaryLiquid_Data(), Table_Fuel_EFs_StationaryLiquid[[#Headers],[Fuel combusted]],0)</f>
        <v>NE</v>
      </c>
      <c r="L57" s="189"/>
    </row>
    <row r="58" spans="1:12" ht="20.100000000000001" customHeight="1" x14ac:dyDescent="0.25">
      <c r="A58" s="146" t="str">
        <f>HYPERLINK("#'Constants - Fuel'!A1", "Constants - Fuel")</f>
        <v>Constants - Fuel</v>
      </c>
      <c r="D58" s="24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1" cm="1">
        <f t="array" ref="E58">Common_InputFunctions.Utility_DisplayArrayInTable(Fuel_SourceData.Fuel_Scope1Scope3EmissionFactorsStationaryLiquid_Data(), Table_Fuel_EFs_StationaryLiquid[[#Headers],[Fuel combusted]],0)</f>
        <v>34.200000000000003</v>
      </c>
      <c r="F58" s="241" t="str" cm="1">
        <f t="array" ref="F58">Common_InputFunctions.Utility_DisplayArrayInTable(Fuel_SourceData.Fuel_Scope1Scope3EmissionFactorsStationaryLiquid_Data(), Table_Fuel_EFs_StationaryLiquid[[#Headers],[Fuel combusted]],0)</f>
        <v>kL</v>
      </c>
      <c r="G58" s="241" cm="1">
        <f t="array" ref="G58">Common_InputFunctions.Utility_DisplayArrayInTable(Fuel_SourceData.Fuel_Scope1Scope3EmissionFactorsStationaryLiquid_Data(), Table_Fuel_EFs_StationaryLiquid[[#Headers],[Fuel combusted]],0)</f>
        <v>67.400000000000006</v>
      </c>
      <c r="H58" s="241" cm="1">
        <f t="array" ref="H58">Common_InputFunctions.Utility_DisplayArrayInTable(Fuel_SourceData.Fuel_Scope1Scope3EmissionFactorsStationaryLiquid_Data(), Table_Fuel_EFs_StationaryLiquid[[#Headers],[Fuel combusted]],0)</f>
        <v>0.2</v>
      </c>
      <c r="I58" s="241" cm="1">
        <f t="array" ref="I58">Common_InputFunctions.Utility_DisplayArrayInTable(Fuel_SourceData.Fuel_Scope1Scope3EmissionFactorsStationaryLiquid_Data(), Table_Fuel_EFs_StationaryLiquid[[#Headers],[Fuel combusted]],0)</f>
        <v>0.2</v>
      </c>
      <c r="J58" s="241" cm="1">
        <f t="array" ref="J58">Common_InputFunctions.Utility_DisplayArrayInTable(Fuel_SourceData.Fuel_Scope1Scope3EmissionFactorsStationaryLiquid_Data(), Table_Fuel_EFs_StationaryLiquid[[#Headers],[Fuel combusted]],0)</f>
        <v>67.8</v>
      </c>
      <c r="K58" s="241" cm="1">
        <f t="array" ref="K58">Common_InputFunctions.Utility_DisplayArrayInTable(Fuel_SourceData.Fuel_Scope1Scope3EmissionFactorsStationaryLiquid_Data(), Table_Fuel_EFs_StationaryLiquid[[#Headers],[Fuel combusted]],0)</f>
        <v>17.2</v>
      </c>
      <c r="L58" s="189"/>
    </row>
    <row r="59" spans="1:12" ht="20.100000000000001" customHeight="1" x14ac:dyDescent="0.25">
      <c r="A59" s="5" t="str">
        <f>HYPERLINK("#'Constants - Scope 3'!A1", "Constants - Scope 3")</f>
        <v>Constants - Scope 3</v>
      </c>
      <c r="D59" s="241" t="str" cm="1">
        <f t="array" ref="D59">Common_InputFunctions.Utility_DisplayArrayInTable(Fuel_SourceData.Fuel_Scope1Scope3EmissionFactorsStationaryLiquid_Data(), Table_Fuel_EFs_StationaryLiquid[[#Headers],[Fuel combusted]],0)</f>
        <v>Aviation gasoline</v>
      </c>
      <c r="E59" s="241" cm="1">
        <f t="array" ref="E59">Common_InputFunctions.Utility_DisplayArrayInTable(Fuel_SourceData.Fuel_Scope1Scope3EmissionFactorsStationaryLiquid_Data(), Table_Fuel_EFs_StationaryLiquid[[#Headers],[Fuel combusted]],0)</f>
        <v>33.1</v>
      </c>
      <c r="F59" s="241" t="str" cm="1">
        <f t="array" ref="F59">Common_InputFunctions.Utility_DisplayArrayInTable(Fuel_SourceData.Fuel_Scope1Scope3EmissionFactorsStationaryLiquid_Data(), Table_Fuel_EFs_StationaryLiquid[[#Headers],[Fuel combusted]],0)</f>
        <v>kL</v>
      </c>
      <c r="G59" s="241" cm="1">
        <f t="array" ref="G59">Common_InputFunctions.Utility_DisplayArrayInTable(Fuel_SourceData.Fuel_Scope1Scope3EmissionFactorsStationaryLiquid_Data(), Table_Fuel_EFs_StationaryLiquid[[#Headers],[Fuel combusted]],0)</f>
        <v>67</v>
      </c>
      <c r="H59" s="241" cm="1">
        <f t="array" ref="H59">Common_InputFunctions.Utility_DisplayArrayInTable(Fuel_SourceData.Fuel_Scope1Scope3EmissionFactorsStationaryLiquid_Data(), Table_Fuel_EFs_StationaryLiquid[[#Headers],[Fuel combusted]],0)</f>
        <v>0.2</v>
      </c>
      <c r="I59" s="241" cm="1">
        <f t="array" ref="I59">Common_InputFunctions.Utility_DisplayArrayInTable(Fuel_SourceData.Fuel_Scope1Scope3EmissionFactorsStationaryLiquid_Data(), Table_Fuel_EFs_StationaryLiquid[[#Headers],[Fuel combusted]],0)</f>
        <v>0.2</v>
      </c>
      <c r="J59" s="241" cm="1">
        <f t="array" ref="J59">Common_InputFunctions.Utility_DisplayArrayInTable(Fuel_SourceData.Fuel_Scope1Scope3EmissionFactorsStationaryLiquid_Data(), Table_Fuel_EFs_StationaryLiquid[[#Headers],[Fuel combusted]],0)</f>
        <v>67.400000000000006</v>
      </c>
      <c r="K59" s="241" cm="1">
        <f t="array" ref="K59">Common_InputFunctions.Utility_DisplayArrayInTable(Fuel_SourceData.Fuel_Scope1Scope3EmissionFactorsStationaryLiquid_Data(), Table_Fuel_EFs_StationaryLiquid[[#Headers],[Fuel combusted]],0)</f>
        <v>18</v>
      </c>
      <c r="L59" s="189"/>
    </row>
    <row r="60" spans="1:12" ht="20.100000000000001" customHeight="1" x14ac:dyDescent="0.25">
      <c r="A60" s="5" t="str">
        <f>HYPERLINK("#'Constants - Common'!A1", "Constants - Common")</f>
        <v>Constants - Common</v>
      </c>
      <c r="D60" s="241" t="str" cm="1">
        <f t="array" ref="D60">Common_InputFunctions.Utility_DisplayArrayInTable(Fuel_SourceData.Fuel_Scope1Scope3EmissionFactorsStationaryLiquid_Data(), Table_Fuel_EFs_StationaryLiquid[[#Headers],[Fuel combusted]],0)</f>
        <v>Kerosene (other than for use as fuel in an aircraft)</v>
      </c>
      <c r="E60" s="241" cm="1">
        <f t="array" ref="E60">Common_InputFunctions.Utility_DisplayArrayInTable(Fuel_SourceData.Fuel_Scope1Scope3EmissionFactorsStationaryLiquid_Data(), Table_Fuel_EFs_StationaryLiquid[[#Headers],[Fuel combusted]],0)</f>
        <v>37.5</v>
      </c>
      <c r="F60" s="241" t="str" cm="1">
        <f t="array" ref="F60">Common_InputFunctions.Utility_DisplayArrayInTable(Fuel_SourceData.Fuel_Scope1Scope3EmissionFactorsStationaryLiquid_Data(), Table_Fuel_EFs_StationaryLiquid[[#Headers],[Fuel combusted]],0)</f>
        <v>kL</v>
      </c>
      <c r="G60" s="241" cm="1">
        <f t="array" ref="G60">Common_InputFunctions.Utility_DisplayArrayInTable(Fuel_SourceData.Fuel_Scope1Scope3EmissionFactorsStationaryLiquid_Data(), Table_Fuel_EFs_StationaryLiquid[[#Headers],[Fuel combusted]],0)</f>
        <v>68.900000000000006</v>
      </c>
      <c r="H60" s="241" cm="1">
        <f t="array" ref="H60">Common_InputFunctions.Utility_DisplayArrayInTable(Fuel_SourceData.Fuel_Scope1Scope3EmissionFactorsStationaryLiquid_Data(), Table_Fuel_EFs_StationaryLiquid[[#Headers],[Fuel combusted]],0)</f>
        <v>0.01</v>
      </c>
      <c r="I60" s="241" cm="1">
        <f t="array" ref="I60">Common_InputFunctions.Utility_DisplayArrayInTable(Fuel_SourceData.Fuel_Scope1Scope3EmissionFactorsStationaryLiquid_Data(), Table_Fuel_EFs_StationaryLiquid[[#Headers],[Fuel combusted]],0)</f>
        <v>0.2</v>
      </c>
      <c r="J60" s="241" cm="1">
        <f t="array" ref="J60">Common_InputFunctions.Utility_DisplayArrayInTable(Fuel_SourceData.Fuel_Scope1Scope3EmissionFactorsStationaryLiquid_Data(), Table_Fuel_EFs_StationaryLiquid[[#Headers],[Fuel combusted]],0)</f>
        <v>69.11</v>
      </c>
      <c r="K60" s="241" cm="1">
        <f t="array" ref="K60">Common_InputFunctions.Utility_DisplayArrayInTable(Fuel_SourceData.Fuel_Scope1Scope3EmissionFactorsStationaryLiquid_Data(), Table_Fuel_EFs_StationaryLiquid[[#Headers],[Fuel combusted]],0)</f>
        <v>18</v>
      </c>
      <c r="L60" s="189"/>
    </row>
    <row r="61" spans="1:12" ht="20.100000000000001" customHeight="1" x14ac:dyDescent="0.25">
      <c r="A61" s="5" t="str">
        <f>HYPERLINK("#'Acknowledgements'!A1", "Acknowledgements")</f>
        <v>Acknowledgements</v>
      </c>
      <c r="D61" s="241" t="str" cm="1">
        <f t="array" ref="D61">Common_InputFunctions.Utility_DisplayArrayInTable(Fuel_SourceData.Fuel_Scope1Scope3EmissionFactorsStationaryLiquid_Data(), Table_Fuel_EFs_StationaryLiquid[[#Headers],[Fuel combusted]],0)</f>
        <v>Aviation turbine fuel / kerosene</v>
      </c>
      <c r="E61" s="241" cm="1">
        <f t="array" ref="E61">Common_InputFunctions.Utility_DisplayArrayInTable(Fuel_SourceData.Fuel_Scope1Scope3EmissionFactorsStationaryLiquid_Data(), Table_Fuel_EFs_StationaryLiquid[[#Headers],[Fuel combusted]],0)</f>
        <v>36.799999999999997</v>
      </c>
      <c r="F61" s="241" t="str" cm="1">
        <f t="array" ref="F61">Common_InputFunctions.Utility_DisplayArrayInTable(Fuel_SourceData.Fuel_Scope1Scope3EmissionFactorsStationaryLiquid_Data(), Table_Fuel_EFs_StationaryLiquid[[#Headers],[Fuel combusted]],0)</f>
        <v>kL</v>
      </c>
      <c r="G61" s="241" cm="1">
        <f t="array" ref="G61">Common_InputFunctions.Utility_DisplayArrayInTable(Fuel_SourceData.Fuel_Scope1Scope3EmissionFactorsStationaryLiquid_Data(), Table_Fuel_EFs_StationaryLiquid[[#Headers],[Fuel combusted]],0)</f>
        <v>69.599999999999994</v>
      </c>
      <c r="H61" s="241" cm="1">
        <f t="array" ref="H61">Common_InputFunctions.Utility_DisplayArrayInTable(Fuel_SourceData.Fuel_Scope1Scope3EmissionFactorsStationaryLiquid_Data(), Table_Fuel_EFs_StationaryLiquid[[#Headers],[Fuel combusted]],0)</f>
        <v>0.02</v>
      </c>
      <c r="I61" s="241" cm="1">
        <f t="array" ref="I61">Common_InputFunctions.Utility_DisplayArrayInTable(Fuel_SourceData.Fuel_Scope1Scope3EmissionFactorsStationaryLiquid_Data(), Table_Fuel_EFs_StationaryLiquid[[#Headers],[Fuel combusted]],0)</f>
        <v>0.2</v>
      </c>
      <c r="J61" s="241" cm="1">
        <f t="array" ref="J61">Common_InputFunctions.Utility_DisplayArrayInTable(Fuel_SourceData.Fuel_Scope1Scope3EmissionFactorsStationaryLiquid_Data(), Table_Fuel_EFs_StationaryLiquid[[#Headers],[Fuel combusted]],0)</f>
        <v>69.819999999999993</v>
      </c>
      <c r="K61" s="241" cm="1">
        <f t="array" ref="K61">Common_InputFunctions.Utility_DisplayArrayInTable(Fuel_SourceData.Fuel_Scope1Scope3EmissionFactorsStationaryLiquid_Data(), Table_Fuel_EFs_StationaryLiquid[[#Headers],[Fuel combusted]],0)</f>
        <v>18</v>
      </c>
      <c r="L61" s="189"/>
    </row>
    <row r="62" spans="1:12" ht="20.100000000000001" customHeight="1" x14ac:dyDescent="0.25">
      <c r="A62" s="5" t="str">
        <f>HYPERLINK("#'Constants - Solid Waste'!A1", "Constants - Solid Waste")</f>
        <v>Constants - Solid Waste</v>
      </c>
      <c r="D62" s="241" t="str" cm="1">
        <f t="array" ref="D62">Common_InputFunctions.Utility_DisplayArrayInTable(Fuel_SourceData.Fuel_Scope1Scope3EmissionFactorsStationaryLiquid_Data(), Table_Fuel_EFs_StationaryLiquid[[#Headers],[Fuel combusted]],0)</f>
        <v>Heating oil</v>
      </c>
      <c r="E62" s="241" cm="1">
        <f t="array" ref="E62">Common_InputFunctions.Utility_DisplayArrayInTable(Fuel_SourceData.Fuel_Scope1Scope3EmissionFactorsStationaryLiquid_Data(), Table_Fuel_EFs_StationaryLiquid[[#Headers],[Fuel combusted]],0)</f>
        <v>37.299999999999997</v>
      </c>
      <c r="F62" s="241" t="str" cm="1">
        <f t="array" ref="F62">Common_InputFunctions.Utility_DisplayArrayInTable(Fuel_SourceData.Fuel_Scope1Scope3EmissionFactorsStationaryLiquid_Data(), Table_Fuel_EFs_StationaryLiquid[[#Headers],[Fuel combusted]],0)</f>
        <v>kL</v>
      </c>
      <c r="G62" s="241" cm="1">
        <f t="array" ref="G62">Common_InputFunctions.Utility_DisplayArrayInTable(Fuel_SourceData.Fuel_Scope1Scope3EmissionFactorsStationaryLiquid_Data(), Table_Fuel_EFs_StationaryLiquid[[#Headers],[Fuel combusted]],0)</f>
        <v>69.5</v>
      </c>
      <c r="H62" s="241" cm="1">
        <f t="array" ref="H62">Common_InputFunctions.Utility_DisplayArrayInTable(Fuel_SourceData.Fuel_Scope1Scope3EmissionFactorsStationaryLiquid_Data(), Table_Fuel_EFs_StationaryLiquid[[#Headers],[Fuel combusted]],0)</f>
        <v>0.03</v>
      </c>
      <c r="I62" s="241" cm="1">
        <f t="array" ref="I62">Common_InputFunctions.Utility_DisplayArrayInTable(Fuel_SourceData.Fuel_Scope1Scope3EmissionFactorsStationaryLiquid_Data(), Table_Fuel_EFs_StationaryLiquid[[#Headers],[Fuel combusted]],0)</f>
        <v>0.2</v>
      </c>
      <c r="J62" s="241" cm="1">
        <f t="array" ref="J62">Common_InputFunctions.Utility_DisplayArrayInTable(Fuel_SourceData.Fuel_Scope1Scope3EmissionFactorsStationaryLiquid_Data(), Table_Fuel_EFs_StationaryLiquid[[#Headers],[Fuel combusted]],0)</f>
        <v>69.73</v>
      </c>
      <c r="K62" s="241" cm="1">
        <f t="array" ref="K62">Common_InputFunctions.Utility_DisplayArrayInTable(Fuel_SourceData.Fuel_Scope1Scope3EmissionFactorsStationaryLiquid_Data(), Table_Fuel_EFs_StationaryLiquid[[#Headers],[Fuel combusted]],0)</f>
        <v>18</v>
      </c>
      <c r="L62" s="189"/>
    </row>
    <row r="63" spans="1:12" ht="20.100000000000001" customHeight="1" x14ac:dyDescent="0.25">
      <c r="D63" s="241" t="str" cm="1">
        <f t="array" ref="D63">Common_InputFunctions.Utility_DisplayArrayInTable(Fuel_SourceData.Fuel_Scope1Scope3EmissionFactorsStationaryLiquid_Data(), Table_Fuel_EFs_StationaryLiquid[[#Headers],[Fuel combusted]],0)</f>
        <v>Diesel oil</v>
      </c>
      <c r="E63" s="241" cm="1">
        <f t="array" ref="E63">Common_InputFunctions.Utility_DisplayArrayInTable(Fuel_SourceData.Fuel_Scope1Scope3EmissionFactorsStationaryLiquid_Data(), Table_Fuel_EFs_StationaryLiquid[[#Headers],[Fuel combusted]],0)</f>
        <v>38.6</v>
      </c>
      <c r="F63" s="241" t="str" cm="1">
        <f t="array" ref="F63">Common_InputFunctions.Utility_DisplayArrayInTable(Fuel_SourceData.Fuel_Scope1Scope3EmissionFactorsStationaryLiquid_Data(), Table_Fuel_EFs_StationaryLiquid[[#Headers],[Fuel combusted]],0)</f>
        <v>kL</v>
      </c>
      <c r="G63" s="241" cm="1">
        <f t="array" ref="G63">Common_InputFunctions.Utility_DisplayArrayInTable(Fuel_SourceData.Fuel_Scope1Scope3EmissionFactorsStationaryLiquid_Data(), Table_Fuel_EFs_StationaryLiquid[[#Headers],[Fuel combusted]],0)</f>
        <v>69.900000000000006</v>
      </c>
      <c r="H63" s="241" cm="1">
        <f t="array" ref="H63">Common_InputFunctions.Utility_DisplayArrayInTable(Fuel_SourceData.Fuel_Scope1Scope3EmissionFactorsStationaryLiquid_Data(), Table_Fuel_EFs_StationaryLiquid[[#Headers],[Fuel combusted]],0)</f>
        <v>0.1</v>
      </c>
      <c r="I63" s="241" cm="1">
        <f t="array" ref="I63">Common_InputFunctions.Utility_DisplayArrayInTable(Fuel_SourceData.Fuel_Scope1Scope3EmissionFactorsStationaryLiquid_Data(), Table_Fuel_EFs_StationaryLiquid[[#Headers],[Fuel combusted]],0)</f>
        <v>0.2</v>
      </c>
      <c r="J63" s="241" cm="1">
        <f t="array" ref="J63">Common_InputFunctions.Utility_DisplayArrayInTable(Fuel_SourceData.Fuel_Scope1Scope3EmissionFactorsStationaryLiquid_Data(), Table_Fuel_EFs_StationaryLiquid[[#Headers],[Fuel combusted]],0)</f>
        <v>70.2</v>
      </c>
      <c r="K63" s="241" cm="1">
        <f t="array" ref="K63">Common_InputFunctions.Utility_DisplayArrayInTable(Fuel_SourceData.Fuel_Scope1Scope3EmissionFactorsStationaryLiquid_Data(), Table_Fuel_EFs_StationaryLiquid[[#Headers],[Fuel combusted]],0)</f>
        <v>17.3</v>
      </c>
      <c r="L63" s="189"/>
    </row>
    <row r="64" spans="1:12" ht="20.100000000000001" customHeight="1" x14ac:dyDescent="0.25">
      <c r="D64" s="241" t="str" cm="1">
        <f t="array" ref="D64">Common_InputFunctions.Utility_DisplayArrayInTable(Fuel_SourceData.Fuel_Scope1Scope3EmissionFactorsStationaryLiquid_Data(), Table_Fuel_EFs_StationaryLiquid[[#Headers],[Fuel combusted]],0)</f>
        <v>Fuel oil</v>
      </c>
      <c r="E64" s="241" cm="1">
        <f t="array" ref="E64">Common_InputFunctions.Utility_DisplayArrayInTable(Fuel_SourceData.Fuel_Scope1Scope3EmissionFactorsStationaryLiquid_Data(), Table_Fuel_EFs_StationaryLiquid[[#Headers],[Fuel combusted]],0)</f>
        <v>39.700000000000003</v>
      </c>
      <c r="F64" s="241" t="str" cm="1">
        <f t="array" ref="F64">Common_InputFunctions.Utility_DisplayArrayInTable(Fuel_SourceData.Fuel_Scope1Scope3EmissionFactorsStationaryLiquid_Data(), Table_Fuel_EFs_StationaryLiquid[[#Headers],[Fuel combusted]],0)</f>
        <v>kL</v>
      </c>
      <c r="G64" s="241" cm="1">
        <f t="array" ref="G64">Common_InputFunctions.Utility_DisplayArrayInTable(Fuel_SourceData.Fuel_Scope1Scope3EmissionFactorsStationaryLiquid_Data(), Table_Fuel_EFs_StationaryLiquid[[#Headers],[Fuel combusted]],0)</f>
        <v>73.599999999999994</v>
      </c>
      <c r="H64" s="241" cm="1">
        <f t="array" ref="H64">Common_InputFunctions.Utility_DisplayArrayInTable(Fuel_SourceData.Fuel_Scope1Scope3EmissionFactorsStationaryLiquid_Data(), Table_Fuel_EFs_StationaryLiquid[[#Headers],[Fuel combusted]],0)</f>
        <v>0.04</v>
      </c>
      <c r="I64" s="241" cm="1">
        <f t="array" ref="I64">Common_InputFunctions.Utility_DisplayArrayInTable(Fuel_SourceData.Fuel_Scope1Scope3EmissionFactorsStationaryLiquid_Data(), Table_Fuel_EFs_StationaryLiquid[[#Headers],[Fuel combusted]],0)</f>
        <v>0.2</v>
      </c>
      <c r="J64" s="241" cm="1">
        <f t="array" ref="J64">Common_InputFunctions.Utility_DisplayArrayInTable(Fuel_SourceData.Fuel_Scope1Scope3EmissionFactorsStationaryLiquid_Data(), Table_Fuel_EFs_StationaryLiquid[[#Headers],[Fuel combusted]],0)</f>
        <v>73.84</v>
      </c>
      <c r="K64" s="241" cm="1">
        <f t="array" ref="K64">Common_InputFunctions.Utility_DisplayArrayInTable(Fuel_SourceData.Fuel_Scope1Scope3EmissionFactorsStationaryLiquid_Data(), Table_Fuel_EFs_StationaryLiquid[[#Headers],[Fuel combusted]],0)</f>
        <v>18</v>
      </c>
      <c r="L64" s="189"/>
    </row>
    <row r="65" spans="4:13" ht="20.100000000000001" customHeight="1" x14ac:dyDescent="0.25">
      <c r="D65" s="241" t="str" cm="1">
        <f t="array" ref="D65">Common_InputFunctions.Utility_DisplayArrayInTable(Fuel_SourceData.Fuel_Scope1Scope3EmissionFactorsStationaryLiquid_Data(), Table_Fuel_EFs_StationaryLiquid[[#Headers],[Fuel combusted]],0)</f>
        <v>Liquefied aromatic hydrocarbons</v>
      </c>
      <c r="E65" s="241" cm="1">
        <f t="array" ref="E65">Common_InputFunctions.Utility_DisplayArrayInTable(Fuel_SourceData.Fuel_Scope1Scope3EmissionFactorsStationaryLiquid_Data(), Table_Fuel_EFs_StationaryLiquid[[#Headers],[Fuel combusted]],0)</f>
        <v>34.4</v>
      </c>
      <c r="F65" s="241" t="str" cm="1">
        <f t="array" ref="F65">Common_InputFunctions.Utility_DisplayArrayInTable(Fuel_SourceData.Fuel_Scope1Scope3EmissionFactorsStationaryLiquid_Data(), Table_Fuel_EFs_StationaryLiquid[[#Headers],[Fuel combusted]],0)</f>
        <v>kL</v>
      </c>
      <c r="G65" s="241" cm="1">
        <f t="array" ref="G65">Common_InputFunctions.Utility_DisplayArrayInTable(Fuel_SourceData.Fuel_Scope1Scope3EmissionFactorsStationaryLiquid_Data(), Table_Fuel_EFs_StationaryLiquid[[#Headers],[Fuel combusted]],0)</f>
        <v>69.7</v>
      </c>
      <c r="H65" s="241" cm="1">
        <f t="array" ref="H65">Common_InputFunctions.Utility_DisplayArrayInTable(Fuel_SourceData.Fuel_Scope1Scope3EmissionFactorsStationaryLiquid_Data(), Table_Fuel_EFs_StationaryLiquid[[#Headers],[Fuel combusted]],0)</f>
        <v>0.03</v>
      </c>
      <c r="I65" s="241" cm="1">
        <f t="array" ref="I65">Common_InputFunctions.Utility_DisplayArrayInTable(Fuel_SourceData.Fuel_Scope1Scope3EmissionFactorsStationaryLiquid_Data(), Table_Fuel_EFs_StationaryLiquid[[#Headers],[Fuel combusted]],0)</f>
        <v>0.2</v>
      </c>
      <c r="J65" s="241" cm="1">
        <f t="array" ref="J65">Common_InputFunctions.Utility_DisplayArrayInTable(Fuel_SourceData.Fuel_Scope1Scope3EmissionFactorsStationaryLiquid_Data(), Table_Fuel_EFs_StationaryLiquid[[#Headers],[Fuel combusted]],0)</f>
        <v>69.930000000000007</v>
      </c>
      <c r="K65" s="241" cm="1">
        <f t="array" ref="K65">Common_InputFunctions.Utility_DisplayArrayInTable(Fuel_SourceData.Fuel_Scope1Scope3EmissionFactorsStationaryLiquid_Data(), Table_Fuel_EFs_StationaryLiquid[[#Headers],[Fuel combusted]],0)</f>
        <v>18</v>
      </c>
      <c r="L65" s="189"/>
    </row>
    <row r="66" spans="4:13" ht="20.100000000000001" customHeight="1" x14ac:dyDescent="0.25">
      <c r="D66" s="241" t="str" cm="1">
        <f t="array" ref="D66">Common_InputFunctions.Utility_DisplayArrayInTable(Fuel_SourceData.Fuel_Scope1Scope3EmissionFactorsStationaryLiquid_Data(), Table_Fuel_EFs_StationaryLiquid[[#Headers],[Fuel combusted]],0)</f>
        <v>Solvents: mineral turpentine or white spirits</v>
      </c>
      <c r="E66" s="241" cm="1">
        <f t="array" ref="E66">Common_InputFunctions.Utility_DisplayArrayInTable(Fuel_SourceData.Fuel_Scope1Scope3EmissionFactorsStationaryLiquid_Data(), Table_Fuel_EFs_StationaryLiquid[[#Headers],[Fuel combusted]],0)</f>
        <v>34.4</v>
      </c>
      <c r="F66" s="241" t="str" cm="1">
        <f t="array" ref="F66">Common_InputFunctions.Utility_DisplayArrayInTable(Fuel_SourceData.Fuel_Scope1Scope3EmissionFactorsStationaryLiquid_Data(), Table_Fuel_EFs_StationaryLiquid[[#Headers],[Fuel combusted]],0)</f>
        <v>kL</v>
      </c>
      <c r="G66" s="241" cm="1">
        <f t="array" ref="G66">Common_InputFunctions.Utility_DisplayArrayInTable(Fuel_SourceData.Fuel_Scope1Scope3EmissionFactorsStationaryLiquid_Data(), Table_Fuel_EFs_StationaryLiquid[[#Headers],[Fuel combusted]],0)</f>
        <v>69.7</v>
      </c>
      <c r="H66" s="241" cm="1">
        <f t="array" ref="H66">Common_InputFunctions.Utility_DisplayArrayInTable(Fuel_SourceData.Fuel_Scope1Scope3EmissionFactorsStationaryLiquid_Data(), Table_Fuel_EFs_StationaryLiquid[[#Headers],[Fuel combusted]],0)</f>
        <v>0.03</v>
      </c>
      <c r="I66" s="241" cm="1">
        <f t="array" ref="I66">Common_InputFunctions.Utility_DisplayArrayInTable(Fuel_SourceData.Fuel_Scope1Scope3EmissionFactorsStationaryLiquid_Data(), Table_Fuel_EFs_StationaryLiquid[[#Headers],[Fuel combusted]],0)</f>
        <v>0.2</v>
      </c>
      <c r="J66" s="241" cm="1">
        <f t="array" ref="J66">Common_InputFunctions.Utility_DisplayArrayInTable(Fuel_SourceData.Fuel_Scope1Scope3EmissionFactorsStationaryLiquid_Data(), Table_Fuel_EFs_StationaryLiquid[[#Headers],[Fuel combusted]],0)</f>
        <v>69.930000000000007</v>
      </c>
      <c r="K66" s="241" cm="1">
        <f t="array" ref="K66">Common_InputFunctions.Utility_DisplayArrayInTable(Fuel_SourceData.Fuel_Scope1Scope3EmissionFactorsStationaryLiquid_Data(), Table_Fuel_EFs_StationaryLiquid[[#Headers],[Fuel combusted]],0)</f>
        <v>18</v>
      </c>
      <c r="L66" s="189"/>
    </row>
    <row r="67" spans="4:13" ht="20.100000000000001" customHeight="1" x14ac:dyDescent="0.25">
      <c r="D67" s="241" t="str" cm="1">
        <f t="array" ref="D67">Common_InputFunctions.Utility_DisplayArrayInTable(Fuel_SourceData.Fuel_Scope1Scope3EmissionFactorsStationaryLiquid_Data(), Table_Fuel_EFs_StationaryLiquid[[#Headers],[Fuel combusted]],0)</f>
        <v>Liquefied petroleum gas (LPG)</v>
      </c>
      <c r="E67" s="241" cm="1">
        <f t="array" ref="E67">Common_InputFunctions.Utility_DisplayArrayInTable(Fuel_SourceData.Fuel_Scope1Scope3EmissionFactorsStationaryLiquid_Data(), Table_Fuel_EFs_StationaryLiquid[[#Headers],[Fuel combusted]],0)</f>
        <v>25.7</v>
      </c>
      <c r="F67" s="241" t="str" cm="1">
        <f t="array" ref="F67">Common_InputFunctions.Utility_DisplayArrayInTable(Fuel_SourceData.Fuel_Scope1Scope3EmissionFactorsStationaryLiquid_Data(), Table_Fuel_EFs_StationaryLiquid[[#Headers],[Fuel combusted]],0)</f>
        <v>kL</v>
      </c>
      <c r="G67" s="241" cm="1">
        <f t="array" ref="G67">Common_InputFunctions.Utility_DisplayArrayInTable(Fuel_SourceData.Fuel_Scope1Scope3EmissionFactorsStationaryLiquid_Data(), Table_Fuel_EFs_StationaryLiquid[[#Headers],[Fuel combusted]],0)</f>
        <v>60.2</v>
      </c>
      <c r="H67" s="241" cm="1">
        <f t="array" ref="H67">Common_InputFunctions.Utility_DisplayArrayInTable(Fuel_SourceData.Fuel_Scope1Scope3EmissionFactorsStationaryLiquid_Data(), Table_Fuel_EFs_StationaryLiquid[[#Headers],[Fuel combusted]],0)</f>
        <v>0.2</v>
      </c>
      <c r="I67" s="241" cm="1">
        <f t="array" ref="I67">Common_InputFunctions.Utility_DisplayArrayInTable(Fuel_SourceData.Fuel_Scope1Scope3EmissionFactorsStationaryLiquid_Data(), Table_Fuel_EFs_StationaryLiquid[[#Headers],[Fuel combusted]],0)</f>
        <v>0.2</v>
      </c>
      <c r="J67" s="241" cm="1">
        <f t="array" ref="J67">Common_InputFunctions.Utility_DisplayArrayInTable(Fuel_SourceData.Fuel_Scope1Scope3EmissionFactorsStationaryLiquid_Data(), Table_Fuel_EFs_StationaryLiquid[[#Headers],[Fuel combusted]],0)</f>
        <v>60.6</v>
      </c>
      <c r="K67" s="241" cm="1">
        <f t="array" ref="K67">Common_InputFunctions.Utility_DisplayArrayInTable(Fuel_SourceData.Fuel_Scope1Scope3EmissionFactorsStationaryLiquid_Data(), Table_Fuel_EFs_StationaryLiquid[[#Headers],[Fuel combusted]],0)</f>
        <v>20.2</v>
      </c>
      <c r="L67" s="189"/>
    </row>
    <row r="68" spans="4:13" ht="20.100000000000001" customHeight="1" x14ac:dyDescent="0.25">
      <c r="D68" s="241" t="str" cm="1">
        <f t="array" ref="D68">Common_InputFunctions.Utility_DisplayArrayInTable(Fuel_SourceData.Fuel_Scope1Scope3EmissionFactorsStationaryLiquid_Data(), Table_Fuel_EFs_StationaryLiquid[[#Headers],[Fuel combusted]],0)</f>
        <v>Naphtha</v>
      </c>
      <c r="E68" s="241" cm="1">
        <f t="array" ref="E68">Common_InputFunctions.Utility_DisplayArrayInTable(Fuel_SourceData.Fuel_Scope1Scope3EmissionFactorsStationaryLiquid_Data(), Table_Fuel_EFs_StationaryLiquid[[#Headers],[Fuel combusted]],0)</f>
        <v>31.4</v>
      </c>
      <c r="F68" s="241" t="str" cm="1">
        <f t="array" ref="F68">Common_InputFunctions.Utility_DisplayArrayInTable(Fuel_SourceData.Fuel_Scope1Scope3EmissionFactorsStationaryLiquid_Data(), Table_Fuel_EFs_StationaryLiquid[[#Headers],[Fuel combusted]],0)</f>
        <v>kL</v>
      </c>
      <c r="G68" s="241" cm="1">
        <f t="array" ref="G68">Common_InputFunctions.Utility_DisplayArrayInTable(Fuel_SourceData.Fuel_Scope1Scope3EmissionFactorsStationaryLiquid_Data(), Table_Fuel_EFs_StationaryLiquid[[#Headers],[Fuel combusted]],0)</f>
        <v>69.8</v>
      </c>
      <c r="H68" s="241" cm="1">
        <f t="array" ref="H68">Common_InputFunctions.Utility_DisplayArrayInTable(Fuel_SourceData.Fuel_Scope1Scope3EmissionFactorsStationaryLiquid_Data(), Table_Fuel_EFs_StationaryLiquid[[#Headers],[Fuel combusted]],0)</f>
        <v>0.01</v>
      </c>
      <c r="I68" s="241" cm="1">
        <f t="array" ref="I68">Common_InputFunctions.Utility_DisplayArrayInTable(Fuel_SourceData.Fuel_Scope1Scope3EmissionFactorsStationaryLiquid_Data(), Table_Fuel_EFs_StationaryLiquid[[#Headers],[Fuel combusted]],0)</f>
        <v>0.01</v>
      </c>
      <c r="J68" s="241" cm="1">
        <f t="array" ref="J68">Common_InputFunctions.Utility_DisplayArrayInTable(Fuel_SourceData.Fuel_Scope1Scope3EmissionFactorsStationaryLiquid_Data(), Table_Fuel_EFs_StationaryLiquid[[#Headers],[Fuel combusted]],0)</f>
        <v>69.819999999999993</v>
      </c>
      <c r="K68" s="241" cm="1">
        <f t="array" ref="K68">Common_InputFunctions.Utility_DisplayArrayInTable(Fuel_SourceData.Fuel_Scope1Scope3EmissionFactorsStationaryLiquid_Data(), Table_Fuel_EFs_StationaryLiquid[[#Headers],[Fuel combusted]],0)</f>
        <v>18</v>
      </c>
      <c r="L68" s="189"/>
    </row>
    <row r="69" spans="4:13" ht="20.100000000000001" customHeight="1" x14ac:dyDescent="0.25">
      <c r="D69" s="241" t="str" cm="1">
        <f t="array" ref="D69">Common_InputFunctions.Utility_DisplayArrayInTable(Fuel_SourceData.Fuel_Scope1Scope3EmissionFactorsStationaryLiquid_Data(), Table_Fuel_EFs_StationaryLiquid[[#Headers],[Fuel combusted]],0)</f>
        <v>Petroleum coke</v>
      </c>
      <c r="E69" s="241" cm="1">
        <f t="array" ref="E69">Common_InputFunctions.Utility_DisplayArrayInTable(Fuel_SourceData.Fuel_Scope1Scope3EmissionFactorsStationaryLiquid_Data(), Table_Fuel_EFs_StationaryLiquid[[#Headers],[Fuel combusted]],0)</f>
        <v>34.200000000000003</v>
      </c>
      <c r="F69" s="241" t="str" cm="1">
        <f t="array" ref="F69">Common_InputFunctions.Utility_DisplayArrayInTable(Fuel_SourceData.Fuel_Scope1Scope3EmissionFactorsStationaryLiquid_Data(), Table_Fuel_EFs_StationaryLiquid[[#Headers],[Fuel combusted]],0)</f>
        <v>t</v>
      </c>
      <c r="G69" s="241" cm="1">
        <f t="array" ref="G69">Common_InputFunctions.Utility_DisplayArrayInTable(Fuel_SourceData.Fuel_Scope1Scope3EmissionFactorsStationaryLiquid_Data(), Table_Fuel_EFs_StationaryLiquid[[#Headers],[Fuel combusted]],0)</f>
        <v>92.6</v>
      </c>
      <c r="H69" s="241" cm="1">
        <f t="array" ref="H69">Common_InputFunctions.Utility_DisplayArrayInTable(Fuel_SourceData.Fuel_Scope1Scope3EmissionFactorsStationaryLiquid_Data(), Table_Fuel_EFs_StationaryLiquid[[#Headers],[Fuel combusted]],0)</f>
        <v>0.08</v>
      </c>
      <c r="I69" s="241" cm="1">
        <f t="array" ref="I69">Common_InputFunctions.Utility_DisplayArrayInTable(Fuel_SourceData.Fuel_Scope1Scope3EmissionFactorsStationaryLiquid_Data(), Table_Fuel_EFs_StationaryLiquid[[#Headers],[Fuel combusted]],0)</f>
        <v>0.2</v>
      </c>
      <c r="J69" s="241" cm="1">
        <f t="array" ref="J69">Common_InputFunctions.Utility_DisplayArrayInTable(Fuel_SourceData.Fuel_Scope1Scope3EmissionFactorsStationaryLiquid_Data(), Table_Fuel_EFs_StationaryLiquid[[#Headers],[Fuel combusted]],0)</f>
        <v>92.88</v>
      </c>
      <c r="K69" s="241" cm="1">
        <f t="array" ref="K69">Common_InputFunctions.Utility_DisplayArrayInTable(Fuel_SourceData.Fuel_Scope1Scope3EmissionFactorsStationaryLiquid_Data(), Table_Fuel_EFs_StationaryLiquid[[#Headers],[Fuel combusted]],0)</f>
        <v>18</v>
      </c>
      <c r="L69" s="189"/>
    </row>
    <row r="70" spans="4:13" ht="20.100000000000001" customHeight="1" x14ac:dyDescent="0.25">
      <c r="D70" s="241" t="str" cm="1">
        <f t="array" ref="D70">Common_InputFunctions.Utility_DisplayArrayInTable(Fuel_SourceData.Fuel_Scope1Scope3EmissionFactorsStationaryLiquid_Data(), Table_Fuel_EFs_StationaryLiquid[[#Headers],[Fuel combusted]],0)</f>
        <v>Refinery gas and liquids</v>
      </c>
      <c r="E70" s="241" cm="1">
        <f t="array" ref="E70">Common_InputFunctions.Utility_DisplayArrayInTable(Fuel_SourceData.Fuel_Scope1Scope3EmissionFactorsStationaryLiquid_Data(), Table_Fuel_EFs_StationaryLiquid[[#Headers],[Fuel combusted]],0)</f>
        <v>42.9</v>
      </c>
      <c r="F70" s="241" t="str" cm="1">
        <f t="array" ref="F70">Common_InputFunctions.Utility_DisplayArrayInTable(Fuel_SourceData.Fuel_Scope1Scope3EmissionFactorsStationaryLiquid_Data(), Table_Fuel_EFs_StationaryLiquid[[#Headers],[Fuel combusted]],0)</f>
        <v>t</v>
      </c>
      <c r="G70" s="241" cm="1">
        <f t="array" ref="G70">Common_InputFunctions.Utility_DisplayArrayInTable(Fuel_SourceData.Fuel_Scope1Scope3EmissionFactorsStationaryLiquid_Data(), Table_Fuel_EFs_StationaryLiquid[[#Headers],[Fuel combusted]],0)</f>
        <v>54.7</v>
      </c>
      <c r="H70" s="241" cm="1">
        <f t="array" ref="H70">Common_InputFunctions.Utility_DisplayArrayInTable(Fuel_SourceData.Fuel_Scope1Scope3EmissionFactorsStationaryLiquid_Data(), Table_Fuel_EFs_StationaryLiquid[[#Headers],[Fuel combusted]],0)</f>
        <v>0.03</v>
      </c>
      <c r="I70" s="241" cm="1">
        <f t="array" ref="I70">Common_InputFunctions.Utility_DisplayArrayInTable(Fuel_SourceData.Fuel_Scope1Scope3EmissionFactorsStationaryLiquid_Data(), Table_Fuel_EFs_StationaryLiquid[[#Headers],[Fuel combusted]],0)</f>
        <v>0.03</v>
      </c>
      <c r="J70" s="241" cm="1">
        <f t="array" ref="J70">Common_InputFunctions.Utility_DisplayArrayInTable(Fuel_SourceData.Fuel_Scope1Scope3EmissionFactorsStationaryLiquid_Data(), Table_Fuel_EFs_StationaryLiquid[[#Headers],[Fuel combusted]],0)</f>
        <v>54.76</v>
      </c>
      <c r="K70" s="241" cm="1">
        <f t="array" ref="K70">Common_InputFunctions.Utility_DisplayArrayInTable(Fuel_SourceData.Fuel_Scope1Scope3EmissionFactorsStationaryLiquid_Data(), Table_Fuel_EFs_StationaryLiquid[[#Headers],[Fuel combusted]],0)</f>
        <v>18</v>
      </c>
      <c r="L70" s="189"/>
    </row>
    <row r="71" spans="4:13" ht="20.100000000000001" customHeight="1" x14ac:dyDescent="0.25">
      <c r="D71" s="241" t="str" cm="1">
        <f t="array" ref="D71">Common_InputFunctions.Utility_DisplayArrayInTable(Fuel_SourceData.Fuel_Scope1Scope3EmissionFactorsStationaryLiquid_Data(), Table_Fuel_EFs_StationaryLiquid[[#Headers],[Fuel combusted]],0)</f>
        <v>Refinery coke</v>
      </c>
      <c r="E71" s="241" cm="1">
        <f t="array" ref="E71">Common_InputFunctions.Utility_DisplayArrayInTable(Fuel_SourceData.Fuel_Scope1Scope3EmissionFactorsStationaryLiquid_Data(), Table_Fuel_EFs_StationaryLiquid[[#Headers],[Fuel combusted]],0)</f>
        <v>34.200000000000003</v>
      </c>
      <c r="F71" s="241" t="str" cm="1">
        <f t="array" ref="F71">Common_InputFunctions.Utility_DisplayArrayInTable(Fuel_SourceData.Fuel_Scope1Scope3EmissionFactorsStationaryLiquid_Data(), Table_Fuel_EFs_StationaryLiquid[[#Headers],[Fuel combusted]],0)</f>
        <v>t</v>
      </c>
      <c r="G71" s="241" cm="1">
        <f t="array" ref="G71">Common_InputFunctions.Utility_DisplayArrayInTable(Fuel_SourceData.Fuel_Scope1Scope3EmissionFactorsStationaryLiquid_Data(), Table_Fuel_EFs_StationaryLiquid[[#Headers],[Fuel combusted]],0)</f>
        <v>92.6</v>
      </c>
      <c r="H71" s="241" cm="1">
        <f t="array" ref="H71">Common_InputFunctions.Utility_DisplayArrayInTable(Fuel_SourceData.Fuel_Scope1Scope3EmissionFactorsStationaryLiquid_Data(), Table_Fuel_EFs_StationaryLiquid[[#Headers],[Fuel combusted]],0)</f>
        <v>0.08</v>
      </c>
      <c r="I71" s="241" cm="1">
        <f t="array" ref="I71">Common_InputFunctions.Utility_DisplayArrayInTable(Fuel_SourceData.Fuel_Scope1Scope3EmissionFactorsStationaryLiquid_Data(), Table_Fuel_EFs_StationaryLiquid[[#Headers],[Fuel combusted]],0)</f>
        <v>0.2</v>
      </c>
      <c r="J71" s="241" cm="1">
        <f t="array" ref="J71">Common_InputFunctions.Utility_DisplayArrayInTable(Fuel_SourceData.Fuel_Scope1Scope3EmissionFactorsStationaryLiquid_Data(), Table_Fuel_EFs_StationaryLiquid[[#Headers],[Fuel combusted]],0)</f>
        <v>92.88</v>
      </c>
      <c r="K71" s="241" cm="1">
        <f t="array" ref="K71">Common_InputFunctions.Utility_DisplayArrayInTable(Fuel_SourceData.Fuel_Scope1Scope3EmissionFactorsStationaryLiquid_Data(), Table_Fuel_EFs_StationaryLiquid[[#Headers],[Fuel combusted]],0)</f>
        <v>18</v>
      </c>
      <c r="L71" s="189"/>
    </row>
    <row r="72" spans="4:13" ht="20.100000000000001" customHeight="1" x14ac:dyDescent="0.25">
      <c r="D72" s="241" t="str" cm="1">
        <f t="array" ref="D72">Common_InputFunctions.Utility_DisplayArrayInTable(Fuel_SourceData.Fuel_Scope1Scope3EmissionFactorsStationaryLiquid_Data(), Table_Fuel_EFs_StationaryLiquid[[#Headers],[Fuel combusted]],0)</f>
        <v>Petroleum based products other than mentioned in the items above</v>
      </c>
      <c r="E72" s="241" cm="1">
        <f t="array" ref="E72">Common_InputFunctions.Utility_DisplayArrayInTable(Fuel_SourceData.Fuel_Scope1Scope3EmissionFactorsStationaryLiquid_Data(), Table_Fuel_EFs_StationaryLiquid[[#Headers],[Fuel combusted]],0)</f>
        <v>34.4</v>
      </c>
      <c r="F72" s="241" t="str" cm="1">
        <f t="array" ref="F72">Common_InputFunctions.Utility_DisplayArrayInTable(Fuel_SourceData.Fuel_Scope1Scope3EmissionFactorsStationaryLiquid_Data(), Table_Fuel_EFs_StationaryLiquid[[#Headers],[Fuel combusted]],0)</f>
        <v>kL</v>
      </c>
      <c r="G72" s="241" cm="1">
        <f t="array" ref="G72">Common_InputFunctions.Utility_DisplayArrayInTable(Fuel_SourceData.Fuel_Scope1Scope3EmissionFactorsStationaryLiquid_Data(), Table_Fuel_EFs_StationaryLiquid[[#Headers],[Fuel combusted]],0)</f>
        <v>69.8</v>
      </c>
      <c r="H72" s="241" cm="1">
        <f t="array" ref="H72">Common_InputFunctions.Utility_DisplayArrayInTable(Fuel_SourceData.Fuel_Scope1Scope3EmissionFactorsStationaryLiquid_Data(), Table_Fuel_EFs_StationaryLiquid[[#Headers],[Fuel combusted]],0)</f>
        <v>0.02</v>
      </c>
      <c r="I72" s="241" cm="1">
        <f t="array" ref="I72">Common_InputFunctions.Utility_DisplayArrayInTable(Fuel_SourceData.Fuel_Scope1Scope3EmissionFactorsStationaryLiquid_Data(), Table_Fuel_EFs_StationaryLiquid[[#Headers],[Fuel combusted]],0)</f>
        <v>0.1</v>
      </c>
      <c r="J72" s="241" cm="1">
        <f t="array" ref="J72">Common_InputFunctions.Utility_DisplayArrayInTable(Fuel_SourceData.Fuel_Scope1Scope3EmissionFactorsStationaryLiquid_Data(), Table_Fuel_EFs_StationaryLiquid[[#Headers],[Fuel combusted]],0)</f>
        <v>69.92</v>
      </c>
      <c r="K72" s="241" cm="1">
        <f t="array" ref="K72">Common_InputFunctions.Utility_DisplayArrayInTable(Fuel_SourceData.Fuel_Scope1Scope3EmissionFactorsStationaryLiquid_Data(), Table_Fuel_EFs_StationaryLiquid[[#Headers],[Fuel combusted]],0)</f>
        <v>18</v>
      </c>
      <c r="L72" s="189"/>
    </row>
    <row r="73" spans="4:13" ht="20.100000000000001" customHeight="1" x14ac:dyDescent="0.25">
      <c r="D73" s="241" t="str" cm="1">
        <f t="array" ref="D73">Common_InputFunctions.Utility_DisplayArrayInTable(Fuel_SourceData.Fuel_Scope1Scope3EmissionFactorsStationaryLiquid_Data(), Table_Fuel_EFs_StationaryLiquid[[#Headers],[Fuel combusted]],0)</f>
        <v>Biodiesel</v>
      </c>
      <c r="E73" s="241" cm="1">
        <f t="array" ref="E73">Common_InputFunctions.Utility_DisplayArrayInTable(Fuel_SourceData.Fuel_Scope1Scope3EmissionFactorsStationaryLiquid_Data(), Table_Fuel_EFs_StationaryLiquid[[#Headers],[Fuel combusted]],0)</f>
        <v>34.6</v>
      </c>
      <c r="F73" s="241" t="str" cm="1">
        <f t="array" ref="F73">Common_InputFunctions.Utility_DisplayArrayInTable(Fuel_SourceData.Fuel_Scope1Scope3EmissionFactorsStationaryLiquid_Data(), Table_Fuel_EFs_StationaryLiquid[[#Headers],[Fuel combusted]],0)</f>
        <v>kL</v>
      </c>
      <c r="G73" s="241" cm="1">
        <f t="array" ref="G73">Common_InputFunctions.Utility_DisplayArrayInTable(Fuel_SourceData.Fuel_Scope1Scope3EmissionFactorsStationaryLiquid_Data(), Table_Fuel_EFs_StationaryLiquid[[#Headers],[Fuel combusted]],0)</f>
        <v>0</v>
      </c>
      <c r="H73" s="241" cm="1">
        <f t="array" ref="H73">Common_InputFunctions.Utility_DisplayArrayInTable(Fuel_SourceData.Fuel_Scope1Scope3EmissionFactorsStationaryLiquid_Data(), Table_Fuel_EFs_StationaryLiquid[[#Headers],[Fuel combusted]],0)</f>
        <v>0.08</v>
      </c>
      <c r="I73" s="241" cm="1">
        <f t="array" ref="I73">Common_InputFunctions.Utility_DisplayArrayInTable(Fuel_SourceData.Fuel_Scope1Scope3EmissionFactorsStationaryLiquid_Data(), Table_Fuel_EFs_StationaryLiquid[[#Headers],[Fuel combusted]],0)</f>
        <v>0.2</v>
      </c>
      <c r="J73" s="241" cm="1">
        <f t="array" ref="J73">Common_InputFunctions.Utility_DisplayArrayInTable(Fuel_SourceData.Fuel_Scope1Scope3EmissionFactorsStationaryLiquid_Data(), Table_Fuel_EFs_StationaryLiquid[[#Headers],[Fuel combusted]],0)</f>
        <v>0.28000000000000003</v>
      </c>
      <c r="K73" s="241" t="str" cm="1">
        <f t="array" ref="K73">Common_InputFunctions.Utility_DisplayArrayInTable(Fuel_SourceData.Fuel_Scope1Scope3EmissionFactorsStationaryLiquid_Data(), Table_Fuel_EFs_StationaryLiquid[[#Headers],[Fuel combusted]],0)</f>
        <v>NE</v>
      </c>
      <c r="L73" s="189"/>
    </row>
    <row r="74" spans="4:13" ht="20.100000000000001" customHeight="1" x14ac:dyDescent="0.25">
      <c r="D74" s="241" t="str" cm="1">
        <f t="array" ref="D74">Common_InputFunctions.Utility_DisplayArrayInTable(Fuel_SourceData.Fuel_Scope1Scope3EmissionFactorsStationaryLiquid_Data(), Table_Fuel_EFs_StationaryLiquid[[#Headers],[Fuel combusted]],0)</f>
        <v>Ethanol for use as a fuel in an internal combustion engine</v>
      </c>
      <c r="E74" s="241" cm="1">
        <f t="array" ref="E74">Common_InputFunctions.Utility_DisplayArrayInTable(Fuel_SourceData.Fuel_Scope1Scope3EmissionFactorsStationaryLiquid_Data(), Table_Fuel_EFs_StationaryLiquid[[#Headers],[Fuel combusted]],0)</f>
        <v>23.4</v>
      </c>
      <c r="F74" s="241" t="str" cm="1">
        <f t="array" ref="F74">Common_InputFunctions.Utility_DisplayArrayInTable(Fuel_SourceData.Fuel_Scope1Scope3EmissionFactorsStationaryLiquid_Data(), Table_Fuel_EFs_StationaryLiquid[[#Headers],[Fuel combusted]],0)</f>
        <v>kL</v>
      </c>
      <c r="G74" s="241" cm="1">
        <f t="array" ref="G74">Common_InputFunctions.Utility_DisplayArrayInTable(Fuel_SourceData.Fuel_Scope1Scope3EmissionFactorsStationaryLiquid_Data(), Table_Fuel_EFs_StationaryLiquid[[#Headers],[Fuel combusted]],0)</f>
        <v>0</v>
      </c>
      <c r="H74" s="241" cm="1">
        <f t="array" ref="H74">Common_InputFunctions.Utility_DisplayArrayInTable(Fuel_SourceData.Fuel_Scope1Scope3EmissionFactorsStationaryLiquid_Data(), Table_Fuel_EFs_StationaryLiquid[[#Headers],[Fuel combusted]],0)</f>
        <v>0.08</v>
      </c>
      <c r="I74" s="241" cm="1">
        <f t="array" ref="I74">Common_InputFunctions.Utility_DisplayArrayInTable(Fuel_SourceData.Fuel_Scope1Scope3EmissionFactorsStationaryLiquid_Data(), Table_Fuel_EFs_StationaryLiquid[[#Headers],[Fuel combusted]],0)</f>
        <v>0.2</v>
      </c>
      <c r="J74" s="241" cm="1">
        <f t="array" ref="J74">Common_InputFunctions.Utility_DisplayArrayInTable(Fuel_SourceData.Fuel_Scope1Scope3EmissionFactorsStationaryLiquid_Data(), Table_Fuel_EFs_StationaryLiquid[[#Headers],[Fuel combusted]],0)</f>
        <v>0.28000000000000003</v>
      </c>
      <c r="K74" s="241" t="str" cm="1">
        <f t="array" ref="K74">Common_InputFunctions.Utility_DisplayArrayInTable(Fuel_SourceData.Fuel_Scope1Scope3EmissionFactorsStationaryLiquid_Data(), Table_Fuel_EFs_StationaryLiquid[[#Headers],[Fuel combusted]],0)</f>
        <v>NE</v>
      </c>
      <c r="L74" s="189"/>
    </row>
    <row r="75" spans="4:13" ht="20.100000000000001" customHeight="1" x14ac:dyDescent="0.25">
      <c r="D75" s="241" t="str" cm="1">
        <f t="array" ref="D75">Common_InputFunctions.Utility_DisplayArrayInTable(Fuel_SourceData.Fuel_Scope1Scope3EmissionFactorsStationaryLiquid_Data(), Table_Fuel_EFs_StationaryLiquid[[#Headers],[Fuel combusted]],0)</f>
        <v>Biofuels other than those mentioned in the items above and below</v>
      </c>
      <c r="E75" s="241" cm="1">
        <f t="array" ref="E75">Common_InputFunctions.Utility_DisplayArrayInTable(Fuel_SourceData.Fuel_Scope1Scope3EmissionFactorsStationaryLiquid_Data(), Table_Fuel_EFs_StationaryLiquid[[#Headers],[Fuel combusted]],0)</f>
        <v>23.4</v>
      </c>
      <c r="F75" s="241" t="str" cm="1">
        <f t="array" ref="F75">Common_InputFunctions.Utility_DisplayArrayInTable(Fuel_SourceData.Fuel_Scope1Scope3EmissionFactorsStationaryLiquid_Data(), Table_Fuel_EFs_StationaryLiquid[[#Headers],[Fuel combusted]],0)</f>
        <v>kL</v>
      </c>
      <c r="G75" s="241" cm="1">
        <f t="array" ref="G75">Common_InputFunctions.Utility_DisplayArrayInTable(Fuel_SourceData.Fuel_Scope1Scope3EmissionFactorsStationaryLiquid_Data(), Table_Fuel_EFs_StationaryLiquid[[#Headers],[Fuel combusted]],0)</f>
        <v>0</v>
      </c>
      <c r="H75" s="241" cm="1">
        <f t="array" ref="H75">Common_InputFunctions.Utility_DisplayArrayInTable(Fuel_SourceData.Fuel_Scope1Scope3EmissionFactorsStationaryLiquid_Data(), Table_Fuel_EFs_StationaryLiquid[[#Headers],[Fuel combusted]],0)</f>
        <v>0.08</v>
      </c>
      <c r="I75" s="241" cm="1">
        <f t="array" ref="I75">Common_InputFunctions.Utility_DisplayArrayInTable(Fuel_SourceData.Fuel_Scope1Scope3EmissionFactorsStationaryLiquid_Data(), Table_Fuel_EFs_StationaryLiquid[[#Headers],[Fuel combusted]],0)</f>
        <v>0.2</v>
      </c>
      <c r="J75" s="241" cm="1">
        <f t="array" ref="J75">Common_InputFunctions.Utility_DisplayArrayInTable(Fuel_SourceData.Fuel_Scope1Scope3EmissionFactorsStationaryLiquid_Data(), Table_Fuel_EFs_StationaryLiquid[[#Headers],[Fuel combusted]],0)</f>
        <v>0.28000000000000003</v>
      </c>
      <c r="K75" s="241" t="str" cm="1">
        <f t="array" ref="K75">Common_InputFunctions.Utility_DisplayArrayInTable(Fuel_SourceData.Fuel_Scope1Scope3EmissionFactorsStationaryLiquid_Data(), Table_Fuel_EFs_StationaryLiquid[[#Headers],[Fuel combusted]],0)</f>
        <v>NE</v>
      </c>
      <c r="L75" s="189"/>
    </row>
    <row r="76" spans="4:13" ht="20.100000000000001" customHeight="1" x14ac:dyDescent="0.25">
      <c r="D76" s="241" t="str" cm="1">
        <f t="array" ref="D76">Common_InputFunctions.Utility_DisplayArrayInTable(Fuel_SourceData.Fuel_Scope1Scope3EmissionFactorsStationaryLiquid_Data(), Table_Fuel_EFs_StationaryLiquid[[#Headers],[Fuel combusted]],0)</f>
        <v>Renewable aviation kerosene</v>
      </c>
      <c r="E76" s="241" cm="1">
        <f t="array" ref="E76">Common_InputFunctions.Utility_DisplayArrayInTable(Fuel_SourceData.Fuel_Scope1Scope3EmissionFactorsStationaryLiquid_Data(), Table_Fuel_EFs_StationaryLiquid[[#Headers],[Fuel combusted]],0)</f>
        <v>36.799999999999997</v>
      </c>
      <c r="F76" s="241" t="str" cm="1">
        <f t="array" ref="F76">Common_InputFunctions.Utility_DisplayArrayInTable(Fuel_SourceData.Fuel_Scope1Scope3EmissionFactorsStationaryLiquid_Data(), Table_Fuel_EFs_StationaryLiquid[[#Headers],[Fuel combusted]],0)</f>
        <v>kL</v>
      </c>
      <c r="G76" s="241" cm="1">
        <f t="array" ref="G76">Common_InputFunctions.Utility_DisplayArrayInTable(Fuel_SourceData.Fuel_Scope1Scope3EmissionFactorsStationaryLiquid_Data(), Table_Fuel_EFs_StationaryLiquid[[#Headers],[Fuel combusted]],0)</f>
        <v>0</v>
      </c>
      <c r="H76" s="241" cm="1">
        <f t="array" ref="H76">Common_InputFunctions.Utility_DisplayArrayInTable(Fuel_SourceData.Fuel_Scope1Scope3EmissionFactorsStationaryLiquid_Data(), Table_Fuel_EFs_StationaryLiquid[[#Headers],[Fuel combusted]],0)</f>
        <v>0.02</v>
      </c>
      <c r="I76" s="241" cm="1">
        <f t="array" ref="I76">Common_InputFunctions.Utility_DisplayArrayInTable(Fuel_SourceData.Fuel_Scope1Scope3EmissionFactorsStationaryLiquid_Data(), Table_Fuel_EFs_StationaryLiquid[[#Headers],[Fuel combusted]],0)</f>
        <v>0.2</v>
      </c>
      <c r="J76" s="241" cm="1">
        <f t="array" ref="J76">Common_InputFunctions.Utility_DisplayArrayInTable(Fuel_SourceData.Fuel_Scope1Scope3EmissionFactorsStationaryLiquid_Data(), Table_Fuel_EFs_StationaryLiquid[[#Headers],[Fuel combusted]],0)</f>
        <v>0.22</v>
      </c>
      <c r="K76" s="241" t="str" cm="1">
        <f t="array" ref="K76">Common_InputFunctions.Utility_DisplayArrayInTable(Fuel_SourceData.Fuel_Scope1Scope3EmissionFactorsStationaryLiquid_Data(), Table_Fuel_EFs_StationaryLiquid[[#Headers],[Fuel combusted]],0)</f>
        <v>NE</v>
      </c>
      <c r="L76" s="189"/>
    </row>
    <row r="77" spans="4:13" ht="20.100000000000001" customHeight="1" x14ac:dyDescent="0.25">
      <c r="D77" s="241" t="str" cm="1">
        <f t="array" ref="D77">Common_InputFunctions.Utility_DisplayArrayInTable(Fuel_SourceData.Fuel_Scope1Scope3EmissionFactorsStationaryLiquid_Data(), Table_Fuel_EFs_StationaryLiquid[[#Headers],[Fuel combusted]],0)</f>
        <v>Renewable diesel</v>
      </c>
      <c r="E77" s="241" cm="1">
        <f t="array" ref="E77">Common_InputFunctions.Utility_DisplayArrayInTable(Fuel_SourceData.Fuel_Scope1Scope3EmissionFactorsStationaryLiquid_Data(), Table_Fuel_EFs_StationaryLiquid[[#Headers],[Fuel combusted]],0)</f>
        <v>38.6</v>
      </c>
      <c r="F77" s="241" t="str" cm="1">
        <f t="array" ref="F77">Common_InputFunctions.Utility_DisplayArrayInTable(Fuel_SourceData.Fuel_Scope1Scope3EmissionFactorsStationaryLiquid_Data(), Table_Fuel_EFs_StationaryLiquid[[#Headers],[Fuel combusted]],0)</f>
        <v>kL</v>
      </c>
      <c r="G77" s="241" cm="1">
        <f t="array" ref="G77">Common_InputFunctions.Utility_DisplayArrayInTable(Fuel_SourceData.Fuel_Scope1Scope3EmissionFactorsStationaryLiquid_Data(), Table_Fuel_EFs_StationaryLiquid[[#Headers],[Fuel combusted]],0)</f>
        <v>0</v>
      </c>
      <c r="H77" s="241" cm="1">
        <f t="array" ref="H77">Common_InputFunctions.Utility_DisplayArrayInTable(Fuel_SourceData.Fuel_Scope1Scope3EmissionFactorsStationaryLiquid_Data(), Table_Fuel_EFs_StationaryLiquid[[#Headers],[Fuel combusted]],0)</f>
        <v>0.1</v>
      </c>
      <c r="I77" s="241" cm="1">
        <f t="array" ref="I77">Common_InputFunctions.Utility_DisplayArrayInTable(Fuel_SourceData.Fuel_Scope1Scope3EmissionFactorsStationaryLiquid_Data(), Table_Fuel_EFs_StationaryLiquid[[#Headers],[Fuel combusted]],0)</f>
        <v>0.2</v>
      </c>
      <c r="J77" s="241" cm="1">
        <f t="array" ref="J77">Common_InputFunctions.Utility_DisplayArrayInTable(Fuel_SourceData.Fuel_Scope1Scope3EmissionFactorsStationaryLiquid_Data(), Table_Fuel_EFs_StationaryLiquid[[#Headers],[Fuel combusted]],0)</f>
        <v>0.3</v>
      </c>
      <c r="K77" s="241" t="str" cm="1">
        <f t="array" ref="K77">Common_InputFunctions.Utility_DisplayArrayInTable(Fuel_SourceData.Fuel_Scope1Scope3EmissionFactorsStationaryLiquid_Data(), Table_Fuel_EFs_StationaryLiquid[[#Headers],[Fuel combusted]],0)</f>
        <v>NE</v>
      </c>
      <c r="L77" s="189"/>
    </row>
    <row r="78" spans="4:13" ht="20.100000000000001" customHeight="1" x14ac:dyDescent="0.25">
      <c r="D78" s="189"/>
      <c r="E78" s="189"/>
      <c r="F78" s="189"/>
      <c r="G78" s="189"/>
      <c r="H78" s="189"/>
      <c r="I78" s="189"/>
      <c r="J78" s="189"/>
      <c r="K78" s="189"/>
      <c r="L78" s="189"/>
    </row>
    <row r="79" spans="4:13" ht="20.100000000000001" customHeight="1" x14ac:dyDescent="0.25">
      <c r="D79" s="189"/>
      <c r="E79" s="189"/>
      <c r="F79" s="189"/>
      <c r="G79" s="189"/>
      <c r="H79" s="189"/>
      <c r="I79" s="189"/>
      <c r="J79" s="189"/>
      <c r="K79" s="189"/>
      <c r="L79" s="189"/>
      <c r="M79" s="189"/>
    </row>
    <row r="80" spans="4:13" ht="20.100000000000001" customHeight="1" x14ac:dyDescent="0.25">
      <c r="D80" s="189"/>
      <c r="E80" s="189"/>
      <c r="F80" s="189"/>
      <c r="G80" s="189"/>
      <c r="H80" s="189"/>
      <c r="I80" s="189"/>
      <c r="J80" s="189"/>
      <c r="K80" s="189"/>
      <c r="L80" s="189"/>
      <c r="M80" s="189"/>
    </row>
    <row r="81" spans="4:12" ht="20.100000000000001" customHeight="1" x14ac:dyDescent="0.25">
      <c r="D81" s="2" t="str" cm="1">
        <f t="array" ref="D81">Fuel_SourceData.Fuel_Scope1EmissionFactorsStationaryGaseous_Title()</f>
        <v>Fuel scope 1 emission factors - Stationary gaseous fuels</v>
      </c>
      <c r="E81" s="189"/>
      <c r="F81" s="189"/>
      <c r="G81" s="189"/>
      <c r="H81" s="189"/>
      <c r="I81" s="189"/>
      <c r="J81" s="189"/>
      <c r="K81" s="189"/>
      <c r="L81" s="18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9"/>
      <c r="F82" s="189"/>
      <c r="G82" s="189"/>
      <c r="H82" s="189"/>
      <c r="I82" s="189"/>
      <c r="J82" s="189"/>
      <c r="K82" s="189"/>
      <c r="L82" s="189"/>
    </row>
    <row r="83" spans="4:12" ht="20.100000000000001" customHeight="1" x14ac:dyDescent="0.25">
      <c r="D83" s="27" t="str" cm="1">
        <f t="array" ref="D83">Fuel_SourceData.Fuel_Scope1EmissionFactorsStationaryGaseous_Source()</f>
        <v>Australian National Greenhouse Accounts Factors 2025 - Table 5</v>
      </c>
      <c r="E83" s="189"/>
      <c r="F83" s="189"/>
      <c r="G83" s="189"/>
      <c r="H83" s="189"/>
      <c r="I83" s="189"/>
      <c r="J83" s="189"/>
      <c r="K83" s="189"/>
      <c r="L83" s="18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9"/>
      <c r="F84" s="189"/>
      <c r="G84" s="189"/>
      <c r="H84" s="189"/>
      <c r="I84" s="189"/>
      <c r="J84" s="189"/>
      <c r="K84" s="189"/>
      <c r="L84" s="189"/>
    </row>
    <row r="85" spans="4:12" ht="20.100000000000001" customHeight="1" x14ac:dyDescent="0.25">
      <c r="D85" s="189"/>
      <c r="E85" s="189"/>
      <c r="F85" s="189"/>
      <c r="G85" s="189"/>
      <c r="H85" s="189"/>
      <c r="I85" s="189"/>
      <c r="J85" s="189"/>
      <c r="K85" s="189"/>
      <c r="L85" s="189"/>
    </row>
    <row r="86" spans="4:12" ht="20.100000000000001" customHeight="1" x14ac:dyDescent="0.25">
      <c r="D86" s="206" t="s">
        <v>831</v>
      </c>
      <c r="E86" s="238" t="s">
        <v>832</v>
      </c>
      <c r="F86" s="206" t="s">
        <v>833</v>
      </c>
      <c r="G86" s="238" t="s">
        <v>834</v>
      </c>
      <c r="H86" s="238" t="s">
        <v>835</v>
      </c>
      <c r="I86" s="238" t="s">
        <v>836</v>
      </c>
      <c r="J86" s="238" t="s">
        <v>837</v>
      </c>
      <c r="K86" s="189"/>
      <c r="L86" s="189"/>
    </row>
    <row r="87" spans="4:12" ht="20.100000000000001" customHeight="1" x14ac:dyDescent="0.25">
      <c r="D87" s="241" t="str" cm="1">
        <f t="array" ref="D87">Common_InputFunctions.Utility_DisplayArrayInTable(Fuel_SourceData.Fuel_Scope1EmissionFactorsStationaryGaseous_Data(), Table_Fuel_EFs_StationaryGaseous[[#Headers],[Fuel combusted]],0)</f>
        <v>Natural gas distributed in a pipeline</v>
      </c>
      <c r="E87" s="241" cm="1">
        <f t="array" ref="E87">Common_InputFunctions.Utility_DisplayArrayInTable(Fuel_SourceData.Fuel_Scope1EmissionFactorsStationaryGaseous_Data(), Table_Fuel_EFs_StationaryGaseous[[#Headers],[Fuel combusted]],0)</f>
        <v>3.9300000000000002E-2</v>
      </c>
      <c r="F87" s="241" t="str" cm="1">
        <f t="array" ref="F87">Common_InputFunctions.Utility_DisplayArrayInTable(Fuel_SourceData.Fuel_Scope1EmissionFactorsStationaryGaseous_Data(), Table_Fuel_EFs_StationaryGaseous[[#Headers],[Fuel combusted]],0)</f>
        <v>m3</v>
      </c>
      <c r="G87" s="241" cm="1">
        <f t="array" ref="G87">Common_InputFunctions.Utility_DisplayArrayInTable(Fuel_SourceData.Fuel_Scope1EmissionFactorsStationaryGaseous_Data(), Table_Fuel_EFs_StationaryGaseous[[#Headers],[Fuel combusted]],0)</f>
        <v>51.4</v>
      </c>
      <c r="H87" s="241" cm="1">
        <f t="array" ref="H87">Common_InputFunctions.Utility_DisplayArrayInTable(Fuel_SourceData.Fuel_Scope1EmissionFactorsStationaryGaseous_Data(), Table_Fuel_EFs_StationaryGaseous[[#Headers],[Fuel combusted]],0)</f>
        <v>0.1</v>
      </c>
      <c r="I87" s="241" cm="1">
        <f t="array" ref="I87">Common_InputFunctions.Utility_DisplayArrayInTable(Fuel_SourceData.Fuel_Scope1EmissionFactorsStationaryGaseous_Data(), Table_Fuel_EFs_StationaryGaseous[[#Headers],[Fuel combusted]],0)</f>
        <v>0.03</v>
      </c>
      <c r="J87" s="241" cm="1">
        <f t="array" ref="J87">Common_InputFunctions.Utility_DisplayArrayInTable(Fuel_SourceData.Fuel_Scope1EmissionFactorsStationaryGaseous_Data(), Table_Fuel_EFs_StationaryGaseous[[#Headers],[Fuel combusted]],0)</f>
        <v>51.53</v>
      </c>
      <c r="K87" s="189"/>
      <c r="L87" s="189"/>
    </row>
    <row r="88" spans="4:12" ht="20.100000000000001" customHeight="1" x14ac:dyDescent="0.25">
      <c r="D88" s="241" t="str" cm="1">
        <f t="array" ref="D88">Common_InputFunctions.Utility_DisplayArrayInTable(Fuel_SourceData.Fuel_Scope1EmissionFactorsStationaryGaseous_Data(), Table_Fuel_EFs_StationaryGaseous[[#Headers],[Fuel combusted]],0)</f>
        <v>Coal seam methane that is captured for combustion</v>
      </c>
      <c r="E88" s="241" cm="1">
        <f t="array" ref="E88">Common_InputFunctions.Utility_DisplayArrayInTable(Fuel_SourceData.Fuel_Scope1EmissionFactorsStationaryGaseous_Data(), Table_Fuel_EFs_StationaryGaseous[[#Headers],[Fuel combusted]],0)</f>
        <v>3.7699999999999997E-2</v>
      </c>
      <c r="F88" s="241" t="str" cm="1">
        <f t="array" ref="F88">Common_InputFunctions.Utility_DisplayArrayInTable(Fuel_SourceData.Fuel_Scope1EmissionFactorsStationaryGaseous_Data(), Table_Fuel_EFs_StationaryGaseous[[#Headers],[Fuel combusted]],0)</f>
        <v>m3</v>
      </c>
      <c r="G88" s="241" cm="1">
        <f t="array" ref="G88">Common_InputFunctions.Utility_DisplayArrayInTable(Fuel_SourceData.Fuel_Scope1EmissionFactorsStationaryGaseous_Data(), Table_Fuel_EFs_StationaryGaseous[[#Headers],[Fuel combusted]],0)</f>
        <v>51.4</v>
      </c>
      <c r="H88" s="241" cm="1">
        <f t="array" ref="H88">Common_InputFunctions.Utility_DisplayArrayInTable(Fuel_SourceData.Fuel_Scope1EmissionFactorsStationaryGaseous_Data(), Table_Fuel_EFs_StationaryGaseous[[#Headers],[Fuel combusted]],0)</f>
        <v>0.2</v>
      </c>
      <c r="I88" s="241" cm="1">
        <f t="array" ref="I88">Common_InputFunctions.Utility_DisplayArrayInTable(Fuel_SourceData.Fuel_Scope1EmissionFactorsStationaryGaseous_Data(), Table_Fuel_EFs_StationaryGaseous[[#Headers],[Fuel combusted]],0)</f>
        <v>0.03</v>
      </c>
      <c r="J88" s="241" cm="1">
        <f t="array" ref="J88">Common_InputFunctions.Utility_DisplayArrayInTable(Fuel_SourceData.Fuel_Scope1EmissionFactorsStationaryGaseous_Data(), Table_Fuel_EFs_StationaryGaseous[[#Headers],[Fuel combusted]],0)</f>
        <v>51.63</v>
      </c>
      <c r="K88" s="189"/>
      <c r="L88" s="189"/>
    </row>
    <row r="89" spans="4:12" ht="20.100000000000001" customHeight="1" x14ac:dyDescent="0.25">
      <c r="D89" s="241" t="str" cm="1">
        <f t="array" ref="D89">Common_InputFunctions.Utility_DisplayArrayInTable(Fuel_SourceData.Fuel_Scope1EmissionFactorsStationaryGaseous_Data(), Table_Fuel_EFs_StationaryGaseous[[#Headers],[Fuel combusted]],0)</f>
        <v>Coal mine waste gas that is captured for combustion</v>
      </c>
      <c r="E89" s="241" cm="1">
        <f t="array" ref="E89">Common_InputFunctions.Utility_DisplayArrayInTable(Fuel_SourceData.Fuel_Scope1EmissionFactorsStationaryGaseous_Data(), Table_Fuel_EFs_StationaryGaseous[[#Headers],[Fuel combusted]],0)</f>
        <v>3.7699999999999997E-2</v>
      </c>
      <c r="F89" s="241" t="str" cm="1">
        <f t="array" ref="F89">Common_InputFunctions.Utility_DisplayArrayInTable(Fuel_SourceData.Fuel_Scope1EmissionFactorsStationaryGaseous_Data(), Table_Fuel_EFs_StationaryGaseous[[#Headers],[Fuel combusted]],0)</f>
        <v>m3</v>
      </c>
      <c r="G89" s="241" cm="1">
        <f t="array" ref="G89">Common_InputFunctions.Utility_DisplayArrayInTable(Fuel_SourceData.Fuel_Scope1EmissionFactorsStationaryGaseous_Data(), Table_Fuel_EFs_StationaryGaseous[[#Headers],[Fuel combusted]],0)</f>
        <v>51.9</v>
      </c>
      <c r="H89" s="241" cm="1">
        <f t="array" ref="H89">Common_InputFunctions.Utility_DisplayArrayInTable(Fuel_SourceData.Fuel_Scope1EmissionFactorsStationaryGaseous_Data(), Table_Fuel_EFs_StationaryGaseous[[#Headers],[Fuel combusted]],0)</f>
        <v>4.5999999999999996</v>
      </c>
      <c r="I89" s="241" cm="1">
        <f t="array" ref="I89">Common_InputFunctions.Utility_DisplayArrayInTable(Fuel_SourceData.Fuel_Scope1EmissionFactorsStationaryGaseous_Data(), Table_Fuel_EFs_StationaryGaseous[[#Headers],[Fuel combusted]],0)</f>
        <v>0.3</v>
      </c>
      <c r="J89" s="241" cm="1">
        <f t="array" ref="J89">Common_InputFunctions.Utility_DisplayArrayInTable(Fuel_SourceData.Fuel_Scope1EmissionFactorsStationaryGaseous_Data(), Table_Fuel_EFs_StationaryGaseous[[#Headers],[Fuel combusted]],0)</f>
        <v>56.8</v>
      </c>
      <c r="K89" s="189"/>
      <c r="L89" s="189"/>
    </row>
    <row r="90" spans="4:12" ht="20.100000000000001" customHeight="1" x14ac:dyDescent="0.25">
      <c r="D90" s="241" t="str" cm="1">
        <f t="array" ref="D90">Common_InputFunctions.Utility_DisplayArrayInTable(Fuel_SourceData.Fuel_Scope1EmissionFactorsStationaryGaseous_Data(), Table_Fuel_EFs_StationaryGaseous[[#Headers],[Fuel combusted]],0)</f>
        <v>Compressed natural gas(reverting to standard conditions)</v>
      </c>
      <c r="E90" s="241" cm="1">
        <f t="array" ref="E90">Common_InputFunctions.Utility_DisplayArrayInTable(Fuel_SourceData.Fuel_Scope1EmissionFactorsStationaryGaseous_Data(), Table_Fuel_EFs_StationaryGaseous[[#Headers],[Fuel combusted]],0)</f>
        <v>3.9300000000000002E-2</v>
      </c>
      <c r="F90" s="241" t="str" cm="1">
        <f t="array" ref="F90">Common_InputFunctions.Utility_DisplayArrayInTable(Fuel_SourceData.Fuel_Scope1EmissionFactorsStationaryGaseous_Data(), Table_Fuel_EFs_StationaryGaseous[[#Headers],[Fuel combusted]],0)</f>
        <v>m3</v>
      </c>
      <c r="G90" s="241" cm="1">
        <f t="array" ref="G90">Common_InputFunctions.Utility_DisplayArrayInTable(Fuel_SourceData.Fuel_Scope1EmissionFactorsStationaryGaseous_Data(), Table_Fuel_EFs_StationaryGaseous[[#Headers],[Fuel combusted]],0)</f>
        <v>51.4</v>
      </c>
      <c r="H90" s="241" cm="1">
        <f t="array" ref="H90">Common_InputFunctions.Utility_DisplayArrayInTable(Fuel_SourceData.Fuel_Scope1EmissionFactorsStationaryGaseous_Data(), Table_Fuel_EFs_StationaryGaseous[[#Headers],[Fuel combusted]],0)</f>
        <v>0.1</v>
      </c>
      <c r="I90" s="241" cm="1">
        <f t="array" ref="I90">Common_InputFunctions.Utility_DisplayArrayInTable(Fuel_SourceData.Fuel_Scope1EmissionFactorsStationaryGaseous_Data(), Table_Fuel_EFs_StationaryGaseous[[#Headers],[Fuel combusted]],0)</f>
        <v>0.03</v>
      </c>
      <c r="J90" s="241" cm="1">
        <f t="array" ref="J90">Common_InputFunctions.Utility_DisplayArrayInTable(Fuel_SourceData.Fuel_Scope1EmissionFactorsStationaryGaseous_Data(), Table_Fuel_EFs_StationaryGaseous[[#Headers],[Fuel combusted]],0)</f>
        <v>51.53</v>
      </c>
      <c r="K90" s="189"/>
      <c r="L90" s="189"/>
    </row>
    <row r="91" spans="4:12" ht="20.100000000000001" customHeight="1" x14ac:dyDescent="0.25">
      <c r="D91" s="241" t="str" cm="1">
        <f t="array" ref="D91">Common_InputFunctions.Utility_DisplayArrayInTable(Fuel_SourceData.Fuel_Scope1EmissionFactorsStationaryGaseous_Data(), Table_Fuel_EFs_StationaryGaseous[[#Headers],[Fuel combusted]],0)</f>
        <v>Unprocessed natural gas</v>
      </c>
      <c r="E91" s="241" cm="1">
        <f t="array" ref="E91">Common_InputFunctions.Utility_DisplayArrayInTable(Fuel_SourceData.Fuel_Scope1EmissionFactorsStationaryGaseous_Data(), Table_Fuel_EFs_StationaryGaseous[[#Headers],[Fuel combusted]],0)</f>
        <v>3.9300000000000002E-2</v>
      </c>
      <c r="F91" s="241" t="str" cm="1">
        <f t="array" ref="F91">Common_InputFunctions.Utility_DisplayArrayInTable(Fuel_SourceData.Fuel_Scope1EmissionFactorsStationaryGaseous_Data(), Table_Fuel_EFs_StationaryGaseous[[#Headers],[Fuel combusted]],0)</f>
        <v>m3</v>
      </c>
      <c r="G91" s="241" cm="1">
        <f t="array" ref="G91">Common_InputFunctions.Utility_DisplayArrayInTable(Fuel_SourceData.Fuel_Scope1EmissionFactorsStationaryGaseous_Data(), Table_Fuel_EFs_StationaryGaseous[[#Headers],[Fuel combusted]],0)</f>
        <v>51.4</v>
      </c>
      <c r="H91" s="241" cm="1">
        <f t="array" ref="H91">Common_InputFunctions.Utility_DisplayArrayInTable(Fuel_SourceData.Fuel_Scope1EmissionFactorsStationaryGaseous_Data(), Table_Fuel_EFs_StationaryGaseous[[#Headers],[Fuel combusted]],0)</f>
        <v>0.1</v>
      </c>
      <c r="I91" s="241" cm="1">
        <f t="array" ref="I91">Common_InputFunctions.Utility_DisplayArrayInTable(Fuel_SourceData.Fuel_Scope1EmissionFactorsStationaryGaseous_Data(), Table_Fuel_EFs_StationaryGaseous[[#Headers],[Fuel combusted]],0)</f>
        <v>0.03</v>
      </c>
      <c r="J91" s="241" cm="1">
        <f t="array" ref="J91">Common_InputFunctions.Utility_DisplayArrayInTable(Fuel_SourceData.Fuel_Scope1EmissionFactorsStationaryGaseous_Data(), Table_Fuel_EFs_StationaryGaseous[[#Headers],[Fuel combusted]],0)</f>
        <v>51.53</v>
      </c>
      <c r="K91" s="189"/>
      <c r="L91" s="189"/>
    </row>
    <row r="92" spans="4:12" ht="20.100000000000001" customHeight="1" x14ac:dyDescent="0.25">
      <c r="D92" s="241" t="str" cm="1">
        <f t="array" ref="D92">Common_InputFunctions.Utility_DisplayArrayInTable(Fuel_SourceData.Fuel_Scope1EmissionFactorsStationaryGaseous_Data(), Table_Fuel_EFs_StationaryGaseous[[#Headers],[Fuel combusted]],0)</f>
        <v>Ethane</v>
      </c>
      <c r="E92" s="241" cm="1">
        <f t="array" ref="E92">Common_InputFunctions.Utility_DisplayArrayInTable(Fuel_SourceData.Fuel_Scope1EmissionFactorsStationaryGaseous_Data(), Table_Fuel_EFs_StationaryGaseous[[#Headers],[Fuel combusted]],0)</f>
        <v>6.2899999999999998E-2</v>
      </c>
      <c r="F92" s="241" t="str" cm="1">
        <f t="array" ref="F92">Common_InputFunctions.Utility_DisplayArrayInTable(Fuel_SourceData.Fuel_Scope1EmissionFactorsStationaryGaseous_Data(), Table_Fuel_EFs_StationaryGaseous[[#Headers],[Fuel combusted]],0)</f>
        <v>m3</v>
      </c>
      <c r="G92" s="241" cm="1">
        <f t="array" ref="G92">Common_InputFunctions.Utility_DisplayArrayInTable(Fuel_SourceData.Fuel_Scope1EmissionFactorsStationaryGaseous_Data(), Table_Fuel_EFs_StationaryGaseous[[#Headers],[Fuel combusted]],0)</f>
        <v>56.5</v>
      </c>
      <c r="H92" s="241" cm="1">
        <f t="array" ref="H92">Common_InputFunctions.Utility_DisplayArrayInTable(Fuel_SourceData.Fuel_Scope1EmissionFactorsStationaryGaseous_Data(), Table_Fuel_EFs_StationaryGaseous[[#Headers],[Fuel combusted]],0)</f>
        <v>0.03</v>
      </c>
      <c r="I92" s="241" cm="1">
        <f t="array" ref="I92">Common_InputFunctions.Utility_DisplayArrayInTable(Fuel_SourceData.Fuel_Scope1EmissionFactorsStationaryGaseous_Data(), Table_Fuel_EFs_StationaryGaseous[[#Headers],[Fuel combusted]],0)</f>
        <v>0.03</v>
      </c>
      <c r="J92" s="241" cm="1">
        <f t="array" ref="J92">Common_InputFunctions.Utility_DisplayArrayInTable(Fuel_SourceData.Fuel_Scope1EmissionFactorsStationaryGaseous_Data(), Table_Fuel_EFs_StationaryGaseous[[#Headers],[Fuel combusted]],0)</f>
        <v>56.56</v>
      </c>
      <c r="K92" s="189"/>
      <c r="L92" s="189"/>
    </row>
    <row r="93" spans="4:12" ht="20.100000000000001" customHeight="1" x14ac:dyDescent="0.25">
      <c r="D93" s="241" t="str" cm="1">
        <f t="array" ref="D93">Common_InputFunctions.Utility_DisplayArrayInTable(Fuel_SourceData.Fuel_Scope1EmissionFactorsStationaryGaseous_Data(), Table_Fuel_EFs_StationaryGaseous[[#Headers],[Fuel combusted]],0)</f>
        <v>Coke oven gas</v>
      </c>
      <c r="E93" s="241" cm="1">
        <f t="array" ref="E93">Common_InputFunctions.Utility_DisplayArrayInTable(Fuel_SourceData.Fuel_Scope1EmissionFactorsStationaryGaseous_Data(), Table_Fuel_EFs_StationaryGaseous[[#Headers],[Fuel combusted]],0)</f>
        <v>1.8100000000000002E-2</v>
      </c>
      <c r="F93" s="241" t="str" cm="1">
        <f t="array" ref="F93">Common_InputFunctions.Utility_DisplayArrayInTable(Fuel_SourceData.Fuel_Scope1EmissionFactorsStationaryGaseous_Data(), Table_Fuel_EFs_StationaryGaseous[[#Headers],[Fuel combusted]],0)</f>
        <v>m3</v>
      </c>
      <c r="G93" s="241" cm="1">
        <f t="array" ref="G93">Common_InputFunctions.Utility_DisplayArrayInTable(Fuel_SourceData.Fuel_Scope1EmissionFactorsStationaryGaseous_Data(), Table_Fuel_EFs_StationaryGaseous[[#Headers],[Fuel combusted]],0)</f>
        <v>37</v>
      </c>
      <c r="H93" s="241" cm="1">
        <f t="array" ref="H93">Common_InputFunctions.Utility_DisplayArrayInTable(Fuel_SourceData.Fuel_Scope1EmissionFactorsStationaryGaseous_Data(), Table_Fuel_EFs_StationaryGaseous[[#Headers],[Fuel combusted]],0)</f>
        <v>0.03</v>
      </c>
      <c r="I93" s="241" cm="1">
        <f t="array" ref="I93">Common_InputFunctions.Utility_DisplayArrayInTable(Fuel_SourceData.Fuel_Scope1EmissionFactorsStationaryGaseous_Data(), Table_Fuel_EFs_StationaryGaseous[[#Headers],[Fuel combusted]],0)</f>
        <v>0.05</v>
      </c>
      <c r="J93" s="241" cm="1">
        <f t="array" ref="J93">Common_InputFunctions.Utility_DisplayArrayInTable(Fuel_SourceData.Fuel_Scope1EmissionFactorsStationaryGaseous_Data(), Table_Fuel_EFs_StationaryGaseous[[#Headers],[Fuel combusted]],0)</f>
        <v>37.08</v>
      </c>
      <c r="K93" s="189"/>
      <c r="L93" s="189"/>
    </row>
    <row r="94" spans="4:12" ht="20.100000000000001" customHeight="1" x14ac:dyDescent="0.25">
      <c r="D94" s="241" t="str" cm="1">
        <f t="array" ref="D94">Common_InputFunctions.Utility_DisplayArrayInTable(Fuel_SourceData.Fuel_Scope1EmissionFactorsStationaryGaseous_Data(), Table_Fuel_EFs_StationaryGaseous[[#Headers],[Fuel combusted]],0)</f>
        <v>Blast furnace gas</v>
      </c>
      <c r="E94" s="241" cm="1">
        <f t="array" ref="E94">Common_InputFunctions.Utility_DisplayArrayInTable(Fuel_SourceData.Fuel_Scope1EmissionFactorsStationaryGaseous_Data(), Table_Fuel_EFs_StationaryGaseous[[#Headers],[Fuel combusted]],0)</f>
        <v>4.0000000000000001E-3</v>
      </c>
      <c r="F94" s="241" t="str" cm="1">
        <f t="array" ref="F94">Common_InputFunctions.Utility_DisplayArrayInTable(Fuel_SourceData.Fuel_Scope1EmissionFactorsStationaryGaseous_Data(), Table_Fuel_EFs_StationaryGaseous[[#Headers],[Fuel combusted]],0)</f>
        <v>m3</v>
      </c>
      <c r="G94" s="241" cm="1">
        <f t="array" ref="G94">Common_InputFunctions.Utility_DisplayArrayInTable(Fuel_SourceData.Fuel_Scope1EmissionFactorsStationaryGaseous_Data(), Table_Fuel_EFs_StationaryGaseous[[#Headers],[Fuel combusted]],0)</f>
        <v>234</v>
      </c>
      <c r="H94" s="241" cm="1">
        <f t="array" ref="H94">Common_InputFunctions.Utility_DisplayArrayInTable(Fuel_SourceData.Fuel_Scope1EmissionFactorsStationaryGaseous_Data(), Table_Fuel_EFs_StationaryGaseous[[#Headers],[Fuel combusted]],0)</f>
        <v>0.03</v>
      </c>
      <c r="I94" s="241" cm="1">
        <f t="array" ref="I94">Common_InputFunctions.Utility_DisplayArrayInTable(Fuel_SourceData.Fuel_Scope1EmissionFactorsStationaryGaseous_Data(), Table_Fuel_EFs_StationaryGaseous[[#Headers],[Fuel combusted]],0)</f>
        <v>0.02</v>
      </c>
      <c r="J94" s="241" cm="1">
        <f t="array" ref="J94">Common_InputFunctions.Utility_DisplayArrayInTable(Fuel_SourceData.Fuel_Scope1EmissionFactorsStationaryGaseous_Data(), Table_Fuel_EFs_StationaryGaseous[[#Headers],[Fuel combusted]],0)</f>
        <v>234.05</v>
      </c>
      <c r="K94" s="189"/>
      <c r="L94" s="189"/>
    </row>
    <row r="95" spans="4:12" ht="20.100000000000001" customHeight="1" x14ac:dyDescent="0.25">
      <c r="D95" s="241" t="str" cm="1">
        <f t="array" ref="D95">Common_InputFunctions.Utility_DisplayArrayInTable(Fuel_SourceData.Fuel_Scope1EmissionFactorsStationaryGaseous_Data(), Table_Fuel_EFs_StationaryGaseous[[#Headers],[Fuel combusted]],0)</f>
        <v>Town gas</v>
      </c>
      <c r="E95" s="241" cm="1">
        <f t="array" ref="E95">Common_InputFunctions.Utility_DisplayArrayInTable(Fuel_SourceData.Fuel_Scope1EmissionFactorsStationaryGaseous_Data(), Table_Fuel_EFs_StationaryGaseous[[#Headers],[Fuel combusted]],0)</f>
        <v>3.9E-2</v>
      </c>
      <c r="F95" s="241" t="str" cm="1">
        <f t="array" ref="F95">Common_InputFunctions.Utility_DisplayArrayInTable(Fuel_SourceData.Fuel_Scope1EmissionFactorsStationaryGaseous_Data(), Table_Fuel_EFs_StationaryGaseous[[#Headers],[Fuel combusted]],0)</f>
        <v>m3</v>
      </c>
      <c r="G95" s="241" cm="1">
        <f t="array" ref="G95">Common_InputFunctions.Utility_DisplayArrayInTable(Fuel_SourceData.Fuel_Scope1EmissionFactorsStationaryGaseous_Data(), Table_Fuel_EFs_StationaryGaseous[[#Headers],[Fuel combusted]],0)</f>
        <v>60.2</v>
      </c>
      <c r="H95" s="241" cm="1">
        <f t="array" ref="H95">Common_InputFunctions.Utility_DisplayArrayInTable(Fuel_SourceData.Fuel_Scope1EmissionFactorsStationaryGaseous_Data(), Table_Fuel_EFs_StationaryGaseous[[#Headers],[Fuel combusted]],0)</f>
        <v>0.04</v>
      </c>
      <c r="I95" s="241" cm="1">
        <f t="array" ref="I95">Common_InputFunctions.Utility_DisplayArrayInTable(Fuel_SourceData.Fuel_Scope1EmissionFactorsStationaryGaseous_Data(), Table_Fuel_EFs_StationaryGaseous[[#Headers],[Fuel combusted]],0)</f>
        <v>0.03</v>
      </c>
      <c r="J95" s="241" cm="1">
        <f t="array" ref="J95">Common_InputFunctions.Utility_DisplayArrayInTable(Fuel_SourceData.Fuel_Scope1EmissionFactorsStationaryGaseous_Data(), Table_Fuel_EFs_StationaryGaseous[[#Headers],[Fuel combusted]],0)</f>
        <v>60.27</v>
      </c>
      <c r="K95" s="189"/>
      <c r="L95" s="189"/>
    </row>
    <row r="96" spans="4:12" ht="20.100000000000001" customHeight="1" x14ac:dyDescent="0.25">
      <c r="D96" s="241" t="str" cm="1">
        <f t="array" ref="D96">Common_InputFunctions.Utility_DisplayArrayInTable(Fuel_SourceData.Fuel_Scope1EmissionFactorsStationaryGaseous_Data(), Table_Fuel_EFs_StationaryGaseous[[#Headers],[Fuel combusted]],0)</f>
        <v>Liquefied natural gas</v>
      </c>
      <c r="E96" s="241" cm="1">
        <f t="array" ref="E96">Common_InputFunctions.Utility_DisplayArrayInTable(Fuel_SourceData.Fuel_Scope1EmissionFactorsStationaryGaseous_Data(), Table_Fuel_EFs_StationaryGaseous[[#Headers],[Fuel combusted]],0)</f>
        <v>25.3</v>
      </c>
      <c r="F96" s="241" t="str" cm="1">
        <f t="array" ref="F96">Common_InputFunctions.Utility_DisplayArrayInTable(Fuel_SourceData.Fuel_Scope1EmissionFactorsStationaryGaseous_Data(), Table_Fuel_EFs_StationaryGaseous[[#Headers],[Fuel combusted]],0)</f>
        <v>kL</v>
      </c>
      <c r="G96" s="241" cm="1">
        <f t="array" ref="G96">Common_InputFunctions.Utility_DisplayArrayInTable(Fuel_SourceData.Fuel_Scope1EmissionFactorsStationaryGaseous_Data(), Table_Fuel_EFs_StationaryGaseous[[#Headers],[Fuel combusted]],0)</f>
        <v>51.4</v>
      </c>
      <c r="H96" s="241" cm="1">
        <f t="array" ref="H96">Common_InputFunctions.Utility_DisplayArrayInTable(Fuel_SourceData.Fuel_Scope1EmissionFactorsStationaryGaseous_Data(), Table_Fuel_EFs_StationaryGaseous[[#Headers],[Fuel combusted]],0)</f>
        <v>0.1</v>
      </c>
      <c r="I96" s="241" cm="1">
        <f t="array" ref="I96">Common_InputFunctions.Utility_DisplayArrayInTable(Fuel_SourceData.Fuel_Scope1EmissionFactorsStationaryGaseous_Data(), Table_Fuel_EFs_StationaryGaseous[[#Headers],[Fuel combusted]],0)</f>
        <v>0.03</v>
      </c>
      <c r="J96" s="241" cm="1">
        <f t="array" ref="J96">Common_InputFunctions.Utility_DisplayArrayInTable(Fuel_SourceData.Fuel_Scope1EmissionFactorsStationaryGaseous_Data(), Table_Fuel_EFs_StationaryGaseous[[#Headers],[Fuel combusted]],0)</f>
        <v>51.53</v>
      </c>
      <c r="K96" s="189"/>
      <c r="L96" s="189"/>
    </row>
    <row r="97" spans="4:13" ht="20.100000000000001" customHeight="1" x14ac:dyDescent="0.25">
      <c r="D97" s="241" t="str" cm="1">
        <f t="array" ref="D97">Common_InputFunctions.Utility_DisplayArrayInTable(Fuel_SourceData.Fuel_Scope1EmissionFactorsStationaryGaseous_Data(), Table_Fuel_EFs_StationaryGaseous[[#Headers],[Fuel combusted]],0)</f>
        <v>Gaseous fossil fuels other than those mentioned in the items above</v>
      </c>
      <c r="E97" s="241" cm="1">
        <f t="array" ref="E97">Common_InputFunctions.Utility_DisplayArrayInTable(Fuel_SourceData.Fuel_Scope1EmissionFactorsStationaryGaseous_Data(), Table_Fuel_EFs_StationaryGaseous[[#Headers],[Fuel combusted]],0)</f>
        <v>3.9E-2</v>
      </c>
      <c r="F97" s="241" t="str" cm="1">
        <f t="array" ref="F97">Common_InputFunctions.Utility_DisplayArrayInTable(Fuel_SourceData.Fuel_Scope1EmissionFactorsStationaryGaseous_Data(), Table_Fuel_EFs_StationaryGaseous[[#Headers],[Fuel combusted]],0)</f>
        <v>m3</v>
      </c>
      <c r="G97" s="241" cm="1">
        <f t="array" ref="G97">Common_InputFunctions.Utility_DisplayArrayInTable(Fuel_SourceData.Fuel_Scope1EmissionFactorsStationaryGaseous_Data(), Table_Fuel_EFs_StationaryGaseous[[#Headers],[Fuel combusted]],0)</f>
        <v>51.4</v>
      </c>
      <c r="H97" s="241" cm="1">
        <f t="array" ref="H97">Common_InputFunctions.Utility_DisplayArrayInTable(Fuel_SourceData.Fuel_Scope1EmissionFactorsStationaryGaseous_Data(), Table_Fuel_EFs_StationaryGaseous[[#Headers],[Fuel combusted]],0)</f>
        <v>0.1</v>
      </c>
      <c r="I97" s="241" cm="1">
        <f t="array" ref="I97">Common_InputFunctions.Utility_DisplayArrayInTable(Fuel_SourceData.Fuel_Scope1EmissionFactorsStationaryGaseous_Data(), Table_Fuel_EFs_StationaryGaseous[[#Headers],[Fuel combusted]],0)</f>
        <v>0.03</v>
      </c>
      <c r="J97" s="241" cm="1">
        <f t="array" ref="J97">Common_InputFunctions.Utility_DisplayArrayInTable(Fuel_SourceData.Fuel_Scope1EmissionFactorsStationaryGaseous_Data(), Table_Fuel_EFs_StationaryGaseous[[#Headers],[Fuel combusted]],0)</f>
        <v>51.53</v>
      </c>
      <c r="K97" s="189"/>
      <c r="L97" s="189"/>
    </row>
    <row r="98" spans="4:13" ht="20.100000000000001" customHeight="1" x14ac:dyDescent="0.25">
      <c r="D98" s="241" t="str" cm="1">
        <f t="array" ref="D98">Common_InputFunctions.Utility_DisplayArrayInTable(Fuel_SourceData.Fuel_Scope1EmissionFactorsStationaryGaseous_Data(), Table_Fuel_EFs_StationaryGaseous[[#Headers],[Fuel combusted]],0)</f>
        <v>Landfill biogas that is captured for combustion (methane only)</v>
      </c>
      <c r="E98" s="241" cm="1">
        <f t="array" ref="E98">Common_InputFunctions.Utility_DisplayArrayInTable(Fuel_SourceData.Fuel_Scope1EmissionFactorsStationaryGaseous_Data(), Table_Fuel_EFs_StationaryGaseous[[#Headers],[Fuel combusted]],0)</f>
        <v>3.7699999999999997E-2</v>
      </c>
      <c r="F98" s="241" t="str" cm="1">
        <f t="array" ref="F98">Common_InputFunctions.Utility_DisplayArrayInTable(Fuel_SourceData.Fuel_Scope1EmissionFactorsStationaryGaseous_Data(), Table_Fuel_EFs_StationaryGaseous[[#Headers],[Fuel combusted]],0)</f>
        <v>m3</v>
      </c>
      <c r="G98" s="241" cm="1">
        <f t="array" ref="G98">Common_InputFunctions.Utility_DisplayArrayInTable(Fuel_SourceData.Fuel_Scope1EmissionFactorsStationaryGaseous_Data(), Table_Fuel_EFs_StationaryGaseous[[#Headers],[Fuel combusted]],0)</f>
        <v>0</v>
      </c>
      <c r="H98" s="241" cm="1">
        <f t="array" ref="H98">Common_InputFunctions.Utility_DisplayArrayInTable(Fuel_SourceData.Fuel_Scope1EmissionFactorsStationaryGaseous_Data(), Table_Fuel_EFs_StationaryGaseous[[#Headers],[Fuel combusted]],0)</f>
        <v>6.4</v>
      </c>
      <c r="I98" s="241" cm="1">
        <f t="array" ref="I98">Common_InputFunctions.Utility_DisplayArrayInTable(Fuel_SourceData.Fuel_Scope1EmissionFactorsStationaryGaseous_Data(), Table_Fuel_EFs_StationaryGaseous[[#Headers],[Fuel combusted]],0)</f>
        <v>0.03</v>
      </c>
      <c r="J98" s="241" cm="1">
        <f t="array" ref="J98">Common_InputFunctions.Utility_DisplayArrayInTable(Fuel_SourceData.Fuel_Scope1EmissionFactorsStationaryGaseous_Data(), Table_Fuel_EFs_StationaryGaseous[[#Headers],[Fuel combusted]],0)</f>
        <v>6.43</v>
      </c>
      <c r="K98" s="189"/>
      <c r="L98" s="189"/>
    </row>
    <row r="99" spans="4:13" ht="20.100000000000001" customHeight="1" x14ac:dyDescent="0.25">
      <c r="D99" s="241" t="str" cm="1">
        <f t="array" ref="D99">Common_InputFunctions.Utility_DisplayArrayInTable(Fuel_SourceData.Fuel_Scope1EmissionFactorsStationaryGaseous_Data(), Table_Fuel_EFs_StationaryGaseous[[#Headers],[Fuel combusted]],0)</f>
        <v>Sludge biogas that is captured for combustion (methane only)</v>
      </c>
      <c r="E99" s="241" cm="1">
        <f t="array" ref="E99">Common_InputFunctions.Utility_DisplayArrayInTable(Fuel_SourceData.Fuel_Scope1EmissionFactorsStationaryGaseous_Data(), Table_Fuel_EFs_StationaryGaseous[[#Headers],[Fuel combusted]],0)</f>
        <v>3.7699999999999997E-2</v>
      </c>
      <c r="F99" s="241" t="str" cm="1">
        <f t="array" ref="F99">Common_InputFunctions.Utility_DisplayArrayInTable(Fuel_SourceData.Fuel_Scope1EmissionFactorsStationaryGaseous_Data(), Table_Fuel_EFs_StationaryGaseous[[#Headers],[Fuel combusted]],0)</f>
        <v>m3</v>
      </c>
      <c r="G99" s="241" cm="1">
        <f t="array" ref="G99">Common_InputFunctions.Utility_DisplayArrayInTable(Fuel_SourceData.Fuel_Scope1EmissionFactorsStationaryGaseous_Data(), Table_Fuel_EFs_StationaryGaseous[[#Headers],[Fuel combusted]],0)</f>
        <v>0</v>
      </c>
      <c r="H99" s="241" cm="1">
        <f t="array" ref="H99">Common_InputFunctions.Utility_DisplayArrayInTable(Fuel_SourceData.Fuel_Scope1EmissionFactorsStationaryGaseous_Data(), Table_Fuel_EFs_StationaryGaseous[[#Headers],[Fuel combusted]],0)</f>
        <v>6.4</v>
      </c>
      <c r="I99" s="241" cm="1">
        <f t="array" ref="I99">Common_InputFunctions.Utility_DisplayArrayInTable(Fuel_SourceData.Fuel_Scope1EmissionFactorsStationaryGaseous_Data(), Table_Fuel_EFs_StationaryGaseous[[#Headers],[Fuel combusted]],0)</f>
        <v>0.03</v>
      </c>
      <c r="J99" s="241" cm="1">
        <f t="array" ref="J99">Common_InputFunctions.Utility_DisplayArrayInTable(Fuel_SourceData.Fuel_Scope1EmissionFactorsStationaryGaseous_Data(), Table_Fuel_EFs_StationaryGaseous[[#Headers],[Fuel combusted]],0)</f>
        <v>6.43</v>
      </c>
      <c r="K99" s="189"/>
      <c r="L99" s="189"/>
    </row>
    <row r="100" spans="4:13" ht="20.100000000000001" customHeight="1" x14ac:dyDescent="0.25">
      <c r="D100" s="24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1" cm="1">
        <f t="array" ref="E100">Common_InputFunctions.Utility_DisplayArrayInTable(Fuel_SourceData.Fuel_Scope1EmissionFactorsStationaryGaseous_Data(), Table_Fuel_EFs_StationaryGaseous[[#Headers],[Fuel combusted]],0)</f>
        <v>3.6999999999999998E-2</v>
      </c>
      <c r="F100" s="241" t="str" cm="1">
        <f t="array" ref="F100">Common_InputFunctions.Utility_DisplayArrayInTable(Fuel_SourceData.Fuel_Scope1EmissionFactorsStationaryGaseous_Data(), Table_Fuel_EFs_StationaryGaseous[[#Headers],[Fuel combusted]],0)</f>
        <v>m3</v>
      </c>
      <c r="G100" s="241" cm="1">
        <f t="array" ref="G100">Common_InputFunctions.Utility_DisplayArrayInTable(Fuel_SourceData.Fuel_Scope1EmissionFactorsStationaryGaseous_Data(), Table_Fuel_EFs_StationaryGaseous[[#Headers],[Fuel combusted]],0)</f>
        <v>0</v>
      </c>
      <c r="H100" s="241" cm="1">
        <f t="array" ref="H100">Common_InputFunctions.Utility_DisplayArrayInTable(Fuel_SourceData.Fuel_Scope1EmissionFactorsStationaryGaseous_Data(), Table_Fuel_EFs_StationaryGaseous[[#Headers],[Fuel combusted]],0)</f>
        <v>6.4</v>
      </c>
      <c r="I100" s="241" cm="1">
        <f t="array" ref="I100">Common_InputFunctions.Utility_DisplayArrayInTable(Fuel_SourceData.Fuel_Scope1EmissionFactorsStationaryGaseous_Data(), Table_Fuel_EFs_StationaryGaseous[[#Headers],[Fuel combusted]],0)</f>
        <v>0.03</v>
      </c>
      <c r="J100" s="241" cm="1">
        <f t="array" ref="J100">Common_InputFunctions.Utility_DisplayArrayInTable(Fuel_SourceData.Fuel_Scope1EmissionFactorsStationaryGaseous_Data(), Table_Fuel_EFs_StationaryGaseous[[#Headers],[Fuel combusted]],0)</f>
        <v>6.43</v>
      </c>
      <c r="K100" s="189"/>
      <c r="L100" s="189"/>
    </row>
    <row r="101" spans="4:13" ht="20.100000000000001" customHeight="1" x14ac:dyDescent="0.25">
      <c r="D101" s="241" t="str" cm="1">
        <f t="array" ref="D101">Common_InputFunctions.Utility_DisplayArrayInTable(Fuel_SourceData.Fuel_Scope1EmissionFactorsStationaryGaseous_Data(), Table_Fuel_EFs_StationaryGaseous[[#Headers],[Fuel combusted]],0)</f>
        <v>Biomethane</v>
      </c>
      <c r="E101" s="241" cm="1">
        <f t="array" ref="E101">Common_InputFunctions.Utility_DisplayArrayInTable(Fuel_SourceData.Fuel_Scope1EmissionFactorsStationaryGaseous_Data(), Table_Fuel_EFs_StationaryGaseous[[#Headers],[Fuel combusted]],0)</f>
        <v>3.9300000000000002E-2</v>
      </c>
      <c r="F101" s="241" t="str" cm="1">
        <f t="array" ref="F101">Common_InputFunctions.Utility_DisplayArrayInTable(Fuel_SourceData.Fuel_Scope1EmissionFactorsStationaryGaseous_Data(), Table_Fuel_EFs_StationaryGaseous[[#Headers],[Fuel combusted]],0)</f>
        <v>m3</v>
      </c>
      <c r="G101" s="241" cm="1">
        <f t="array" ref="G101">Common_InputFunctions.Utility_DisplayArrayInTable(Fuel_SourceData.Fuel_Scope1EmissionFactorsStationaryGaseous_Data(), Table_Fuel_EFs_StationaryGaseous[[#Headers],[Fuel combusted]],0)</f>
        <v>0</v>
      </c>
      <c r="H101" s="241" cm="1">
        <f t="array" ref="H101">Common_InputFunctions.Utility_DisplayArrayInTable(Fuel_SourceData.Fuel_Scope1EmissionFactorsStationaryGaseous_Data(), Table_Fuel_EFs_StationaryGaseous[[#Headers],[Fuel combusted]],0)</f>
        <v>0.1</v>
      </c>
      <c r="I101" s="241" cm="1">
        <f t="array" ref="I101">Common_InputFunctions.Utility_DisplayArrayInTable(Fuel_SourceData.Fuel_Scope1EmissionFactorsStationaryGaseous_Data(), Table_Fuel_EFs_StationaryGaseous[[#Headers],[Fuel combusted]],0)</f>
        <v>0.03</v>
      </c>
      <c r="J101" s="241" cm="1">
        <f t="array" ref="J101">Common_InputFunctions.Utility_DisplayArrayInTable(Fuel_SourceData.Fuel_Scope1EmissionFactorsStationaryGaseous_Data(), Table_Fuel_EFs_StationaryGaseous[[#Headers],[Fuel combusted]],0)</f>
        <v>0.13</v>
      </c>
      <c r="K101" s="189"/>
      <c r="L101" s="189"/>
    </row>
    <row r="102" spans="4:13" ht="20.100000000000001" customHeight="1" x14ac:dyDescent="0.25">
      <c r="D102" s="241" t="str" cm="1">
        <f t="array" ref="D102">Common_InputFunctions.Utility_DisplayArrayInTable(Fuel_SourceData.Fuel_Scope1EmissionFactorsStationaryGaseous_Data(), Table_Fuel_EFs_StationaryGaseous[[#Headers],[Fuel combusted]],0)</f>
        <v>Hydrogen</v>
      </c>
      <c r="E102" s="241" cm="1">
        <f t="array" ref="E102">Common_InputFunctions.Utility_DisplayArrayInTable(Fuel_SourceData.Fuel_Scope1EmissionFactorsStationaryGaseous_Data(), Table_Fuel_EFs_StationaryGaseous[[#Headers],[Fuel combusted]],0)</f>
        <v>1.2200000000000001E-2</v>
      </c>
      <c r="F102" s="241" t="str" cm="1">
        <f t="array" ref="F102">Common_InputFunctions.Utility_DisplayArrayInTable(Fuel_SourceData.Fuel_Scope1EmissionFactorsStationaryGaseous_Data(), Table_Fuel_EFs_StationaryGaseous[[#Headers],[Fuel combusted]],0)</f>
        <v>m3</v>
      </c>
      <c r="G102" s="241" cm="1">
        <f t="array" ref="G102">Common_InputFunctions.Utility_DisplayArrayInTable(Fuel_SourceData.Fuel_Scope1EmissionFactorsStationaryGaseous_Data(), Table_Fuel_EFs_StationaryGaseous[[#Headers],[Fuel combusted]],0)</f>
        <v>0</v>
      </c>
      <c r="H102" s="241" cm="1">
        <f t="array" ref="H102">Common_InputFunctions.Utility_DisplayArrayInTable(Fuel_SourceData.Fuel_Scope1EmissionFactorsStationaryGaseous_Data(), Table_Fuel_EFs_StationaryGaseous[[#Headers],[Fuel combusted]],0)</f>
        <v>0</v>
      </c>
      <c r="I102" s="241" cm="1">
        <f t="array" ref="I102">Common_InputFunctions.Utility_DisplayArrayInTable(Fuel_SourceData.Fuel_Scope1EmissionFactorsStationaryGaseous_Data(), Table_Fuel_EFs_StationaryGaseous[[#Headers],[Fuel combusted]],0)</f>
        <v>0.5</v>
      </c>
      <c r="J102" s="241" cm="1">
        <f t="array" ref="J102">Common_InputFunctions.Utility_DisplayArrayInTable(Fuel_SourceData.Fuel_Scope1EmissionFactorsStationaryGaseous_Data(), Table_Fuel_EFs_StationaryGaseous[[#Headers],[Fuel combusted]],0)</f>
        <v>0.5</v>
      </c>
      <c r="K102" s="189"/>
      <c r="L102" s="189"/>
    </row>
    <row r="103" spans="4:13" ht="20.100000000000001" customHeight="1" x14ac:dyDescent="0.25">
      <c r="D103" s="241" t="str" cm="1">
        <f t="array" ref="D103">Common_InputFunctions.Utility_DisplayArrayInTable(Fuel_SourceData.Fuel_Scope1EmissionFactorsStationaryGaseous_Data(), Table_Fuel_EFs_StationaryGaseous[[#Headers],[Fuel combusted]],0)</f>
        <v>Natural gas distributed in a pipeline - Gigajoules</v>
      </c>
      <c r="E103" s="241" cm="1">
        <f t="array" ref="E103">Common_InputFunctions.Utility_DisplayArrayInTable(Fuel_SourceData.Fuel_Scope1EmissionFactorsStationaryGaseous_Data(), Table_Fuel_EFs_StationaryGaseous[[#Headers],[Fuel combusted]],0)</f>
        <v>1</v>
      </c>
      <c r="F103" s="241" t="str" cm="1">
        <f t="array" ref="F103">Common_InputFunctions.Utility_DisplayArrayInTable(Fuel_SourceData.Fuel_Scope1EmissionFactorsStationaryGaseous_Data(), Table_Fuel_EFs_StationaryGaseous[[#Headers],[Fuel combusted]],0)</f>
        <v>GJ</v>
      </c>
      <c r="G103" s="241" cm="1">
        <f t="array" ref="G103">Common_InputFunctions.Utility_DisplayArrayInTable(Fuel_SourceData.Fuel_Scope1EmissionFactorsStationaryGaseous_Data(), Table_Fuel_EFs_StationaryGaseous[[#Headers],[Fuel combusted]],0)</f>
        <v>51.4</v>
      </c>
      <c r="H103" s="241" cm="1">
        <f t="array" ref="H103">Common_InputFunctions.Utility_DisplayArrayInTable(Fuel_SourceData.Fuel_Scope1EmissionFactorsStationaryGaseous_Data(), Table_Fuel_EFs_StationaryGaseous[[#Headers],[Fuel combusted]],0)</f>
        <v>0.1</v>
      </c>
      <c r="I103" s="241" cm="1">
        <f t="array" ref="I103">Common_InputFunctions.Utility_DisplayArrayInTable(Fuel_SourceData.Fuel_Scope1EmissionFactorsStationaryGaseous_Data(), Table_Fuel_EFs_StationaryGaseous[[#Headers],[Fuel combusted]],0)</f>
        <v>0.03</v>
      </c>
      <c r="J103" s="241" cm="1">
        <f t="array" ref="J103">Common_InputFunctions.Utility_DisplayArrayInTable(Fuel_SourceData.Fuel_Scope1EmissionFactorsStationaryGaseous_Data(), Table_Fuel_EFs_StationaryGaseous[[#Headers],[Fuel combusted]],0)</f>
        <v>51.53</v>
      </c>
      <c r="K103" s="189"/>
      <c r="L103" s="189"/>
    </row>
    <row r="104" spans="4:13" ht="20.100000000000001" customHeight="1" x14ac:dyDescent="0.25">
      <c r="D104" s="241" t="str" cm="1">
        <f t="array" ref="D104">Common_InputFunctions.Utility_DisplayArrayInTable(Fuel_SourceData.Fuel_Scope1EmissionFactorsStationaryGaseous_Data(), Table_Fuel_EFs_StationaryGaseous[[#Headers],[Fuel combusted]],0)</f>
        <v>Town gas - Gigajoules</v>
      </c>
      <c r="E104" s="241" cm="1">
        <f t="array" ref="E104">Common_InputFunctions.Utility_DisplayArrayInTable(Fuel_SourceData.Fuel_Scope1EmissionFactorsStationaryGaseous_Data(), Table_Fuel_EFs_StationaryGaseous[[#Headers],[Fuel combusted]],0)</f>
        <v>1</v>
      </c>
      <c r="F104" s="241" t="str" cm="1">
        <f t="array" ref="F104">Common_InputFunctions.Utility_DisplayArrayInTable(Fuel_SourceData.Fuel_Scope1EmissionFactorsStationaryGaseous_Data(), Table_Fuel_EFs_StationaryGaseous[[#Headers],[Fuel combusted]],0)</f>
        <v>GJ</v>
      </c>
      <c r="G104" s="241" cm="1">
        <f t="array" ref="G104">Common_InputFunctions.Utility_DisplayArrayInTable(Fuel_SourceData.Fuel_Scope1EmissionFactorsStationaryGaseous_Data(), Table_Fuel_EFs_StationaryGaseous[[#Headers],[Fuel combusted]],0)</f>
        <v>60.2</v>
      </c>
      <c r="H104" s="241" cm="1">
        <f t="array" ref="H104">Common_InputFunctions.Utility_DisplayArrayInTable(Fuel_SourceData.Fuel_Scope1EmissionFactorsStationaryGaseous_Data(), Table_Fuel_EFs_StationaryGaseous[[#Headers],[Fuel combusted]],0)</f>
        <v>0.04</v>
      </c>
      <c r="I104" s="241" cm="1">
        <f t="array" ref="I104">Common_InputFunctions.Utility_DisplayArrayInTable(Fuel_SourceData.Fuel_Scope1EmissionFactorsStationaryGaseous_Data(), Table_Fuel_EFs_StationaryGaseous[[#Headers],[Fuel combusted]],0)</f>
        <v>0.03</v>
      </c>
      <c r="J104" s="241" cm="1">
        <f t="array" ref="J104">Common_InputFunctions.Utility_DisplayArrayInTable(Fuel_SourceData.Fuel_Scope1EmissionFactorsStationaryGaseous_Data(), Table_Fuel_EFs_StationaryGaseous[[#Headers],[Fuel combusted]],0)</f>
        <v>60.27</v>
      </c>
      <c r="K104" s="189"/>
      <c r="L104" s="189"/>
    </row>
    <row r="105" spans="4:13" ht="20.100000000000001" customHeight="1" x14ac:dyDescent="0.25">
      <c r="D105" s="189"/>
      <c r="E105" s="189"/>
      <c r="F105" s="189"/>
      <c r="G105" s="189"/>
      <c r="H105" s="189"/>
      <c r="I105" s="189"/>
      <c r="J105" s="189"/>
      <c r="K105" s="189"/>
      <c r="L105" s="189"/>
      <c r="M105" s="189"/>
    </row>
    <row r="106" spans="4:13" ht="20.100000000000001" customHeight="1" x14ac:dyDescent="0.25">
      <c r="D106" s="189"/>
      <c r="E106" s="189"/>
      <c r="F106" s="189"/>
      <c r="G106" s="189"/>
      <c r="H106" s="189"/>
      <c r="I106" s="189"/>
      <c r="J106" s="189"/>
      <c r="K106" s="189"/>
      <c r="L106" s="189"/>
      <c r="M106" s="189"/>
    </row>
    <row r="107" spans="4:13" ht="20.100000000000001" customHeight="1" x14ac:dyDescent="0.25">
      <c r="D107" s="2" t="str" cm="1">
        <f t="array" ref="D107">Fuel_SourceData.Fuel_Scope3EmissionFactorsStationaryGaseous_Title()</f>
        <v>Fuel scope 3 emission factors - Stationary gaseous fuels</v>
      </c>
      <c r="E107" s="189"/>
      <c r="F107" s="189"/>
      <c r="G107" s="189"/>
      <c r="H107" s="189"/>
      <c r="I107" s="189"/>
      <c r="J107" s="189"/>
      <c r="K107" s="189"/>
      <c r="L107" s="189"/>
    </row>
    <row r="108" spans="4:13" ht="20.100000000000001" customHeight="1" x14ac:dyDescent="0.25">
      <c r="D108" s="1" t="str" cm="1">
        <f t="array" ref="D108">Fuel_SourceData.Fuel_Scope3EmissionFactorsStationaryGaseous_Description()</f>
        <v>Indirect (Scope 3) emission factors for the consumption of natural gas.</v>
      </c>
      <c r="E108" s="189"/>
      <c r="F108" s="189"/>
      <c r="G108" s="189"/>
      <c r="H108" s="189"/>
      <c r="I108" s="189"/>
      <c r="J108" s="189"/>
      <c r="K108" s="189"/>
      <c r="L108" s="189"/>
    </row>
    <row r="109" spans="4:13" ht="20.100000000000001" customHeight="1" x14ac:dyDescent="0.25">
      <c r="D109" s="27" t="str" cm="1">
        <f t="array" ref="D109">Fuel_SourceData.Fuel_Scope3EmissionFactorsStationaryGaseous_Source()</f>
        <v>Australian National Greenhouse Accounts Factors 2025 - Table 6</v>
      </c>
      <c r="E109" s="189"/>
      <c r="F109" s="189"/>
      <c r="G109" s="189"/>
      <c r="H109" s="189"/>
      <c r="I109" s="189"/>
      <c r="J109" s="189"/>
      <c r="K109" s="189"/>
      <c r="L109" s="18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9"/>
      <c r="F110" s="189"/>
      <c r="G110" s="189"/>
      <c r="H110" s="189"/>
      <c r="I110" s="189"/>
      <c r="J110" s="189"/>
      <c r="K110" s="189"/>
      <c r="L110" s="189"/>
    </row>
    <row r="111" spans="4:13" ht="20.100000000000001" customHeight="1" x14ac:dyDescent="0.25">
      <c r="D111" s="189"/>
      <c r="E111" s="189"/>
      <c r="F111" s="189"/>
      <c r="G111" s="189"/>
      <c r="H111" s="189"/>
      <c r="I111" s="189"/>
      <c r="J111" s="189"/>
      <c r="K111" s="189"/>
      <c r="L111" s="189"/>
    </row>
    <row r="112" spans="4:13" ht="20.100000000000001" customHeight="1" x14ac:dyDescent="0.25">
      <c r="D112" s="206" t="s">
        <v>846</v>
      </c>
      <c r="E112" s="238" t="s">
        <v>780</v>
      </c>
      <c r="F112" s="238" t="s">
        <v>847</v>
      </c>
      <c r="G112" s="189"/>
      <c r="H112" s="88" t="s">
        <v>848</v>
      </c>
      <c r="I112" s="189"/>
      <c r="J112" s="189"/>
      <c r="K112" s="189"/>
      <c r="L112" s="189"/>
    </row>
    <row r="113" spans="4:13" ht="20.100000000000001" customHeight="1" x14ac:dyDescent="0.25">
      <c r="D113" s="242" t="str" cm="1">
        <f t="array" ref="D113">Common_InputFunctions.Utility_DisplayArrayInTable(Fuel_SourceData.Fuel_Scope3EmissionFactorsStationaryGaseous_Data(), Table_Fuel_EFs_StationaryGaseous34[[#Headers],[State or territory]],0)</f>
        <v>New South Wales</v>
      </c>
      <c r="E113" s="242" cm="1">
        <f t="array" ref="E113">Common_InputFunctions.Utility_DisplayArrayInTable(Fuel_SourceData.Fuel_Scope3EmissionFactorsStationaryGaseous_Data(), Table_Fuel_EFs_StationaryGaseous34[[#Headers],[State or territory]],0)</f>
        <v>13.1</v>
      </c>
      <c r="F113" s="242" cm="1">
        <f t="array" ref="F113">Common_InputFunctions.Utility_DisplayArrayInTable(Fuel_SourceData.Fuel_Scope3EmissionFactorsStationaryGaseous_Data(), Table_Fuel_EFs_StationaryGaseous34[[#Headers],[State or territory]],0)</f>
        <v>14</v>
      </c>
      <c r="G113" s="24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9"/>
      <c r="J113" s="189"/>
      <c r="K113" s="189"/>
      <c r="L113" s="189"/>
    </row>
    <row r="114" spans="4:13" ht="20.100000000000001" customHeight="1" x14ac:dyDescent="0.25">
      <c r="D114" s="242" t="str" cm="1">
        <f t="array" ref="D114">Common_InputFunctions.Utility_DisplayArrayInTable(Fuel_SourceData.Fuel_Scope3EmissionFactorsStationaryGaseous_Data(), Table_Fuel_EFs_StationaryGaseous34[[#Headers],[State or territory]],0)</f>
        <v>ACT</v>
      </c>
      <c r="E114" s="242" cm="1">
        <f t="array" ref="E114">Common_InputFunctions.Utility_DisplayArrayInTable(Fuel_SourceData.Fuel_Scope3EmissionFactorsStationaryGaseous_Data(), Table_Fuel_EFs_StationaryGaseous34[[#Headers],[State or territory]],0)</f>
        <v>13.1</v>
      </c>
      <c r="F114" s="242" cm="1">
        <f t="array" ref="F114">Common_InputFunctions.Utility_DisplayArrayInTable(Fuel_SourceData.Fuel_Scope3EmissionFactorsStationaryGaseous_Data(), Table_Fuel_EFs_StationaryGaseous34[[#Headers],[State or territory]],0)</f>
        <v>14</v>
      </c>
      <c r="G114" s="243" t="str">
        <v/>
      </c>
      <c r="H114" s="1" t="str">
        <v>Gas reaches end users either from the metro distribution networks or direct from the high - pressure distribution pipelines.</v>
      </c>
      <c r="I114" s="189"/>
      <c r="J114" s="189"/>
      <c r="K114" s="189"/>
      <c r="L114" s="189"/>
    </row>
    <row r="115" spans="4:13" ht="20.100000000000001" customHeight="1" x14ac:dyDescent="0.25">
      <c r="D115" s="242" t="str" cm="1">
        <f t="array" ref="D115">Common_InputFunctions.Utility_DisplayArrayInTable(Fuel_SourceData.Fuel_Scope3EmissionFactorsStationaryGaseous_Data(), Table_Fuel_EFs_StationaryGaseous34[[#Headers],[State or territory]],0)</f>
        <v>Victoria</v>
      </c>
      <c r="E115" s="242" cm="1">
        <f t="array" ref="E115">Common_InputFunctions.Utility_DisplayArrayInTable(Fuel_SourceData.Fuel_Scope3EmissionFactorsStationaryGaseous_Data(), Table_Fuel_EFs_StationaryGaseous34[[#Headers],[State or territory]],0)</f>
        <v>4</v>
      </c>
      <c r="F115" s="242" cm="1">
        <f t="array" ref="F115">Common_InputFunctions.Utility_DisplayArrayInTable(Fuel_SourceData.Fuel_Scope3EmissionFactorsStationaryGaseous_Data(), Table_Fuel_EFs_StationaryGaseous34[[#Headers],[State or territory]],0)</f>
        <v>4</v>
      </c>
      <c r="G115" s="243" t="str">
        <v/>
      </c>
      <c r="H115" s="1" t="str">
        <v>Households and commercial users tend to be served by the former, and electricity generators and large industrial plants from the latter.</v>
      </c>
      <c r="I115" s="189"/>
      <c r="J115" s="189"/>
      <c r="K115" s="189"/>
      <c r="L115" s="189"/>
    </row>
    <row r="116" spans="4:13" ht="20.100000000000001" customHeight="1" x14ac:dyDescent="0.25">
      <c r="D116" s="242" t="str" cm="1">
        <f t="array" ref="D116">Common_InputFunctions.Utility_DisplayArrayInTable(Fuel_SourceData.Fuel_Scope3EmissionFactorsStationaryGaseous_Data(), Table_Fuel_EFs_StationaryGaseous34[[#Headers],[State or territory]],0)</f>
        <v>Queensland</v>
      </c>
      <c r="E116" s="242" cm="1">
        <f t="array" ref="E116">Common_InputFunctions.Utility_DisplayArrayInTable(Fuel_SourceData.Fuel_Scope3EmissionFactorsStationaryGaseous_Data(), Table_Fuel_EFs_StationaryGaseous34[[#Headers],[State or territory]],0)</f>
        <v>8.8000000000000007</v>
      </c>
      <c r="F116" s="242" cm="1">
        <f t="array" ref="F116">Common_InputFunctions.Utility_DisplayArrayInTable(Fuel_SourceData.Fuel_Scope3EmissionFactorsStationaryGaseous_Data(), Table_Fuel_EFs_StationaryGaseous34[[#Headers],[State or territory]],0)</f>
        <v>7.9</v>
      </c>
      <c r="G116" s="243" t="str">
        <v>-</v>
      </c>
      <c r="H116" s="1" t="str">
        <v>Metro is defined as located on or east of the dividing range in NSW, including Canberra and Queanbeyan, Melbourne, Brisbane, Adelaide or Perth.</v>
      </c>
      <c r="I116" s="189"/>
      <c r="J116" s="189"/>
      <c r="K116" s="189"/>
      <c r="L116" s="189"/>
    </row>
    <row r="117" spans="4:13" ht="20.100000000000001" customHeight="1" x14ac:dyDescent="0.25">
      <c r="D117" s="242" t="str" cm="1">
        <f t="array" ref="D117">Common_InputFunctions.Utility_DisplayArrayInTable(Fuel_SourceData.Fuel_Scope3EmissionFactorsStationaryGaseous_Data(), Table_Fuel_EFs_StationaryGaseous34[[#Headers],[State or territory]],0)</f>
        <v>South Australia</v>
      </c>
      <c r="E117" s="242" cm="1">
        <f t="array" ref="E117">Common_InputFunctions.Utility_DisplayArrayInTable(Fuel_SourceData.Fuel_Scope3EmissionFactorsStationaryGaseous_Data(), Table_Fuel_EFs_StationaryGaseous34[[#Headers],[State or territory]],0)</f>
        <v>10.7</v>
      </c>
      <c r="F117" s="242" cm="1">
        <f t="array" ref="F117">Common_InputFunctions.Utility_DisplayArrayInTable(Fuel_SourceData.Fuel_Scope3EmissionFactorsStationaryGaseous_Data(), Table_Fuel_EFs_StationaryGaseous34[[#Headers],[State or territory]],0)</f>
        <v>10.6</v>
      </c>
      <c r="G117" s="243" t="str">
        <v/>
      </c>
      <c r="H117" s="1" t="str">
        <v>Otherwise, the non - metro factor should be used.</v>
      </c>
      <c r="I117" s="189"/>
      <c r="J117" s="189"/>
      <c r="K117" s="189"/>
      <c r="L117" s="189"/>
    </row>
    <row r="118" spans="4:13" ht="20.100000000000001" customHeight="1" x14ac:dyDescent="0.25">
      <c r="D118" s="242" t="str" cm="1">
        <f t="array" ref="D118">Common_InputFunctions.Utility_DisplayArrayInTable(Fuel_SourceData.Fuel_Scope3EmissionFactorsStationaryGaseous_Data(), Table_Fuel_EFs_StationaryGaseous34[[#Headers],[State or territory]],0)</f>
        <v>Western Australia</v>
      </c>
      <c r="E118" s="242" cm="1">
        <f t="array" ref="E118">Common_InputFunctions.Utility_DisplayArrayInTable(Fuel_SourceData.Fuel_Scope3EmissionFactorsStationaryGaseous_Data(), Table_Fuel_EFs_StationaryGaseous34[[#Headers],[State or territory]],0)</f>
        <v>4.0999999999999996</v>
      </c>
      <c r="F118" s="242" cm="1">
        <f t="array" ref="F118">Common_InputFunctions.Utility_DisplayArrayInTable(Fuel_SourceData.Fuel_Scope3EmissionFactorsStationaryGaseous_Data(), Table_Fuel_EFs_StationaryGaseous34[[#Headers],[State or territory]],0)</f>
        <v>4</v>
      </c>
      <c r="G118" s="243" t="str">
        <v>-</v>
      </c>
      <c r="H118" s="1" t="str">
        <v>Factors are calculated for all natural gas distributed in a pipeline which may include coal seam methane.</v>
      </c>
      <c r="I118" s="189"/>
      <c r="J118" s="189"/>
      <c r="K118" s="189"/>
      <c r="L118" s="189"/>
    </row>
    <row r="119" spans="4:13" ht="20.100000000000001" customHeight="1" x14ac:dyDescent="0.25">
      <c r="D119" s="242" t="str" cm="1">
        <f t="array" ref="D119">Common_InputFunctions.Utility_DisplayArrayInTable(Fuel_SourceData.Fuel_Scope3EmissionFactorsStationaryGaseous_Data(), Table_Fuel_EFs_StationaryGaseous34[[#Headers],[State or territory]],0)</f>
        <v>Tasmania</v>
      </c>
      <c r="E119" s="242" cm="1">
        <f t="array" ref="E119">Common_InputFunctions.Utility_DisplayArrayInTable(Fuel_SourceData.Fuel_Scope3EmissionFactorsStationaryGaseous_Data(), Table_Fuel_EFs_StationaryGaseous34[[#Headers],[State or territory]],0)</f>
        <v>4</v>
      </c>
      <c r="F119" s="242" cm="1">
        <f t="array" ref="F119">Common_InputFunctions.Utility_DisplayArrayInTable(Fuel_SourceData.Fuel_Scope3EmissionFactorsStationaryGaseous_Data(), Table_Fuel_EFs_StationaryGaseous34[[#Headers],[State or territory]],0)</f>
        <v>4</v>
      </c>
      <c r="G119" s="243" t="str">
        <v>-</v>
      </c>
      <c r="H119" s="1" t="str">
        <v>Table 6 is not applicable to ethane. See Table 7 Indirect (Scope 3) emissions from the consumption of ethane.</v>
      </c>
      <c r="I119" s="189"/>
      <c r="J119" s="189"/>
      <c r="K119" s="189"/>
      <c r="L119" s="189"/>
    </row>
    <row r="120" spans="4:13" ht="20.100000000000001" customHeight="1" x14ac:dyDescent="0.25">
      <c r="D120" s="242" t="str" cm="1">
        <f t="array" ref="D120">Common_InputFunctions.Utility_DisplayArrayInTable(Fuel_SourceData.Fuel_Scope3EmissionFactorsStationaryGaseous_Data(), Table_Fuel_EFs_StationaryGaseous34[[#Headers],[State or territory]],0)</f>
        <v>Northern Territory</v>
      </c>
      <c r="E120" s="242" cm="1">
        <f t="array" ref="E120">Common_InputFunctions.Utility_DisplayArrayInTable(Fuel_SourceData.Fuel_Scope3EmissionFactorsStationaryGaseous_Data(), Table_Fuel_EFs_StationaryGaseous34[[#Headers],[State or territory]],0)</f>
        <v>4.0999999999999996</v>
      </c>
      <c r="F120" s="242" cm="1">
        <f t="array" ref="F120">Common_InputFunctions.Utility_DisplayArrayInTable(Fuel_SourceData.Fuel_Scope3EmissionFactorsStationaryGaseous_Data(), Table_Fuel_EFs_StationaryGaseous34[[#Headers],[State or territory]],0)</f>
        <v>4</v>
      </c>
      <c r="G120" s="243" t="str">
        <v>-</v>
      </c>
      <c r="H120" s="1" t="str">
        <v>C = Confidential. Scope 3 emission factors for Tasmania and the Northern Territory are not available due to confidentiality constraints that arise</v>
      </c>
      <c r="I120" s="189"/>
      <c r="J120" s="189"/>
      <c r="K120" s="189"/>
      <c r="L120" s="189"/>
    </row>
    <row r="121" spans="4:13" ht="20.100000000000001" customHeight="1" x14ac:dyDescent="0.25">
      <c r="D121" s="8"/>
      <c r="E121" s="8"/>
      <c r="F121" s="8"/>
      <c r="G121" s="243" t="str">
        <v/>
      </c>
      <c r="H121" s="1" t="str">
        <v>from the use of a limited number of NGER data inputs. It is suggested that for Tasmania the use of the Victorian emission factors is appropriate,</v>
      </c>
      <c r="I121" s="189"/>
      <c r="J121" s="189"/>
      <c r="K121" s="189"/>
      <c r="L121" s="189"/>
    </row>
    <row r="122" spans="4:13" ht="20.100000000000001" customHeight="1" x14ac:dyDescent="0.25">
      <c r="D122" s="189"/>
      <c r="F122" s="244"/>
      <c r="G122" s="243" t="str">
        <v/>
      </c>
      <c r="H122" s="1" t="str">
        <v>while for Northern Territory the use of the Western Australian emission factors is appropriate.</v>
      </c>
      <c r="I122" s="189"/>
      <c r="J122" s="189"/>
      <c r="K122" s="189"/>
      <c r="L122" s="189"/>
    </row>
    <row r="123" spans="4:13" ht="20.100000000000001" customHeight="1" x14ac:dyDescent="0.25">
      <c r="D123" s="245"/>
      <c r="F123" s="244"/>
      <c r="G123" s="243" t="str">
        <v>-</v>
      </c>
      <c r="H123" s="1" t="str">
        <v>Scope 3 emission factors do not include fugitive emission leakage from low pressure natural gas distribution pipeline networks while those from high pressure</v>
      </c>
      <c r="I123" s="189"/>
      <c r="J123" s="189"/>
      <c r="K123" s="189"/>
      <c r="L123" s="189"/>
    </row>
    <row r="124" spans="4:13" ht="20.100000000000001" customHeight="1" x14ac:dyDescent="0.25">
      <c r="D124" s="245"/>
      <c r="F124" s="244"/>
      <c r="G124" s="189" t="str">
        <v/>
      </c>
      <c r="H124" s="1" t="str">
        <v>gas networks are considered negligible.</v>
      </c>
      <c r="I124" s="189"/>
      <c r="J124" s="189"/>
      <c r="K124" s="189"/>
      <c r="L124" s="189"/>
    </row>
    <row r="125" spans="4:13" ht="20.100000000000001" customHeight="1" x14ac:dyDescent="0.25">
      <c r="D125" s="245"/>
      <c r="F125" s="244"/>
      <c r="G125" s="189"/>
      <c r="H125" s="189"/>
      <c r="I125" s="189"/>
      <c r="J125" s="189"/>
      <c r="K125" s="189"/>
      <c r="L125" s="189"/>
    </row>
    <row r="126" spans="4:13" ht="20.100000000000001" customHeight="1" x14ac:dyDescent="0.25">
      <c r="D126" s="189"/>
      <c r="E126" s="189"/>
      <c r="F126" s="189"/>
      <c r="G126" s="189"/>
      <c r="H126" s="189"/>
      <c r="I126" s="189"/>
      <c r="J126" s="189"/>
      <c r="K126" s="189"/>
      <c r="L126" s="189"/>
      <c r="M126" s="189"/>
    </row>
    <row r="127" spans="4:13" ht="20.100000000000001" customHeight="1" x14ac:dyDescent="0.25">
      <c r="D127" s="189"/>
      <c r="E127" s="189"/>
      <c r="F127" s="189"/>
      <c r="G127" s="189"/>
      <c r="H127" s="189"/>
      <c r="I127" s="189"/>
      <c r="J127" s="189"/>
      <c r="K127" s="189"/>
      <c r="L127" s="189"/>
      <c r="M127" s="189"/>
    </row>
    <row r="128" spans="4:13" ht="20.100000000000001" customHeight="1" x14ac:dyDescent="0.25">
      <c r="D128" s="189"/>
      <c r="E128" s="189"/>
      <c r="F128" s="189"/>
      <c r="G128" s="189"/>
      <c r="H128" s="189"/>
      <c r="I128" s="189"/>
      <c r="J128" s="189"/>
      <c r="K128" s="189"/>
      <c r="L128" s="189"/>
      <c r="M128" s="189"/>
    </row>
    <row r="129" spans="4:33" ht="20.100000000000001" customHeight="1" x14ac:dyDescent="0.25">
      <c r="D129" s="246"/>
      <c r="E129" s="189"/>
      <c r="F129" s="189"/>
      <c r="G129" s="189"/>
      <c r="H129" s="189"/>
      <c r="I129" s="189"/>
      <c r="J129" s="189"/>
      <c r="K129" s="189"/>
      <c r="L129" s="189"/>
    </row>
    <row r="130" spans="4:33" ht="20.100000000000001" customHeight="1" x14ac:dyDescent="0.25">
      <c r="D130" s="247" t="s">
        <v>849</v>
      </c>
      <c r="E130" s="247" t="s">
        <v>789</v>
      </c>
      <c r="F130" s="247" t="s">
        <v>850</v>
      </c>
      <c r="G130" s="247" t="s">
        <v>792</v>
      </c>
      <c r="H130" s="247" t="s">
        <v>794</v>
      </c>
      <c r="I130" s="247" t="s">
        <v>795</v>
      </c>
      <c r="J130" s="189"/>
      <c r="K130" s="189"/>
      <c r="L130" s="189"/>
    </row>
    <row r="131" spans="4:33" ht="20.100000000000001" customHeight="1" x14ac:dyDescent="0.25">
      <c r="D131" s="248" t="str">
        <f>$D$143</f>
        <v>Petrol</v>
      </c>
      <c r="E131" s="248" t="str">
        <f>$D$143</f>
        <v>Petrol</v>
      </c>
      <c r="F131" s="248" t="str">
        <f>$D$150</f>
        <v>Avgas</v>
      </c>
      <c r="G131" s="248" t="str">
        <f>$D$143</f>
        <v>Petrol</v>
      </c>
      <c r="H131" s="248" t="str">
        <f>$D$144</f>
        <v>Diesel</v>
      </c>
      <c r="I131" s="248" t="str">
        <f>$D$143</f>
        <v>Petrol</v>
      </c>
      <c r="J131" s="189"/>
      <c r="K131" s="189"/>
      <c r="L131" s="189"/>
    </row>
    <row r="132" spans="4:33" ht="20.100000000000001" customHeight="1" x14ac:dyDescent="0.25">
      <c r="D132" s="248" t="str">
        <f>$D$144</f>
        <v>Diesel</v>
      </c>
      <c r="E132" s="248" t="str">
        <f>$D$144</f>
        <v>Diesel</v>
      </c>
      <c r="F132" s="248" t="str">
        <f>$D$151</f>
        <v>Jet A1, Jet B</v>
      </c>
      <c r="G132" s="248" t="str">
        <f>$D$144</f>
        <v>Diesel</v>
      </c>
      <c r="H132" s="248"/>
      <c r="I132" s="248" t="str">
        <f>$D$144</f>
        <v>Diesel</v>
      </c>
      <c r="J132" s="189"/>
      <c r="K132" s="189"/>
      <c r="L132" s="189"/>
    </row>
    <row r="133" spans="4:33" ht="20.100000000000001" customHeight="1" x14ac:dyDescent="0.25">
      <c r="D133" s="248" t="str">
        <f>$D$145</f>
        <v>Liquefied petroleum gas (LPG)</v>
      </c>
      <c r="E133" s="248" t="str">
        <f>$D$145</f>
        <v>Liquefied petroleum gas (LPG)</v>
      </c>
      <c r="F133" s="248" t="str">
        <f>$D$152</f>
        <v>Renewable aviation kerosene</v>
      </c>
      <c r="G133" s="248" t="str">
        <f>$D$145</f>
        <v>Liquefied petroleum gas (LPG)</v>
      </c>
      <c r="H133" s="248"/>
      <c r="I133" s="248" t="s">
        <v>796</v>
      </c>
      <c r="J133" s="189"/>
      <c r="K133" s="189"/>
      <c r="L133" s="189"/>
    </row>
    <row r="134" spans="4:33" ht="20.100000000000001" customHeight="1" x14ac:dyDescent="0.25">
      <c r="D134" s="248" t="str">
        <f>$D$146</f>
        <v>Biodiesel</v>
      </c>
      <c r="E134" s="248" t="str">
        <f>$D$146</f>
        <v>Biodiesel</v>
      </c>
      <c r="F134" s="247"/>
      <c r="G134" s="248" t="str">
        <f>$D$160</f>
        <v>Fuel oil</v>
      </c>
      <c r="H134" s="248"/>
      <c r="I134" s="248"/>
      <c r="J134" s="189"/>
      <c r="K134" s="189"/>
      <c r="L134" s="189"/>
    </row>
    <row r="135" spans="4:33" ht="20.100000000000001" customHeight="1" x14ac:dyDescent="0.25">
      <c r="D135" s="248" t="str">
        <f>$D$147</f>
        <v>Ethanol</v>
      </c>
      <c r="E135" s="248" t="str">
        <f>$D$147</f>
        <v>Ethanol</v>
      </c>
      <c r="F135" s="247"/>
      <c r="G135" s="248" t="str">
        <f>$D$147</f>
        <v>Ethanol</v>
      </c>
      <c r="H135" s="248"/>
      <c r="I135" s="248"/>
      <c r="J135" s="189"/>
      <c r="K135" s="189"/>
      <c r="L135" s="189"/>
    </row>
    <row r="136" spans="4:33" ht="20.100000000000001" customHeight="1" x14ac:dyDescent="0.25">
      <c r="D136" s="248" t="str">
        <f>$D$148</f>
        <v>Other biofuels</v>
      </c>
      <c r="E136" s="248" t="str">
        <f>$D$148</f>
        <v>Other biofuels</v>
      </c>
      <c r="F136" s="247"/>
      <c r="G136" s="248" t="str">
        <f>$D$146</f>
        <v>Biodiesel</v>
      </c>
      <c r="H136" s="248"/>
      <c r="I136" s="248"/>
      <c r="J136" s="189"/>
      <c r="K136" s="189"/>
      <c r="L136" s="189"/>
    </row>
    <row r="137" spans="4:33" ht="20.100000000000001" customHeight="1" x14ac:dyDescent="0.25">
      <c r="D137" s="248" t="str">
        <f>$D$149</f>
        <v>Renewable diesel</v>
      </c>
      <c r="E137" s="248" t="str">
        <f>$D$149</f>
        <v>Renewable diesel</v>
      </c>
      <c r="F137" s="247"/>
      <c r="G137" s="248" t="str">
        <f>$D$149</f>
        <v>Renewable diesel</v>
      </c>
      <c r="H137" s="248"/>
      <c r="I137" s="248"/>
      <c r="J137" s="189"/>
      <c r="K137" s="189"/>
      <c r="L137" s="189"/>
    </row>
    <row r="138" spans="4:33" ht="20.100000000000001" customHeight="1" x14ac:dyDescent="0.25">
      <c r="D138" s="247"/>
      <c r="E138" s="249" t="str">
        <f>$D$161</f>
        <v>Natural gas (via pipeline) in GJ</v>
      </c>
      <c r="F138" s="249"/>
      <c r="G138" s="248" t="str">
        <f>$D$148</f>
        <v>Other biofuels</v>
      </c>
      <c r="H138" s="248"/>
      <c r="I138" s="248"/>
      <c r="J138" s="189"/>
      <c r="K138" s="189"/>
      <c r="L138" s="189"/>
    </row>
    <row r="139" spans="4:33" ht="20.100000000000001" customHeight="1" x14ac:dyDescent="0.25">
      <c r="D139" s="249"/>
      <c r="E139" s="249" t="str">
        <f>$D$162</f>
        <v>Town gas in GJ</v>
      </c>
      <c r="F139" s="249"/>
      <c r="G139" s="249"/>
      <c r="H139" s="249"/>
      <c r="I139" s="249"/>
      <c r="J139" s="189"/>
      <c r="K139" s="189"/>
      <c r="L139" s="189"/>
    </row>
    <row r="140" spans="4:33" ht="20.100000000000001" customHeight="1" x14ac:dyDescent="0.25">
      <c r="D140" s="189"/>
      <c r="E140" s="189"/>
      <c r="F140" s="189"/>
      <c r="G140" s="189"/>
      <c r="H140" s="189"/>
      <c r="I140" s="189"/>
      <c r="J140" s="189"/>
      <c r="K140" s="189"/>
      <c r="L140" s="189"/>
    </row>
    <row r="141" spans="4:33" ht="20.100000000000001" customHeight="1" x14ac:dyDescent="0.25">
      <c r="D141" s="189"/>
      <c r="E141" s="189"/>
      <c r="F141" s="189"/>
      <c r="G141" s="189"/>
      <c r="H141" s="189"/>
      <c r="I141" s="189"/>
      <c r="J141" s="189"/>
      <c r="K141" s="189"/>
      <c r="L141" s="189"/>
    </row>
    <row r="142" spans="4:33" ht="20.100000000000001" customHeight="1" x14ac:dyDescent="0.25">
      <c r="D142" t="s">
        <v>851</v>
      </c>
      <c r="E142" t="s">
        <v>127</v>
      </c>
      <c r="F142" t="s">
        <v>852</v>
      </c>
      <c r="G142" s="189"/>
      <c r="H142" s="189"/>
      <c r="I142" s="189"/>
      <c r="J142" s="189"/>
      <c r="K142" s="189"/>
      <c r="L142" s="189"/>
      <c r="M142" s="189"/>
      <c r="AG142" s="1"/>
    </row>
    <row r="143" spans="4:33" ht="20.100000000000001" customHeight="1" x14ac:dyDescent="0.25">
      <c r="D143" s="248" t="s">
        <v>791</v>
      </c>
      <c r="E143" t="s">
        <v>853</v>
      </c>
      <c r="F143" t="s">
        <v>854</v>
      </c>
      <c r="G143" s="189"/>
      <c r="H143" s="189"/>
      <c r="I143" s="189"/>
      <c r="J143" s="189"/>
      <c r="K143" s="189"/>
      <c r="L143" s="189"/>
      <c r="M143" s="189"/>
      <c r="AG143" s="1"/>
    </row>
    <row r="144" spans="4:33" ht="20.100000000000001" customHeight="1" x14ac:dyDescent="0.25">
      <c r="D144" s="248" t="s">
        <v>793</v>
      </c>
      <c r="E144" t="s">
        <v>853</v>
      </c>
      <c r="F144" t="s">
        <v>854</v>
      </c>
      <c r="G144" s="189"/>
      <c r="H144" s="189"/>
      <c r="I144" s="189"/>
      <c r="J144" s="189"/>
      <c r="K144" s="189"/>
      <c r="L144" s="189"/>
      <c r="M144" s="189"/>
      <c r="AG144" s="1"/>
    </row>
    <row r="145" spans="4:33" ht="20.100000000000001" customHeight="1" x14ac:dyDescent="0.25">
      <c r="D145" s="248" t="s">
        <v>855</v>
      </c>
      <c r="E145" t="s">
        <v>853</v>
      </c>
      <c r="F145" t="s">
        <v>854</v>
      </c>
      <c r="G145" s="189"/>
      <c r="H145" s="189"/>
      <c r="I145" s="189"/>
      <c r="J145" s="189"/>
      <c r="K145" s="189"/>
      <c r="L145" s="189"/>
      <c r="M145" s="189"/>
      <c r="AG145" s="1"/>
    </row>
    <row r="146" spans="4:33" ht="20.100000000000001" customHeight="1" x14ac:dyDescent="0.25">
      <c r="D146" s="248" t="s">
        <v>856</v>
      </c>
      <c r="E146" t="s">
        <v>853</v>
      </c>
      <c r="F146" t="s">
        <v>854</v>
      </c>
      <c r="G146" s="189"/>
      <c r="H146" s="189"/>
      <c r="I146" s="189"/>
      <c r="J146" s="189"/>
      <c r="K146" s="189"/>
      <c r="L146" s="189"/>
      <c r="M146" s="189"/>
      <c r="AG146" s="1"/>
    </row>
    <row r="147" spans="4:33" ht="20.100000000000001" customHeight="1" x14ac:dyDescent="0.25">
      <c r="D147" s="248" t="s">
        <v>857</v>
      </c>
      <c r="E147" t="s">
        <v>853</v>
      </c>
      <c r="F147" t="s">
        <v>854</v>
      </c>
      <c r="G147" s="189"/>
      <c r="H147" s="189"/>
      <c r="I147" s="189"/>
      <c r="J147" s="189"/>
      <c r="K147" s="189"/>
      <c r="L147" s="189"/>
      <c r="M147" s="189"/>
      <c r="AG147" s="1"/>
    </row>
    <row r="148" spans="4:33" ht="20.100000000000001" customHeight="1" x14ac:dyDescent="0.25">
      <c r="D148" s="248" t="s">
        <v>858</v>
      </c>
      <c r="E148" t="s">
        <v>853</v>
      </c>
      <c r="F148" t="s">
        <v>854</v>
      </c>
      <c r="G148" s="189"/>
      <c r="H148" s="189"/>
      <c r="I148" s="189"/>
      <c r="J148" s="189"/>
      <c r="K148" s="189"/>
      <c r="L148" s="189"/>
      <c r="M148" s="189"/>
      <c r="AG148" s="1"/>
    </row>
    <row r="149" spans="4:33" ht="20.100000000000001" customHeight="1" x14ac:dyDescent="0.25">
      <c r="D149" s="248" t="s">
        <v>859</v>
      </c>
      <c r="E149" t="s">
        <v>853</v>
      </c>
      <c r="F149" t="s">
        <v>854</v>
      </c>
      <c r="G149" s="189"/>
      <c r="H149" s="189"/>
      <c r="I149" s="189"/>
      <c r="J149" s="189"/>
      <c r="K149" s="189"/>
      <c r="L149" s="189"/>
      <c r="M149" s="189"/>
      <c r="AG149" s="1"/>
    </row>
    <row r="150" spans="4:33" ht="20.100000000000001" customHeight="1" x14ac:dyDescent="0.25">
      <c r="D150" s="248" t="s">
        <v>860</v>
      </c>
      <c r="E150" t="s">
        <v>853</v>
      </c>
      <c r="F150" t="s">
        <v>854</v>
      </c>
      <c r="G150" s="189"/>
      <c r="H150" s="189"/>
      <c r="I150" s="189"/>
      <c r="J150" s="189"/>
      <c r="K150" s="189"/>
      <c r="L150" s="189"/>
      <c r="M150" s="189"/>
      <c r="AG150" s="1"/>
    </row>
    <row r="151" spans="4:33" ht="20.100000000000001" customHeight="1" x14ac:dyDescent="0.25">
      <c r="D151" s="248" t="s">
        <v>861</v>
      </c>
      <c r="E151" t="s">
        <v>853</v>
      </c>
      <c r="F151" t="s">
        <v>854</v>
      </c>
      <c r="G151" s="189"/>
      <c r="H151" s="189"/>
      <c r="I151" s="189"/>
      <c r="J151" s="189"/>
      <c r="K151" s="189"/>
      <c r="L151" s="189"/>
      <c r="M151" s="189"/>
      <c r="AG151" s="1"/>
    </row>
    <row r="152" spans="4:33" ht="20.100000000000001" customHeight="1" x14ac:dyDescent="0.25">
      <c r="D152" s="250" t="s">
        <v>862</v>
      </c>
      <c r="E152" s="8" t="s">
        <v>853</v>
      </c>
      <c r="F152" t="s">
        <v>854</v>
      </c>
      <c r="G152" s="189"/>
      <c r="H152" s="189"/>
      <c r="I152" s="189"/>
      <c r="J152" s="189"/>
      <c r="K152" s="189"/>
      <c r="L152" s="189"/>
      <c r="M152" s="189"/>
      <c r="AG152" s="1"/>
    </row>
    <row r="153" spans="4:33" ht="20.100000000000001" customHeight="1" x14ac:dyDescent="0.25">
      <c r="D153" s="250" t="s">
        <v>863</v>
      </c>
      <c r="E153" s="8" t="s">
        <v>853</v>
      </c>
      <c r="F153" t="s">
        <v>854</v>
      </c>
      <c r="G153" s="189"/>
      <c r="H153" s="189"/>
      <c r="I153" s="189"/>
      <c r="J153" s="189"/>
      <c r="K153" s="189"/>
      <c r="L153" s="189"/>
      <c r="M153" s="189"/>
      <c r="AG153" s="1"/>
    </row>
    <row r="154" spans="4:33" ht="20.100000000000001" customHeight="1" x14ac:dyDescent="0.25">
      <c r="D154" s="250" t="s">
        <v>864</v>
      </c>
      <c r="E154" s="8" t="s">
        <v>853</v>
      </c>
      <c r="F154" t="s">
        <v>854</v>
      </c>
      <c r="G154" s="189"/>
      <c r="H154" s="189"/>
      <c r="I154" s="189"/>
      <c r="J154" s="189"/>
      <c r="K154" s="189"/>
      <c r="L154" s="189"/>
      <c r="M154" s="189"/>
      <c r="AG154" s="1"/>
    </row>
    <row r="155" spans="4:33" ht="20.100000000000001" customHeight="1" x14ac:dyDescent="0.25">
      <c r="D155" s="250" t="s">
        <v>865</v>
      </c>
      <c r="E155" s="8" t="s">
        <v>853</v>
      </c>
      <c r="F155" t="s">
        <v>854</v>
      </c>
      <c r="G155" s="189"/>
      <c r="H155" s="189"/>
      <c r="I155" s="189"/>
      <c r="J155" s="189"/>
      <c r="K155" s="189"/>
      <c r="L155" s="189"/>
      <c r="M155" s="189"/>
      <c r="AG155" s="1"/>
    </row>
    <row r="156" spans="4:33" ht="20.100000000000001" customHeight="1" x14ac:dyDescent="0.25">
      <c r="D156" s="250" t="s">
        <v>866</v>
      </c>
      <c r="E156" s="8" t="s">
        <v>853</v>
      </c>
      <c r="F156" t="s">
        <v>854</v>
      </c>
      <c r="G156" s="189"/>
      <c r="H156" s="189"/>
      <c r="I156" s="189"/>
      <c r="J156" s="189"/>
      <c r="K156" s="189"/>
      <c r="L156" s="189"/>
      <c r="M156" s="189"/>
      <c r="AG156" s="1"/>
    </row>
    <row r="157" spans="4:33" ht="20.100000000000001" customHeight="1" x14ac:dyDescent="0.25">
      <c r="D157" s="250" t="s">
        <v>867</v>
      </c>
      <c r="E157" s="8" t="s">
        <v>853</v>
      </c>
      <c r="F157" t="s">
        <v>854</v>
      </c>
      <c r="G157" s="189"/>
      <c r="H157" s="189"/>
      <c r="I157" s="189"/>
      <c r="J157" s="189"/>
      <c r="K157" s="189"/>
      <c r="L157" s="189"/>
      <c r="M157" s="189"/>
      <c r="AG157" s="1"/>
    </row>
    <row r="158" spans="4:33" ht="20.100000000000001" customHeight="1" x14ac:dyDescent="0.25">
      <c r="D158" s="250" t="s">
        <v>868</v>
      </c>
      <c r="E158" s="8" t="s">
        <v>853</v>
      </c>
      <c r="F158" t="s">
        <v>854</v>
      </c>
      <c r="G158" s="189"/>
      <c r="H158" s="189"/>
      <c r="I158" s="189"/>
      <c r="J158" s="189"/>
      <c r="K158" s="189"/>
      <c r="L158" s="189"/>
      <c r="M158" s="189"/>
      <c r="AG158" s="1"/>
    </row>
    <row r="159" spans="4:33" ht="20.100000000000001" customHeight="1" x14ac:dyDescent="0.25">
      <c r="D159" s="250" t="s">
        <v>869</v>
      </c>
      <c r="E159" s="8" t="s">
        <v>853</v>
      </c>
      <c r="F159" t="s">
        <v>854</v>
      </c>
      <c r="G159" s="189"/>
      <c r="H159" s="189"/>
      <c r="I159" s="189"/>
      <c r="J159" s="189"/>
      <c r="K159" s="189"/>
      <c r="L159" s="189"/>
      <c r="M159" s="189"/>
      <c r="AG159" s="1"/>
    </row>
    <row r="160" spans="4:33" ht="20.100000000000001" customHeight="1" x14ac:dyDescent="0.25">
      <c r="D160" s="250" t="s">
        <v>796</v>
      </c>
      <c r="E160" s="8" t="s">
        <v>853</v>
      </c>
      <c r="F160" t="s">
        <v>854</v>
      </c>
      <c r="G160" s="189"/>
      <c r="H160" s="189"/>
      <c r="I160" s="189"/>
      <c r="J160" s="189"/>
      <c r="K160" s="189"/>
      <c r="L160" s="189"/>
      <c r="M160" s="189"/>
      <c r="AG160" s="1"/>
    </row>
    <row r="161" spans="4:33" ht="20.100000000000001" customHeight="1" x14ac:dyDescent="0.25">
      <c r="D161" s="249" t="s">
        <v>870</v>
      </c>
      <c r="E161" s="189" t="s">
        <v>871</v>
      </c>
      <c r="F161" s="189" t="s">
        <v>871</v>
      </c>
      <c r="G161" s="189"/>
      <c r="H161" s="189"/>
      <c r="I161" s="189"/>
      <c r="J161" s="189"/>
      <c r="K161" s="189"/>
      <c r="L161" s="189"/>
      <c r="M161" s="189"/>
      <c r="AG161" s="1"/>
    </row>
    <row r="162" spans="4:33" ht="20.100000000000001" customHeight="1" x14ac:dyDescent="0.25">
      <c r="D162" s="189" t="s">
        <v>790</v>
      </c>
      <c r="E162" s="189" t="s">
        <v>871</v>
      </c>
      <c r="F162" s="189" t="s">
        <v>871</v>
      </c>
      <c r="G162" s="189"/>
      <c r="H162" s="189"/>
      <c r="I162" s="189"/>
      <c r="J162" s="189"/>
      <c r="K162" s="189"/>
      <c r="L162" s="189"/>
      <c r="M162" s="18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11C92-E4B6-4058-AD5C-8E344A985750}">
  <sheetPr>
    <tabColor theme="2" tint="-0.499984740745262"/>
  </sheetPr>
  <dimension ref="A1:Q238"/>
  <sheetViews>
    <sheetView showGridLines="0" topLeftCell="A9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6" width="35" style="1" customWidth="1"/>
    <col min="17" max="17" width="9.140625" style="1"/>
    <col min="18" max="16384" width="9.140625" style="258"/>
  </cols>
  <sheetData>
    <row r="1" spans="1:17" ht="30" customHeight="1" x14ac:dyDescent="0.35">
      <c r="A1" s="16" t="e" vm="1">
        <v>#VALUE!</v>
      </c>
      <c r="C1" s="258"/>
      <c r="D1" s="258"/>
      <c r="E1" s="258"/>
      <c r="F1" s="258"/>
      <c r="G1" s="258"/>
      <c r="H1" s="258"/>
      <c r="I1" s="258"/>
      <c r="J1" s="258"/>
      <c r="K1" s="258"/>
      <c r="L1" s="258"/>
      <c r="M1" s="258"/>
      <c r="N1" s="258"/>
      <c r="O1" s="258"/>
      <c r="P1" s="258"/>
      <c r="Q1" s="258"/>
    </row>
    <row r="2" spans="1:17" ht="20.100000000000001" customHeight="1" x14ac:dyDescent="0.25">
      <c r="A2"/>
      <c r="C2" s="258"/>
      <c r="D2" s="258"/>
      <c r="E2" s="258"/>
      <c r="F2" s="258"/>
      <c r="G2" s="258"/>
      <c r="H2" s="258"/>
      <c r="I2" s="258"/>
      <c r="J2" s="258"/>
      <c r="K2" s="258"/>
      <c r="L2" s="258"/>
      <c r="M2" s="258"/>
      <c r="N2" s="258"/>
      <c r="O2" s="258"/>
      <c r="P2" s="258"/>
      <c r="Q2" s="25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1257</v>
      </c>
      <c r="K32" s="1" t="s">
        <v>1258</v>
      </c>
    </row>
    <row r="33" spans="1:12" ht="20.100000000000001" customHeight="1" x14ac:dyDescent="0.25">
      <c r="A33" s="5" t="str">
        <f>HYPERLINK("#'6.2.1.1-2 Pasture residue N2O'!A1", "6.2.1.1-2 Pasture residue N2O")</f>
        <v>6.2.1.1-2 Pasture residue N2O</v>
      </c>
      <c r="D33" s="30" t="s">
        <v>1259</v>
      </c>
      <c r="E33" s="30" t="s">
        <v>148</v>
      </c>
      <c r="F33" s="30" t="s">
        <v>1260</v>
      </c>
      <c r="G33" s="30" t="s">
        <v>1261</v>
      </c>
      <c r="H33" s="30" t="s">
        <v>1262</v>
      </c>
      <c r="I33" s="30" t="s">
        <v>1263</v>
      </c>
      <c r="K33" s="30" t="s">
        <v>1264</v>
      </c>
      <c r="L33" s="30" t="s">
        <v>1265</v>
      </c>
    </row>
    <row r="34" spans="1:12" ht="20.100000000000001" customHeight="1" x14ac:dyDescent="0.25">
      <c r="A34" s="5" t="str">
        <f>HYPERLINK("#'6.3.1.1-2 Leach runoff pasture'!A1", "6.3.1.1-2 Leach &amp; runoff (pasture)")</f>
        <v>6.3.1.1-2 Leach &amp; runoff (pasture)</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510</v>
      </c>
      <c r="L34" s="30" t="s">
        <v>511</v>
      </c>
    </row>
    <row r="35" spans="1:12" ht="20.100000000000001" customHeight="1" x14ac:dyDescent="0.25">
      <c r="A35" s="5" t="str">
        <f>HYPERLINK("#'8.1.1.1-2 Transport fuel'!A1", "8.1.1.1-2 Transport fuel")</f>
        <v>8.1.1.1-2 Transport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511</v>
      </c>
      <c r="L35" s="30" t="s">
        <v>511</v>
      </c>
    </row>
    <row r="36" spans="1:12" ht="20.100000000000001" customHeight="1" x14ac:dyDescent="0.25">
      <c r="A36" s="5" t="str">
        <f>HYPERLINK("#'8.2.1.1-2 Stationary fuel'!A1", "8.2.1.1-2 Stationary fuel")</f>
        <v>8.2.1.1-2 Stationary fuel</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514</v>
      </c>
      <c r="L36" s="30" t="s">
        <v>514</v>
      </c>
    </row>
    <row r="37" spans="1:12" ht="20.100000000000001" customHeight="1" x14ac:dyDescent="0.25">
      <c r="A37" s="5" t="str">
        <f>HYPERLINK("#'14.1.1-2 Purchased electricity'!A1", "14.1.1-2 Purchased electricity")</f>
        <v>14.1.1-2 Purchased electricity</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515</v>
      </c>
      <c r="L37" s="30" t="s">
        <v>515</v>
      </c>
    </row>
    <row r="38" spans="1:12" ht="20.100000000000001" customHeight="1" x14ac:dyDescent="0.25">
      <c r="A38" s="5" t="str">
        <f>HYPERLINK("#'15 Scope 3'!A1", "15 Scope 3")</f>
        <v>15 Scope 3</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516</v>
      </c>
      <c r="L38" s="30" t="s">
        <v>516</v>
      </c>
    </row>
    <row r="39" spans="1:12" ht="20.100000000000001" customHeight="1" x14ac:dyDescent="0.25">
      <c r="A39" s="5" t="str">
        <f>HYPERLINK("#'Calcs - Manure sent off-site'!A1", "Calcs - Manure sent off-site")</f>
        <v>Calcs - Manure sent off-site</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1266</v>
      </c>
      <c r="L39" s="30" t="s">
        <v>517</v>
      </c>
    </row>
    <row r="40" spans="1:12" ht="20.100000000000001" customHeight="1" x14ac:dyDescent="0.25">
      <c r="A40" s="5" t="str">
        <f>HYPERLINK("#'4.3.1.1-2 Methane'!A1", "4.3.1.1-2 Methane")</f>
        <v>4.3.1.1-2 Methane</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1267</v>
      </c>
      <c r="L40" s="30" t="s">
        <v>517</v>
      </c>
    </row>
    <row r="41" spans="1:12" ht="20.100000000000001" customHeight="1" x14ac:dyDescent="0.25">
      <c r="A41" s="5" t="str">
        <f>HYPERLINK("#'4.3.1.3-4 Direct N20'!A1", "4.3.1.3-4 Direct N20")</f>
        <v>4.3.1.3-4 Direct N20</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1268</v>
      </c>
      <c r="L41" s="30" t="s">
        <v>517</v>
      </c>
    </row>
    <row r="42" spans="1:12" ht="20.100000000000001" customHeight="1" x14ac:dyDescent="0.25">
      <c r="A42" s="5" t="str">
        <f>HYPERLINK("#'4.3.1.5 Atmos deposition'!A1", "4.3.1.5 Atmos deposition")</f>
        <v>4.3.1.5 Atmos deposition</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1269</v>
      </c>
      <c r="L42" s="30" t="s">
        <v>512</v>
      </c>
    </row>
    <row r="43" spans="1:12" ht="20.100000000000001" customHeight="1" x14ac:dyDescent="0.25">
      <c r="A43" s="5" t="str">
        <f>HYPERLINK("#'4.3.1.6-7 Leaching and runoff'!A1", "4.3.1.6-7 Leaching and runoff")</f>
        <v>4.3.1.6-7 Leaching and runoff</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1270</v>
      </c>
      <c r="L43" s="30" t="s">
        <v>512</v>
      </c>
    </row>
    <row r="44" spans="1:12" ht="20.100000000000001" customHeight="1" x14ac:dyDescent="0.25">
      <c r="A44" s="5" t="str">
        <f>HYPERLINK("#'4.3.1.8 Manure applied to soils'!A1", "4.3.1.8 Manure applied to soils")</f>
        <v>4.3.1.8 Manure applied to soils</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1271</v>
      </c>
      <c r="L44" s="30" t="s">
        <v>512</v>
      </c>
    </row>
    <row r="45" spans="1:12" ht="20.100000000000001" customHeight="1" x14ac:dyDescent="0.25">
      <c r="A45" s="5" t="str">
        <f>HYPERLINK("#'4.3.1.9 Soil direct N2O'!A1", "4.3.1.9 Soil direct N2O")</f>
        <v>4.3.1.9 Soil direct N2O</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1272</v>
      </c>
      <c r="L45" s="30" t="s">
        <v>513</v>
      </c>
    </row>
    <row r="46" spans="1:12" ht="20.100000000000001" customHeight="1" x14ac:dyDescent="0.25">
      <c r="A46" s="5" t="str">
        <f>HYPERLINK("#'4.3.1.10-11 Soil Atmos Dep'!A1", "4.3.1.10-11 Soil Atmos Dep")</f>
        <v>4.3.1.10-11 Soil Atmos Dep</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1273</v>
      </c>
      <c r="L46" s="30" t="s">
        <v>513</v>
      </c>
    </row>
    <row r="47" spans="1:12" ht="20.100000000000001" customHeight="1" x14ac:dyDescent="0.25">
      <c r="A47" s="5" t="str">
        <f>HYPERLINK("#'4.3.1.12-13 Soil leach runoff'!A1", "4.3.1.12-13 Soil leach runoff")</f>
        <v>4.3.1.12-13 Soil leach runoff</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1274</v>
      </c>
      <c r="L47" s="30" t="s">
        <v>513</v>
      </c>
    </row>
    <row r="48" spans="1:12" ht="20.100000000000001" customHeight="1" x14ac:dyDescent="0.25">
      <c r="A48" s="5" t="str">
        <f>HYPERLINK("#'3.3.1.1-2 Enteric Methane'!A1", "3.3.1.1-2 Enteric Methane")</f>
        <v>3.3.1.1-2 Enteric Methane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1275</v>
      </c>
      <c r="L48" s="30" t="s">
        <v>513</v>
      </c>
    </row>
    <row r="49" spans="1:12" ht="20.100000000000001" customHeight="1" x14ac:dyDescent="0.25">
      <c r="A49" s="5" t="str">
        <f>HYPERLINK("#'10.1.1-2 Solid waste treatment'!A1", "10.1.1-2 Solid waste treatment")</f>
        <v>10.1.1-2 Solid waste treatment</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1073</v>
      </c>
      <c r="L49" s="1" t="s">
        <v>1073</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s="99" t="s">
        <v>1</v>
      </c>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s="146" t="str">
        <f>HYPERLINK("#'Constants - Scope 3'!A1", "Constants - Scope 3")</f>
        <v>Constants - Scope 3</v>
      </c>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1010</v>
      </c>
    </row>
    <row r="77" spans="1:9" ht="20.100000000000001" customHeight="1" x14ac:dyDescent="0.25">
      <c r="A77"/>
      <c r="D77" s="30" t="s">
        <v>1259</v>
      </c>
      <c r="E77" s="30" t="s">
        <v>148</v>
      </c>
      <c r="F77" s="30" t="s">
        <v>1260</v>
      </c>
      <c r="G77" s="30" t="s">
        <v>1261</v>
      </c>
      <c r="H77" s="30" t="s">
        <v>1262</v>
      </c>
      <c r="I77" s="30" t="s">
        <v>1263</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1259</v>
      </c>
      <c r="E82" s="30" t="s">
        <v>148</v>
      </c>
      <c r="F82" s="30" t="s">
        <v>1260</v>
      </c>
      <c r="G82" s="30" t="s">
        <v>1261</v>
      </c>
      <c r="H82" s="30" t="s">
        <v>1262</v>
      </c>
      <c r="I82" s="30" t="s">
        <v>1263</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1057</v>
      </c>
    </row>
    <row r="89" spans="1:16" ht="20.100000000000001" customHeight="1" x14ac:dyDescent="0.25">
      <c r="A89"/>
      <c r="D89" s="30" t="s">
        <v>1259</v>
      </c>
      <c r="E89" s="30" t="s">
        <v>148</v>
      </c>
      <c r="F89" s="30" t="s">
        <v>1260</v>
      </c>
      <c r="G89" s="30" t="s">
        <v>1261</v>
      </c>
      <c r="H89" s="30" t="s">
        <v>1262</v>
      </c>
      <c r="I89" s="30" t="s">
        <v>1263</v>
      </c>
      <c r="K89" s="30" t="s">
        <v>148</v>
      </c>
      <c r="L89" s="30" t="s">
        <v>1264</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148</v>
      </c>
      <c r="O90" s="30" t="s">
        <v>1264</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148</v>
      </c>
      <c r="L98" s="30" t="s">
        <v>1264</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148</v>
      </c>
      <c r="O105" s="30" t="s">
        <v>1264</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148</v>
      </c>
      <c r="L110" s="30" t="s">
        <v>1264</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148</v>
      </c>
      <c r="O118" s="30" t="s">
        <v>1264</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148</v>
      </c>
      <c r="L125" s="30" t="s">
        <v>1264</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148</v>
      </c>
      <c r="O131" s="30" t="s">
        <v>1264</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148</v>
      </c>
      <c r="L138" s="30" t="s">
        <v>1264</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148</v>
      </c>
      <c r="O144" s="30" t="s">
        <v>1264</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79" t="s">
        <v>148</v>
      </c>
      <c r="L151" s="279" t="s">
        <v>1264</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148</v>
      </c>
      <c r="O152" s="30" t="s">
        <v>1264</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148</v>
      </c>
      <c r="L153" s="30" t="s">
        <v>1264</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148</v>
      </c>
      <c r="O154" s="30" t="s">
        <v>1264</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148</v>
      </c>
      <c r="L155" s="30" t="s">
        <v>1264</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148</v>
      </c>
      <c r="O156" s="30"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148</v>
      </c>
      <c r="L157" s="30" t="s">
        <v>1264</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148</v>
      </c>
      <c r="O158" s="30"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1259</v>
      </c>
      <c r="E161" s="30" t="s">
        <v>148</v>
      </c>
      <c r="F161" s="30" t="s">
        <v>1260</v>
      </c>
      <c r="G161" s="30" t="s">
        <v>1261</v>
      </c>
      <c r="H161" s="30" t="s">
        <v>1262</v>
      </c>
      <c r="I161" s="30" t="s">
        <v>1263</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1259</v>
      </c>
      <c r="E167" s="30" t="s">
        <v>148</v>
      </c>
      <c r="F167" s="30" t="s">
        <v>1260</v>
      </c>
      <c r="G167" s="30" t="s">
        <v>1261</v>
      </c>
      <c r="H167" s="30" t="s">
        <v>1262</v>
      </c>
      <c r="I167" s="30" t="s">
        <v>1263</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1276</v>
      </c>
    </row>
    <row r="173" spans="4:13" ht="20.100000000000001" customHeight="1" x14ac:dyDescent="0.25">
      <c r="D173" s="30" t="s">
        <v>1259</v>
      </c>
      <c r="E173" s="30" t="s">
        <v>148</v>
      </c>
      <c r="F173" s="30" t="s">
        <v>1260</v>
      </c>
      <c r="G173" s="30" t="s">
        <v>670</v>
      </c>
      <c r="H173" s="30" t="s">
        <v>568</v>
      </c>
      <c r="I173" s="30" t="s">
        <v>569</v>
      </c>
      <c r="J173" s="30" t="s">
        <v>1277</v>
      </c>
      <c r="K173" s="30" t="s">
        <v>1261</v>
      </c>
      <c r="L173" s="30" t="s">
        <v>1262</v>
      </c>
      <c r="M173" s="30" t="s">
        <v>1263</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1278</v>
      </c>
      <c r="N200" s="30"/>
      <c r="O200" s="30"/>
      <c r="P200" s="30"/>
    </row>
    <row r="201" spans="4:16" ht="20.100000000000001" customHeight="1" x14ac:dyDescent="0.25">
      <c r="D201" s="30" t="s">
        <v>1259</v>
      </c>
      <c r="E201" s="30" t="s">
        <v>148</v>
      </c>
      <c r="F201" s="30" t="s">
        <v>1260</v>
      </c>
      <c r="G201" s="30" t="s">
        <v>1261</v>
      </c>
      <c r="H201" s="30" t="s">
        <v>1262</v>
      </c>
      <c r="I201" s="30" t="s">
        <v>1263</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1091</v>
      </c>
    </row>
    <row r="212" spans="4:16" ht="20.100000000000001" customHeight="1" x14ac:dyDescent="0.25">
      <c r="D212" s="30" t="s">
        <v>1259</v>
      </c>
      <c r="E212" s="30" t="s">
        <v>148</v>
      </c>
      <c r="F212" s="30" t="s">
        <v>1260</v>
      </c>
      <c r="G212" s="30" t="s">
        <v>1261</v>
      </c>
      <c r="H212" s="30" t="s">
        <v>1262</v>
      </c>
      <c r="I212" s="30" t="s">
        <v>1263</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1011</v>
      </c>
    </row>
    <row r="219" spans="4:16" ht="20.100000000000001" customHeight="1" x14ac:dyDescent="0.25">
      <c r="D219" s="30" t="s">
        <v>1259</v>
      </c>
      <c r="E219" s="30" t="s">
        <v>148</v>
      </c>
      <c r="F219" s="30" t="s">
        <v>1260</v>
      </c>
      <c r="G219" s="30" t="s">
        <v>1261</v>
      </c>
      <c r="H219" s="30" t="s">
        <v>1262</v>
      </c>
      <c r="I219" s="30" t="s">
        <v>1263</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1279</v>
      </c>
    </row>
    <row r="234" spans="4:9" ht="20.100000000000001" customHeight="1" x14ac:dyDescent="0.25">
      <c r="D234" s="30" t="s">
        <v>1259</v>
      </c>
      <c r="E234" s="30" t="s">
        <v>148</v>
      </c>
      <c r="F234" s="30" t="s">
        <v>1260</v>
      </c>
      <c r="G234" s="30" t="s">
        <v>1261</v>
      </c>
      <c r="H234" s="30" t="s">
        <v>1262</v>
      </c>
      <c r="I234" s="30" t="s">
        <v>1263</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62" sqref="A6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26</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27</v>
      </c>
      <c r="E6" s="30" t="s">
        <v>28</v>
      </c>
      <c r="F6" s="30" t="s">
        <v>29</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Dairy (Enteric)'!A1", "Dairy (Enteric)")</f>
        <v>Dairy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30</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30" t="s">
        <v>31</v>
      </c>
      <c r="E36" s="30" t="s">
        <v>32</v>
      </c>
    </row>
    <row r="37" spans="1:8" ht="20.100000000000001" customHeight="1" x14ac:dyDescent="0.25">
      <c r="A37" s="5" t="str">
        <f>HYPERLINK("#'14.1.1-2 Purchased electricity'!A1", "14.1.1-2 Purchased electricity")</f>
        <v>14.1.1-2 Purchased electricity</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HYPERLINK("#'4.3.1.1-2 Methane'!A1", "4.3.1.1-2 Methane")</f>
        <v>4.3.1.1-2 Methane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HYPERLINK("#'4.3.1.3-4 Direct N20'!A1", "4.3.1.3-4 Direct N20")</f>
        <v>4.3.1.3-4 Direct N20</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HYPERLINK("#'4.3.1.5 Atmos deposition'!A1", "4.3.1.5 Atmos deposition")</f>
        <v>4.3.1.5 Atmos deposition</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HYPERLINK("#'4.3.1.6-7 Leaching and runoff'!A1", "4.3.1.6-7 Leaching and runoff")</f>
        <v>4.3.1.6-7 Leaching and runoff</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c r="D45" s="2" t="str" cm="1">
        <f t="array" ref="D45">Common_SourceData.Common_SourceData_ConvertGasElementalToMolecular_Title()</f>
        <v>Factor to convert elemental mass of gas to molecular mass</v>
      </c>
    </row>
    <row r="46" spans="1:8" ht="20.100000000000001" customHeight="1" x14ac:dyDescent="0.25">
      <c r="A46" s="5" t="str">
        <f>HYPERLINK("#'4.3.1.10-11 Soil Atmos Dep'!A1", "4.3.1.10-11 Soil Atmos Dep")</f>
        <v>4.3.1.10-11 Soil Atmos Dep</v>
      </c>
      <c r="D46" s="27" t="str" cm="1">
        <f t="array" ref="D46">Common_SourceData.Common_SourceData_ConvertGasElementalToMolecular_Source()</f>
        <v>XXXXXXX</v>
      </c>
    </row>
    <row r="47" spans="1:8" ht="20.100000000000001" customHeight="1" x14ac:dyDescent="0.25">
      <c r="A47" s="5" t="str">
        <f>HYPERLINK("#'4.3.1.12-13 Soil leach runoff'!A1", "4.3.1.12-13 Soil leach runoff")</f>
        <v>4.3.1.12-13 Soil leach runoff</v>
      </c>
      <c r="D47" s="30" t="s">
        <v>31</v>
      </c>
      <c r="E47" s="30" t="s">
        <v>33</v>
      </c>
      <c r="F47" s="30" t="s">
        <v>34</v>
      </c>
      <c r="G47" s="30" t="s">
        <v>35</v>
      </c>
      <c r="H47" s="30" t="s">
        <v>36</v>
      </c>
    </row>
    <row r="48" spans="1:8" ht="20.100000000000001" customHeight="1" x14ac:dyDescent="0.25">
      <c r="A48" s="5" t="str">
        <f>HYPERLINK("#'3.3.1.1-2 Enteric Methane'!A1", "3.3.1.1-2 Enteric Methane")</f>
        <v>3.3.1.1-2 Enteric Methane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99" t="s">
        <v>1</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6" t="str" cm="1">
        <f t="array" ref="D59:D61">"⚠️" &amp; Common_SourceData.Common_SourceData_WetAndDryZones_Variation()</f>
        <v>⚠️VARIATION OF SOURCE DATA:</v>
      </c>
    </row>
    <row r="60" spans="1:8" ht="20.100000000000001" customHeight="1" x14ac:dyDescent="0.25">
      <c r="A60" s="146" t="str">
        <f>HYPERLINK("#'Constants - Common'!A1", "Constants - Common")</f>
        <v>Constants - Common</v>
      </c>
      <c r="D60" s="36"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6"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30" t="s">
        <v>37</v>
      </c>
      <c r="E63" s="30" t="s">
        <v>38</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37</v>
      </c>
      <c r="E89" s="30" t="s">
        <v>39</v>
      </c>
      <c r="F89" s="30" t="s">
        <v>40</v>
      </c>
      <c r="G89" s="30" t="s">
        <v>41</v>
      </c>
      <c r="H89" s="30" t="s">
        <v>42</v>
      </c>
      <c r="I89" s="30" t="s">
        <v>43</v>
      </c>
      <c r="J89" s="30" t="s">
        <v>44</v>
      </c>
      <c r="K89" s="30" t="s">
        <v>45</v>
      </c>
      <c r="L89" s="30" t="s">
        <v>46</v>
      </c>
      <c r="M89" s="30" t="s">
        <v>47</v>
      </c>
      <c r="N89" s="30" t="s">
        <v>48</v>
      </c>
      <c r="O89" s="30" t="s">
        <v>49</v>
      </c>
      <c r="P89" s="30" t="s">
        <v>50</v>
      </c>
      <c r="Q89" s="30" t="s">
        <v>51</v>
      </c>
      <c r="R89" s="30" t="s">
        <v>52</v>
      </c>
      <c r="S89" s="30" t="s">
        <v>53</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54</v>
      </c>
      <c r="E109" s="30" t="s">
        <v>39</v>
      </c>
      <c r="F109" s="30" t="s">
        <v>55</v>
      </c>
      <c r="G109" s="30" t="s">
        <v>56</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57</v>
      </c>
      <c r="E119" s="30" t="s">
        <v>58</v>
      </c>
      <c r="F119" s="30" t="s">
        <v>46</v>
      </c>
      <c r="G119" s="30" t="s">
        <v>47</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59</v>
      </c>
      <c r="E127" s="30" t="s">
        <v>60</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61</v>
      </c>
      <c r="E134" t="s">
        <v>62</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63</v>
      </c>
      <c r="E142" s="30" t="s">
        <v>62</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64</v>
      </c>
      <c r="E153" s="30" t="s">
        <v>65</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66</v>
      </c>
      <c r="E186" s="30" t="s">
        <v>67</v>
      </c>
      <c r="F186" s="30" t="s">
        <v>68</v>
      </c>
      <c r="G186" s="30" t="s">
        <v>69</v>
      </c>
      <c r="H186" s="30" t="s">
        <v>70</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37</v>
      </c>
      <c r="E206" s="30" t="s">
        <v>71</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72</v>
      </c>
      <c r="E212" s="30" t="s">
        <v>73</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74</v>
      </c>
      <c r="E231" s="30" t="s">
        <v>75</v>
      </c>
      <c r="F231" s="37" t="s">
        <v>76</v>
      </c>
      <c r="G231" s="30" t="s">
        <v>77</v>
      </c>
      <c r="H231" s="30" t="s">
        <v>78</v>
      </c>
      <c r="I231" s="30" t="s">
        <v>79</v>
      </c>
      <c r="J231" s="30" t="s">
        <v>80</v>
      </c>
      <c r="K231" s="30" t="s">
        <v>81</v>
      </c>
      <c r="L231" s="30" t="s">
        <v>82</v>
      </c>
      <c r="M231" s="30" t="s">
        <v>83</v>
      </c>
      <c r="N231" s="30" t="s">
        <v>84</v>
      </c>
      <c r="O231" s="30" t="s">
        <v>85</v>
      </c>
      <c r="P231" s="30" t="s">
        <v>86</v>
      </c>
      <c r="Q231" s="30" t="s">
        <v>87</v>
      </c>
      <c r="R231" s="30" t="s">
        <v>88</v>
      </c>
      <c r="S231" s="30" t="s">
        <v>89</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90</v>
      </c>
      <c r="E257" s="30" t="s">
        <v>91</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E3145-25FD-4538-9AEE-19CEEE954BE6}">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46"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FF001-73C2-48E1-90D2-88F7833449D0}">
  <sheetPr>
    <tabColor theme="5" tint="-0.249977111117893"/>
  </sheetPr>
  <dimension ref="A1:L38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873</v>
      </c>
    </row>
    <row r="6" spans="1:10" ht="20.100000000000001" customHeight="1" x14ac:dyDescent="0.25"/>
    <row r="7" spans="1:10" ht="20.100000000000001" customHeight="1" x14ac:dyDescent="0.25">
      <c r="D7" s="46" t="s">
        <v>747</v>
      </c>
      <c r="E7" s="49"/>
    </row>
    <row r="8" spans="1:10" ht="20.100000000000001" customHeight="1" x14ac:dyDescent="0.25">
      <c r="A8" s="7" t="s">
        <v>0</v>
      </c>
    </row>
    <row r="9" spans="1:10" ht="20.100000000000001" customHeight="1" x14ac:dyDescent="0.25">
      <c r="A9" s="5" t="str">
        <f>HYPERLINK("#'Input - Enterprise'!A1", "Enterprise")</f>
        <v>Enterprise</v>
      </c>
      <c r="D9" s="96" t="s">
        <v>748</v>
      </c>
      <c r="E9" s="96" t="s">
        <v>874</v>
      </c>
      <c r="F9" s="96" t="s">
        <v>875</v>
      </c>
      <c r="G9" s="96" t="s">
        <v>876</v>
      </c>
      <c r="H9" s="96" t="s">
        <v>877</v>
      </c>
      <c r="I9" s="96" t="s">
        <v>878</v>
      </c>
    </row>
    <row r="10" spans="1:10" ht="20.100000000000001" customHeight="1" x14ac:dyDescent="0.25">
      <c r="A10" s="5" t="str">
        <f>HYPERLINK("#'Input - Site'!A1", "Site")</f>
        <v>Site</v>
      </c>
      <c r="D10" s="30" t="s">
        <v>879</v>
      </c>
      <c r="E10" s="23" t="s">
        <v>880</v>
      </c>
      <c r="F10" s="23" t="s">
        <v>881</v>
      </c>
      <c r="G10" s="23" t="s">
        <v>882</v>
      </c>
      <c r="H10" s="86">
        <v>50</v>
      </c>
      <c r="I10" s="23" t="s">
        <v>25</v>
      </c>
    </row>
    <row r="11" spans="1:10" ht="20.100000000000001" customHeight="1" x14ac:dyDescent="0.25">
      <c r="A11" s="5" t="str">
        <f>HYPERLINK("#'Input - Dairy'!A1", "Dairy")</f>
        <v>Dairy</v>
      </c>
      <c r="D11" s="30" t="s">
        <v>883</v>
      </c>
      <c r="E11" s="23" t="s">
        <v>880</v>
      </c>
      <c r="F11" s="23" t="s">
        <v>881</v>
      </c>
      <c r="G11" s="23" t="s">
        <v>884</v>
      </c>
      <c r="H11" s="86">
        <v>50</v>
      </c>
      <c r="I11" s="23" t="s">
        <v>885</v>
      </c>
    </row>
    <row r="12" spans="1:10" ht="20.100000000000001" customHeight="1" x14ac:dyDescent="0.25">
      <c r="A12" s="5" t="str">
        <f>HYPERLINK("#'Input - Dairy (Enteric)'!A1", "Dairy (Enteric)")</f>
        <v>Dairy (Enteric)</v>
      </c>
      <c r="D12" s="30" t="s">
        <v>886</v>
      </c>
      <c r="E12" s="23" t="s">
        <v>880</v>
      </c>
      <c r="F12" s="23" t="s">
        <v>887</v>
      </c>
      <c r="G12" s="23" t="s">
        <v>882</v>
      </c>
      <c r="H12" s="86">
        <v>50</v>
      </c>
      <c r="I12" s="23" t="s">
        <v>25</v>
      </c>
    </row>
    <row r="13" spans="1:10" ht="20.100000000000001" customHeight="1" x14ac:dyDescent="0.25">
      <c r="A13" s="5" t="str">
        <f>HYPERLINK("#'Input - Livestock sales'!A1", "Livestock sales")</f>
        <v>Livestock sales</v>
      </c>
      <c r="D13" s="30" t="s">
        <v>888</v>
      </c>
      <c r="E13" s="23" t="s">
        <v>880</v>
      </c>
      <c r="F13" s="23" t="s">
        <v>887</v>
      </c>
      <c r="G13" s="23" t="s">
        <v>884</v>
      </c>
      <c r="H13" s="86">
        <v>50</v>
      </c>
      <c r="I13" s="23" t="s">
        <v>885</v>
      </c>
    </row>
    <row r="14" spans="1:10" ht="20.100000000000001" customHeight="1" x14ac:dyDescent="0.25">
      <c r="A14" s="5" t="str">
        <f>HYPERLINK("#'Input - Dairy cattle purchases'!A1", "Dairy cattle purchases")</f>
        <v>Dairy cattle purchases</v>
      </c>
      <c r="D14" s="30" t="s">
        <v>889</v>
      </c>
      <c r="E14" s="23" t="s">
        <v>890</v>
      </c>
      <c r="F14" s="23" t="s">
        <v>887</v>
      </c>
      <c r="G14" s="23" t="s">
        <v>882</v>
      </c>
      <c r="H14" s="86">
        <v>50</v>
      </c>
      <c r="I14" s="23" t="s">
        <v>25</v>
      </c>
    </row>
    <row r="15" spans="1:10" ht="20.100000000000001" customHeight="1" x14ac:dyDescent="0.25">
      <c r="A15" s="5" t="str">
        <f>HYPERLINK("#'Input - Pasture'!A1", "Pasture")</f>
        <v>Pasture</v>
      </c>
      <c r="D15" s="30" t="s">
        <v>891</v>
      </c>
      <c r="E15" s="23" t="s">
        <v>890</v>
      </c>
      <c r="F15" s="23" t="s">
        <v>887</v>
      </c>
      <c r="G15" s="23" t="s">
        <v>882</v>
      </c>
      <c r="H15" s="86">
        <v>50</v>
      </c>
      <c r="I15" s="23" t="s">
        <v>885</v>
      </c>
    </row>
    <row r="16" spans="1:10" ht="20.100000000000001" customHeight="1" x14ac:dyDescent="0.25">
      <c r="A16" s="5" t="str">
        <f>HYPERLINK("#'Input - Fert Prod System'!A1", "Fert Prod System")</f>
        <v>Fert Prod System</v>
      </c>
      <c r="D16" s="30" t="s">
        <v>892</v>
      </c>
      <c r="E16" s="23" t="s">
        <v>890</v>
      </c>
      <c r="F16" s="23" t="s">
        <v>887</v>
      </c>
      <c r="G16" s="23" t="s">
        <v>884</v>
      </c>
      <c r="H16" s="86">
        <v>50</v>
      </c>
      <c r="I16" s="23" t="s">
        <v>25</v>
      </c>
    </row>
    <row r="17" spans="1:11" ht="20.100000000000001" customHeight="1" x14ac:dyDescent="0.25">
      <c r="A17" s="5" t="str">
        <f>HYPERLINK("#'Input - Fertiliser'!A1", "Fertiliser")</f>
        <v>Fertiliser</v>
      </c>
      <c r="D17" s="30" t="s">
        <v>893</v>
      </c>
      <c r="E17" s="23" t="s">
        <v>890</v>
      </c>
      <c r="F17" s="23" t="s">
        <v>887</v>
      </c>
      <c r="G17" s="23" t="s">
        <v>884</v>
      </c>
      <c r="H17" s="86">
        <v>50</v>
      </c>
      <c r="I17" s="23" t="s">
        <v>885</v>
      </c>
    </row>
    <row r="18" spans="1:11" ht="20.100000000000001" customHeight="1" x14ac:dyDescent="0.25">
      <c r="A18" s="5" t="str">
        <f>HYPERLINK("#'Input - Fuel'!A1", "Fuel")</f>
        <v>Fuel</v>
      </c>
      <c r="D18" s="30" t="s">
        <v>894</v>
      </c>
      <c r="E18" s="23" t="s">
        <v>890</v>
      </c>
      <c r="F18" s="23" t="s">
        <v>881</v>
      </c>
      <c r="G18" s="23" t="s">
        <v>882</v>
      </c>
      <c r="H18" s="86">
        <v>50</v>
      </c>
      <c r="I18" s="23" t="s">
        <v>25</v>
      </c>
    </row>
    <row r="19" spans="1:11" ht="20.100000000000001" customHeight="1" x14ac:dyDescent="0.25">
      <c r="A19" s="5" t="str">
        <f>HYPERLINK("#'Input - Electricity'!A1", "Electricity")</f>
        <v>Electricity</v>
      </c>
      <c r="D19" s="30" t="s">
        <v>895</v>
      </c>
      <c r="E19" s="23" t="s">
        <v>890</v>
      </c>
      <c r="F19" s="23" t="s">
        <v>881</v>
      </c>
      <c r="G19" s="23" t="s">
        <v>882</v>
      </c>
      <c r="H19" s="86">
        <v>50</v>
      </c>
      <c r="I19" s="23" t="s">
        <v>885</v>
      </c>
    </row>
    <row r="20" spans="1:11" ht="20.100000000000001" customHeight="1" x14ac:dyDescent="0.25">
      <c r="A20" s="5" t="str">
        <f>HYPERLINK("#'Input - Farm Inputs'!A1", "Farm Inputs")</f>
        <v>Farm Inputs</v>
      </c>
      <c r="D20" s="30" t="s">
        <v>896</v>
      </c>
      <c r="E20" s="23" t="s">
        <v>890</v>
      </c>
      <c r="F20" s="23" t="s">
        <v>881</v>
      </c>
      <c r="G20" s="23" t="s">
        <v>884</v>
      </c>
      <c r="H20" s="86">
        <v>50</v>
      </c>
      <c r="I20" s="23" t="s">
        <v>25</v>
      </c>
    </row>
    <row r="21" spans="1:11" ht="20.100000000000001" customHeight="1" x14ac:dyDescent="0.25">
      <c r="A21" s="5" t="str">
        <f>HYPERLINK("#'Input - Freight'!A1", "Freight")</f>
        <v>Freight</v>
      </c>
      <c r="D21" s="30" t="s">
        <v>897</v>
      </c>
      <c r="E21" s="23" t="s">
        <v>890</v>
      </c>
      <c r="F21" s="23" t="s">
        <v>881</v>
      </c>
      <c r="G21" s="23" t="s">
        <v>884</v>
      </c>
      <c r="H21" s="86">
        <v>50</v>
      </c>
      <c r="I21" s="23" t="s">
        <v>885</v>
      </c>
    </row>
    <row r="22" spans="1:11" ht="20.100000000000001" customHeight="1" x14ac:dyDescent="0.25">
      <c r="A22" s="5" t="str">
        <f>HYPERLINK("#'Input - Manure sent off-site'!A1", "Manure sent off-site")</f>
        <v>Manure sent off-site</v>
      </c>
      <c r="D22" s="30" t="s">
        <v>898</v>
      </c>
      <c r="E22" s="23" t="s">
        <v>890</v>
      </c>
      <c r="F22" s="23" t="s">
        <v>899</v>
      </c>
      <c r="G22" s="23" t="s">
        <v>882</v>
      </c>
      <c r="H22" s="86">
        <v>50</v>
      </c>
      <c r="I22" s="23" t="s">
        <v>25</v>
      </c>
    </row>
    <row r="23" spans="1:11" ht="20.100000000000001" customHeight="1" x14ac:dyDescent="0.25">
      <c r="A23" s="97" t="str">
        <f>HYPERLINK("#'Input - Solid waste'!A1", "Solid waste")</f>
        <v>Solid waste</v>
      </c>
      <c r="D23" s="30" t="s">
        <v>900</v>
      </c>
      <c r="E23" s="23" t="s">
        <v>890</v>
      </c>
      <c r="F23" s="23" t="s">
        <v>899</v>
      </c>
      <c r="G23" s="23" t="s">
        <v>882</v>
      </c>
      <c r="H23" s="86">
        <v>50</v>
      </c>
      <c r="I23" s="23" t="s">
        <v>885</v>
      </c>
    </row>
    <row r="24" spans="1:11" ht="20.100000000000001" customHeight="1" x14ac:dyDescent="0.25">
      <c r="D24" s="30" t="s">
        <v>901</v>
      </c>
      <c r="E24" s="23" t="s">
        <v>890</v>
      </c>
      <c r="F24" s="23" t="s">
        <v>899</v>
      </c>
      <c r="G24" s="23" t="s">
        <v>884</v>
      </c>
      <c r="H24" s="86">
        <v>50</v>
      </c>
      <c r="I24" s="23" t="s">
        <v>25</v>
      </c>
    </row>
    <row r="25" spans="1:11" ht="20.100000000000001" customHeight="1" x14ac:dyDescent="0.25">
      <c r="D25" s="30" t="s">
        <v>902</v>
      </c>
      <c r="E25" s="23" t="s">
        <v>890</v>
      </c>
      <c r="F25" s="23" t="s">
        <v>899</v>
      </c>
      <c r="G25" s="23" t="s">
        <v>884</v>
      </c>
      <c r="H25" s="86">
        <v>50</v>
      </c>
      <c r="I25" s="23" t="s">
        <v>885</v>
      </c>
    </row>
    <row r="26" spans="1:11" ht="20.100000000000001" customHeight="1" x14ac:dyDescent="0.25">
      <c r="A26" s="6" t="s">
        <v>2</v>
      </c>
      <c r="D26" s="30" t="s">
        <v>903</v>
      </c>
      <c r="E26" s="23" t="s">
        <v>904</v>
      </c>
      <c r="F26" s="23" t="s">
        <v>881</v>
      </c>
      <c r="G26" s="23" t="s">
        <v>884</v>
      </c>
      <c r="H26" s="86">
        <v>50</v>
      </c>
      <c r="I26" s="23" t="s">
        <v>25</v>
      </c>
    </row>
    <row r="27" spans="1:11" ht="20.100000000000001" customHeight="1" x14ac:dyDescent="0.25">
      <c r="A27" s="5" t="str">
        <f>HYPERLINK("#'5.1.1.1-2 Inorganic fert N2O'!A1", "5.1.1.1-2 Inorganic fert N2O")</f>
        <v>5.1.1.1-2 Inorganic fert N2O</v>
      </c>
      <c r="D27" s="30" t="s">
        <v>905</v>
      </c>
      <c r="E27" s="23" t="s">
        <v>904</v>
      </c>
      <c r="F27" s="23" t="s">
        <v>881</v>
      </c>
      <c r="G27" s="23" t="s">
        <v>884</v>
      </c>
      <c r="H27" s="86">
        <v>50</v>
      </c>
      <c r="I27" s="23" t="s">
        <v>885</v>
      </c>
    </row>
    <row r="28" spans="1:11" ht="20.100000000000001" customHeight="1" x14ac:dyDescent="0.25">
      <c r="A28" s="5" t="str">
        <f>HYPERLINK("#'5.1.1.3-4 Inorganic fert CO2'!A1", "5.1.1.3-4 Inorganic fert CO2")</f>
        <v>5.1.1.3-4 Inorganic fert CO2</v>
      </c>
      <c r="D28" s="30" t="s">
        <v>906</v>
      </c>
      <c r="E28" s="23" t="s">
        <v>904</v>
      </c>
      <c r="F28" s="23" t="s">
        <v>899</v>
      </c>
      <c r="G28" s="23" t="s">
        <v>884</v>
      </c>
      <c r="H28" s="86">
        <v>50</v>
      </c>
      <c r="I28" s="23" t="s">
        <v>25</v>
      </c>
    </row>
    <row r="29" spans="1:11" ht="20.100000000000001" customHeight="1" x14ac:dyDescent="0.25">
      <c r="A29" s="5" t="str">
        <f>HYPERLINK("#'5.2.1.1-2 Organic Fert N2O'!A1", "5.2.1.1-2 Organic fert N2O")</f>
        <v>5.2.1.1-2 Organic fert N2O</v>
      </c>
      <c r="D29" s="30" t="s">
        <v>907</v>
      </c>
      <c r="E29" s="23" t="s">
        <v>904</v>
      </c>
      <c r="F29" s="23" t="s">
        <v>899</v>
      </c>
      <c r="G29" s="23" t="s">
        <v>884</v>
      </c>
      <c r="H29" s="86">
        <v>50</v>
      </c>
      <c r="I29" s="23" t="s">
        <v>885</v>
      </c>
      <c r="K29" s="182"/>
    </row>
    <row r="30" spans="1:11" ht="20.100000000000001" customHeight="1" x14ac:dyDescent="0.25">
      <c r="A30" s="5" t="str">
        <f>HYPERLINK("#'5.3.1.1-2 Lime CO2'!A1", "5.3.1.1-2 Lime CO2")</f>
        <v>5.3.1.1-2 Lime CO2</v>
      </c>
      <c r="D30" s="30" t="s">
        <v>908</v>
      </c>
      <c r="E30" s="23" t="s">
        <v>904</v>
      </c>
      <c r="F30" s="23" t="s">
        <v>899</v>
      </c>
      <c r="G30" s="23" t="s">
        <v>882</v>
      </c>
      <c r="H30" s="86">
        <v>50</v>
      </c>
      <c r="I30" s="23" t="s">
        <v>25</v>
      </c>
      <c r="K30" s="182"/>
    </row>
    <row r="31" spans="1:11" ht="20.100000000000001" customHeight="1" x14ac:dyDescent="0.25">
      <c r="A31" s="5" t="str">
        <f>HYPERLINK("#'5.4.1.1-4 Atmos deposition'!A1", "5.4.1.1-4 Atmos. deposition")</f>
        <v>5.4.1.1-4 Atmos. deposition</v>
      </c>
      <c r="D31" s="30" t="s">
        <v>909</v>
      </c>
      <c r="E31" s="23" t="s">
        <v>904</v>
      </c>
      <c r="F31" s="23" t="s">
        <v>899</v>
      </c>
      <c r="G31" s="23" t="s">
        <v>882</v>
      </c>
      <c r="H31" s="86">
        <v>50</v>
      </c>
      <c r="I31" s="23" t="s">
        <v>885</v>
      </c>
      <c r="K31" s="182"/>
    </row>
    <row r="32" spans="1:11" ht="20.100000000000001" customHeight="1" x14ac:dyDescent="0.25">
      <c r="A32" s="5" t="str">
        <f>HYPERLINK("#'5.5.1.1-2 Leaching and runoff'!A1", "5.5.1.1-2 Leaching &amp; runoff")</f>
        <v>5.5.1.1-2 Leaching &amp; runoff</v>
      </c>
      <c r="D32" s="30" t="s">
        <v>907</v>
      </c>
      <c r="E32" s="23" t="s">
        <v>904</v>
      </c>
      <c r="F32" s="23" t="s">
        <v>899</v>
      </c>
      <c r="G32" s="23" t="s">
        <v>884</v>
      </c>
      <c r="H32" s="86">
        <v>50</v>
      </c>
      <c r="I32" s="23" t="s">
        <v>885</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2"/>
    </row>
    <row r="37" spans="1:12" ht="20.100000000000001" customHeight="1" x14ac:dyDescent="0.25">
      <c r="A37" s="5" t="str">
        <f>HYPERLINK("#'14.1.1-2 Purchased electricity'!A1", "14.1.1-2 Purchased electricity")</f>
        <v>14.1.1-2 Purchased electricity</v>
      </c>
      <c r="L37" s="182"/>
    </row>
    <row r="38" spans="1:12" ht="20.100000000000001" customHeight="1" x14ac:dyDescent="0.25">
      <c r="A38" s="5" t="str">
        <f>HYPERLINK("#'15 Scope 3'!A1", "15 Scope 3")</f>
        <v>15 Scope 3</v>
      </c>
      <c r="C38" s="167"/>
    </row>
    <row r="39" spans="1:12" ht="20.100000000000001" customHeight="1" x14ac:dyDescent="0.25">
      <c r="A39" s="5" t="str">
        <f>HYPERLINK("#'Calcs - Manure sent off-site'!A1", "Calcs - Manure sent off-site")</f>
        <v>Calcs - Manure sent off-site</v>
      </c>
      <c r="C39" s="167"/>
      <c r="J39" s="167"/>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c r="E41" s="1"/>
      <c r="F41" s="1"/>
      <c r="G41" s="1"/>
      <c r="H41" s="1"/>
      <c r="I41" s="1"/>
      <c r="J41" s="1"/>
      <c r="L41" s="182" t="s">
        <v>482</v>
      </c>
    </row>
    <row r="42" spans="1:12" ht="20.100000000000001" customHeight="1" x14ac:dyDescent="0.25">
      <c r="A42" s="5" t="str">
        <f>HYPERLINK("#'4.3.1.5 Atmos deposition'!A1", "4.3.1.5 Atmos deposition")</f>
        <v>4.3.1.5 Atmos deposition</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4"/>
    </row>
    <row r="74" spans="4:4" ht="20.100000000000001" customHeight="1" x14ac:dyDescent="0.25"/>
    <row r="75" spans="4:4" ht="20.100000000000001" customHeight="1" x14ac:dyDescent="0.25">
      <c r="D75" s="204"/>
    </row>
    <row r="76" spans="4:4" ht="20.100000000000001" customHeight="1" x14ac:dyDescent="0.25">
      <c r="D76" s="2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0130E90-C31E-4753-8620-498F8F192BCA}">
      <formula1>INDIRECT("Table_WasteTypes_" &amp; SUBSTITUTE(E10, " ", "") &amp; "[Waste type w]")</formula1>
    </dataValidation>
    <dataValidation type="list" allowBlank="1" showInputMessage="1" showErrorMessage="1" sqref="I10:I32" xr:uid="{0CB61B18-FEF1-4C17-9599-60CA8C274D4B}">
      <formula1>"tonnes, cubic metres m3"</formula1>
    </dataValidation>
    <dataValidation type="list" allowBlank="1" showInputMessage="1" showErrorMessage="1" sqref="G10:G32" xr:uid="{A016744F-C908-4DD7-91E0-7F499629A2E4}">
      <formula1>"Treated on-site, Removed and treated off-site"</formula1>
    </dataValidation>
    <dataValidation type="list" allowBlank="1" showInputMessage="1" showErrorMessage="1" sqref="E10:E32" xr:uid="{931FEC9C-225F-4D48-B3AE-61BE0241AD7C}">
      <formula1>INDIRECT(_xlfn.UNIQUE("Table_SourceData_WasteSolid_WasteTreatmentEFs[Treatment type t]"))</formula1>
    </dataValidation>
    <dataValidation type="list" allowBlank="1" showInputMessage="1" showErrorMessage="1" sqref="E35" xr:uid="{B3B46660-D516-438F-851C-4831F701A789}">
      <formula1>INDIRECT("Table_SourceData_ElectricityEFs[State, Territory or grid description]")</formula1>
    </dataValidation>
    <dataValidation type="list" allowBlank="1" showInputMessage="1" showErrorMessage="1" sqref="E89" xr:uid="{F94EF14C-4FF8-4046-8B8B-7852FFB68D16}">
      <formula1>INDIRECT("Table_SourceData_Swine_IrrigationMethods[Irrigation method]")</formula1>
    </dataValidation>
    <dataValidation type="list" allowBlank="1" showInputMessage="1" showErrorMessage="1" sqref="E273 E278 E283 E317 E312 E307 E185 E173 E149 E161" xr:uid="{21E46664-60CA-4B2D-BFC7-38483B13D4BF}">
      <formula1>"Yes, No"</formula1>
    </dataValidation>
    <dataValidation type="list" allowBlank="1" showInputMessage="1" showErrorMessage="1" sqref="E249" xr:uid="{BD755F96-AC8B-430F-A803-1EC203A9F95A}">
      <formula1>INDIRECT("Table_SourceData_Dairy_ProductionSystemTemplates[Area]")</formula1>
    </dataValidation>
    <dataValidation type="list" allowBlank="1" showInputMessage="1" showErrorMessage="1" sqref="D301" xr:uid="{73076D25-0DA4-4CA0-866A-D619234CB06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BDF49-88E5-4F54-8589-4A881523A78F}">
  <dimension ref="A1:W305"/>
  <sheetViews>
    <sheetView showGridLines="0" topLeftCell="A21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256</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8" t="s">
        <v>258</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259</v>
      </c>
      <c r="O16" s="120" t="s">
        <v>260</v>
      </c>
    </row>
    <row r="17" spans="1:23" ht="20.100000000000001" customHeight="1" x14ac:dyDescent="0.25">
      <c r="A17" s="5" t="str">
        <f>HYPERLINK("#'Input - Fertiliser'!A1", "Fertiliser")</f>
        <v>Fertiliser</v>
      </c>
      <c r="D17" s="121" t="s">
        <v>261</v>
      </c>
      <c r="O17" s="121" t="s">
        <v>262</v>
      </c>
    </row>
    <row r="18" spans="1:23" ht="20.100000000000001" customHeight="1" x14ac:dyDescent="0.25">
      <c r="A18" s="5" t="str">
        <f>HYPERLINK("#'Input - Fuel'!A1", "Fuel")</f>
        <v>Fuel</v>
      </c>
      <c r="D18" s="96" t="s">
        <v>208</v>
      </c>
      <c r="E18" s="96" t="s">
        <v>209</v>
      </c>
      <c r="F18" s="96" t="s">
        <v>210</v>
      </c>
      <c r="G18" s="96" t="s">
        <v>211</v>
      </c>
      <c r="H18" s="96" t="s">
        <v>212</v>
      </c>
      <c r="O18" s="96" t="s">
        <v>208</v>
      </c>
      <c r="P18" s="96" t="s">
        <v>209</v>
      </c>
      <c r="Q18" s="96" t="s">
        <v>210</v>
      </c>
      <c r="R18" s="96" t="s">
        <v>211</v>
      </c>
      <c r="S18" s="96" t="s">
        <v>212</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263</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264</v>
      </c>
      <c r="O21" s="120" t="s">
        <v>265</v>
      </c>
    </row>
    <row r="22" spans="1:23" ht="20.100000000000001" customHeight="1" x14ac:dyDescent="0.25">
      <c r="A22" s="5" t="str">
        <f>HYPERLINK("#'Input - Manure sent off-site'!A1", "Manure sent off-site")</f>
        <v>Manure sent off-site</v>
      </c>
      <c r="D22" s="121" t="s">
        <v>266</v>
      </c>
      <c r="O22" s="121" t="s">
        <v>267</v>
      </c>
    </row>
    <row r="23" spans="1:23" ht="20.100000000000001" customHeight="1" x14ac:dyDescent="0.25">
      <c r="A23" s="5" t="str">
        <f>HYPERLINK("#'Input - Solid waste'!A1", "Solid waste")</f>
        <v>Solid waste</v>
      </c>
      <c r="D23" s="122" t="s">
        <v>208</v>
      </c>
      <c r="E23" s="122" t="s">
        <v>209</v>
      </c>
      <c r="F23" s="122" t="s">
        <v>210</v>
      </c>
      <c r="G23" s="122" t="s">
        <v>211</v>
      </c>
      <c r="H23" s="122" t="s">
        <v>212</v>
      </c>
      <c r="O23" s="122" t="s">
        <v>208</v>
      </c>
      <c r="P23" s="122" t="s">
        <v>209</v>
      </c>
      <c r="Q23" s="122" t="s">
        <v>210</v>
      </c>
      <c r="R23" s="122" t="s">
        <v>211</v>
      </c>
      <c r="S23" s="122" t="s">
        <v>212</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O37" s="118" t="str" cm="1">
        <f t="array" ref="O37:P40">_xlfn.CHOOSECOLS(EntericMethane_Dairy_Equations.VEERG_3_3_1_1__5_MilkProductionFromMilkSolids_Arguments_Method2(),1,2)</f>
        <v>MPU</v>
      </c>
      <c r="P37" s="123" t="str">
        <v>milk production unit</v>
      </c>
      <c r="Q37" s="124"/>
      <c r="R37" s="118" t="str" cm="1">
        <f t="array" ref="R37:S40">_xlfn.CHOOSECOLS(EntericMethane_Dairy_Equations.VEERG_3_3_1_1__5_MilkProductionFromMilkSolids_Arguments_Method2(),3,4)</f>
        <v/>
      </c>
      <c r="S37" s="119" t="str">
        <v>Input</v>
      </c>
      <c r="T37" s="118"/>
    </row>
    <row r="38" spans="1:20"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O38" s="118" t="str">
        <v>MS_j</v>
      </c>
      <c r="P38" s="123" t="str">
        <v>daily production of milk solids</v>
      </c>
      <c r="Q38" s="124"/>
      <c r="R38" s="118" t="str">
        <v>kg MS/head/day</v>
      </c>
      <c r="S38" s="119" t="str">
        <v>Input</v>
      </c>
      <c r="T38" s="125"/>
    </row>
    <row r="39" spans="1:20"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O39" s="118" t="str">
        <v>FC_j</v>
      </c>
      <c r="P39" s="123" t="str">
        <v>fat content in fat and protein corrected milk</v>
      </c>
      <c r="Q39" s="124"/>
      <c r="R39" s="118" t="str">
        <v>per cent</v>
      </c>
      <c r="S39" s="119" t="str">
        <v>Input</v>
      </c>
      <c r="T39" s="118">
        <f>INDEX(X_Table_Dairy_MilkSolidAttributes,2,3)*100</f>
        <v>4</v>
      </c>
    </row>
    <row r="40" spans="1:20" ht="20.100000000000001" customHeight="1" x14ac:dyDescent="0.25">
      <c r="A40" s="117"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O40" s="118" t="str">
        <v>PC_j</v>
      </c>
      <c r="P40" s="118" t="str">
        <v>protein content in fat and protein corrected milk</v>
      </c>
      <c r="Q40" s="118"/>
      <c r="R40" s="118" t="str">
        <v>per cent</v>
      </c>
      <c r="S40" s="119" t="str">
        <v>Input</v>
      </c>
      <c r="T40" s="118">
        <f>INDEX(X_Table_Dairy_MilkSolidAttributes,3,3)*100</f>
        <v>3.3000000000000003</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20" t="s">
        <v>268</v>
      </c>
    </row>
    <row r="43" spans="1:20" ht="20.100000000000001" customHeight="1" x14ac:dyDescent="0.25">
      <c r="A43" s="5" t="str">
        <f>HYPERLINK("#'4.3.1.6-7 Leaching and runoff'!A1", "4.3.1.6-7 Leaching and runoff")</f>
        <v>4.3.1.6-7 Leaching and runoff</v>
      </c>
      <c r="D43" s="121" t="s">
        <v>269</v>
      </c>
    </row>
    <row r="44" spans="1:20"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20"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c r="D47" s="120" t="s">
        <v>270</v>
      </c>
      <c r="O47" s="120" t="s">
        <v>271</v>
      </c>
    </row>
    <row r="48" spans="1:20" ht="20.100000000000001" customHeight="1" x14ac:dyDescent="0.25">
      <c r="A48" s="5" t="str">
        <f>HYPERLINK("#'3.3.1.1-2 Enteric Methane'!A1", "3.3.1.1-2 Enteric Methane")</f>
        <v>3.3.1.1-2 Enteric Methane</v>
      </c>
      <c r="D48" s="121" t="s">
        <v>272</v>
      </c>
      <c r="O48" s="121" t="s">
        <v>273</v>
      </c>
    </row>
    <row r="49" spans="1:23"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O49" s="122" t="s">
        <v>208</v>
      </c>
      <c r="P49" s="122" t="s">
        <v>209</v>
      </c>
      <c r="Q49" s="122" t="s">
        <v>210</v>
      </c>
      <c r="R49" s="122" t="s">
        <v>211</v>
      </c>
      <c r="S49" s="122" t="s">
        <v>212</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274</v>
      </c>
      <c r="O50" s="25" cm="1">
        <f t="array" ref="O50">EntericMethane_Dairy_Equations.VEERG_3_3_1_1__5_MilkProductionFromMilkSolids(D45,$T$39,$T$40)</f>
        <v>0</v>
      </c>
      <c r="P50" s="25">
        <v>0</v>
      </c>
      <c r="Q50" s="25">
        <v>0</v>
      </c>
      <c r="R50" s="25">
        <v>0</v>
      </c>
      <c r="S50" s="25">
        <v>0</v>
      </c>
      <c r="T50" s="26" t="s">
        <v>274</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16" t="s">
        <v>257</v>
      </c>
      <c r="E56" s="116"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8" t="s">
        <v>258</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8" t="s">
        <v>127</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18" t="str" cm="1">
        <f t="array" ref="D62:E68">_xlfn.CHOOSECOLS(EntericMethane_Dairy_Equations.VEERG_3_3_1_1__4_AdditionalIntakeForMilkProduction_Arguments(), 1,2)</f>
        <v>MPU</v>
      </c>
      <c r="E62" s="123" t="str">
        <v>input milk production unit</v>
      </c>
      <c r="F62" s="124"/>
      <c r="G62" s="118" t="str" cm="1">
        <f t="array" ref="G62:H68">_xlfn.CHOOSECOLS(EntericMethane_Dairy_Equations.VEERG_3_3_1_1__4_AdditionalIntakeForMilkProduction_Arguments(), 3,4)</f>
        <v/>
      </c>
      <c r="H62" s="119" t="str">
        <v>Input</v>
      </c>
      <c r="I62" s="118" t="str">
        <f>X_Cell_Dairy_MilkProductionUnit</f>
        <v>Litres of milk</v>
      </c>
    </row>
    <row r="63" spans="1:23" ht="20.100000000000001" customHeight="1" x14ac:dyDescent="0.25">
      <c r="D63" s="118" t="str">
        <v>MP_j</v>
      </c>
      <c r="E63" s="123" t="str">
        <v>milk production (if input as litres of milk)</v>
      </c>
      <c r="F63" s="124"/>
      <c r="G63" s="118" t="str">
        <v>L/head/day</v>
      </c>
      <c r="H63" s="126" t="str">
        <v>Input</v>
      </c>
      <c r="I63" s="125" t="str" cm="1">
        <f t="array" aca="1" ref="I63" ca="1">HYPERLINK(Common_InputFunctions.Utility_SourceHyperlink($D$71), $D$71)</f>
        <v>Table_MP_j</v>
      </c>
    </row>
    <row r="64" spans="1:23" ht="20.100000000000001" customHeight="1" x14ac:dyDescent="0.25">
      <c r="D64" s="118" t="str">
        <v>MP_j</v>
      </c>
      <c r="E64" s="123" t="str">
        <v>milk production (if input as milk solids)</v>
      </c>
      <c r="F64" s="124"/>
      <c r="G64" s="118" t="str">
        <v>L/head/day</v>
      </c>
      <c r="H64" s="126" t="str">
        <v>Calculated from 3.3.1.1 (5)</v>
      </c>
      <c r="I64" s="125" t="str" cm="1">
        <f t="array" aca="1" ref="I64" ca="1">HYPERLINK(Common_InputFunctions.Utility_SourceHyperlink($D$47),$D$47)</f>
        <v>M1_Table_MP_j_from_solids</v>
      </c>
    </row>
    <row r="65" spans="4:22" ht="20.100000000000001" customHeight="1" x14ac:dyDescent="0.25">
      <c r="D65" s="118" t="str">
        <v>NE</v>
      </c>
      <c r="E65" s="123" t="str">
        <v>net energy</v>
      </c>
      <c r="F65" s="124"/>
      <c r="G65" s="118" t="str">
        <v>MJ net energy/kg milk</v>
      </c>
      <c r="H65" s="126" t="str">
        <v>Constant</v>
      </c>
      <c r="I65" s="118">
        <f>SourceData_Dairy_NetEnergy_Data</f>
        <v>3.0539999999999998</v>
      </c>
    </row>
    <row r="66" spans="4:22" ht="20.100000000000001" customHeight="1" x14ac:dyDescent="0.25">
      <c r="D66" s="118" t="str">
        <v>GEC</v>
      </c>
      <c r="E66" s="123" t="str">
        <v>gross energy content</v>
      </c>
      <c r="F66" s="124"/>
      <c r="G66" s="118" t="str">
        <v>MJ/kgDM</v>
      </c>
      <c r="H66" s="126" t="str">
        <v>Constant</v>
      </c>
      <c r="I66" s="118">
        <f>SourceData_Dairy_GrossEnergyContent_Data</f>
        <v>18.399999999999999</v>
      </c>
    </row>
    <row r="67" spans="4:22" ht="20.100000000000001" customHeight="1" x14ac:dyDescent="0.25">
      <c r="D67" s="118" t="str">
        <v>k</v>
      </c>
      <c r="E67" s="118" t="str">
        <v>efficiency of metabolizable energy use for milk production</v>
      </c>
      <c r="F67" s="118"/>
      <c r="G67" s="118" t="str">
        <v>fraction</v>
      </c>
      <c r="H67" s="126" t="str">
        <v>Constant</v>
      </c>
      <c r="I67" s="118">
        <f>SourceData_Dairy_EfficiencyOfUseOfMetabolizableEnergy_Data</f>
        <v>0.6</v>
      </c>
    </row>
    <row r="68" spans="4:22" ht="20.100000000000001" customHeight="1" x14ac:dyDescent="0.25">
      <c r="D68" s="118" t="str">
        <v>qm_j</v>
      </c>
      <c r="E68" s="123" t="str">
        <v>metabolisability of the diet</v>
      </c>
      <c r="F68" s="124"/>
      <c r="G68" s="118" t="str">
        <v>fraction</v>
      </c>
      <c r="H68" s="126" t="str">
        <v>Calculated from 3.3.1.1 (6)</v>
      </c>
      <c r="I68" s="125"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20" t="s">
        <v>275</v>
      </c>
    </row>
    <row r="72" spans="4:22" ht="20.100000000000001" customHeight="1" x14ac:dyDescent="0.25">
      <c r="D72" s="121" t="s">
        <v>226</v>
      </c>
    </row>
    <row r="73" spans="4:22" ht="20.100000000000001" customHeight="1" x14ac:dyDescent="0.25">
      <c r="D73" s="96" t="s">
        <v>208</v>
      </c>
      <c r="E73" s="96" t="s">
        <v>209</v>
      </c>
      <c r="F73" s="96" t="s">
        <v>210</v>
      </c>
      <c r="G73" s="96" t="s">
        <v>211</v>
      </c>
      <c r="H73" s="96" t="s">
        <v>212</v>
      </c>
    </row>
    <row r="74" spans="4:22" ht="20.100000000000001" customHeight="1" x14ac:dyDescent="0.25">
      <c r="D74" s="25">
        <f>IF(I62="Milk solids", 0, X_Cell_Dairy_MilkProductionAmount)</f>
        <v>20</v>
      </c>
      <c r="E74" s="25">
        <v>0</v>
      </c>
      <c r="F74" s="25">
        <v>0</v>
      </c>
      <c r="G74" s="25">
        <v>0</v>
      </c>
      <c r="H74" s="25">
        <v>0</v>
      </c>
      <c r="I74" s="26" t="s">
        <v>274</v>
      </c>
      <c r="J74" s="26"/>
      <c r="K74" s="26"/>
    </row>
    <row r="75" spans="4:22" ht="20.100000000000001" customHeight="1" x14ac:dyDescent="0.25"/>
    <row r="76" spans="4:22" ht="20.100000000000001" customHeight="1" x14ac:dyDescent="0.25">
      <c r="D76" s="120" t="s">
        <v>276</v>
      </c>
      <c r="O76" s="120" t="s">
        <v>277</v>
      </c>
    </row>
    <row r="77" spans="4:22" ht="20.100000000000001" customHeight="1" x14ac:dyDescent="0.25">
      <c r="D77" s="121" t="s">
        <v>278</v>
      </c>
      <c r="O77" s="121" t="s">
        <v>279</v>
      </c>
    </row>
    <row r="78" spans="4:22" ht="20.100000000000001" customHeight="1" x14ac:dyDescent="0.25">
      <c r="D78" s="122" t="s">
        <v>208</v>
      </c>
      <c r="E78" s="122" t="s">
        <v>209</v>
      </c>
      <c r="F78" s="122" t="s">
        <v>210</v>
      </c>
      <c r="G78" s="122" t="s">
        <v>211</v>
      </c>
      <c r="H78" s="122" t="s">
        <v>212</v>
      </c>
      <c r="O78" s="122" t="s">
        <v>208</v>
      </c>
      <c r="P78" s="122" t="s">
        <v>209</v>
      </c>
      <c r="Q78" s="122" t="s">
        <v>210</v>
      </c>
      <c r="R78" s="122" t="s">
        <v>211</v>
      </c>
      <c r="S78" s="122" t="s">
        <v>212</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6" t="s">
        <v>257</v>
      </c>
      <c r="E85" s="116"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8" t="s">
        <v>258</v>
      </c>
      <c r="E88" s="1" t="str" cm="1">
        <f t="array" ref="E88">EntericMethane_Dairy_Equations.VEERG_3_3_1_1__3_DryMatterFeedIntake_Variable()</f>
        <v>I_j</v>
      </c>
    </row>
    <row r="89" spans="3:23" ht="20.100000000000001" customHeight="1" x14ac:dyDescent="0.25">
      <c r="D89" s="88" t="s">
        <v>127</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18" t="str" cm="1">
        <f t="array" ref="D91:E94">_xlfn.CHOOSECOLS(EntericMethane_Dairy_Equations.VEERG_3_3_1_1__3_DryMatterFeedIntake_Arguments(),1,2)</f>
        <v>W_j</v>
      </c>
      <c r="E91" s="123" t="str">
        <v>liveweight</v>
      </c>
      <c r="F91" s="124"/>
      <c r="G91" s="118" t="str" cm="1">
        <f t="array" ref="G91:H94">_xlfn.CHOOSECOLS(EntericMethane_Dairy_Equations.VEERG_3_3_1_1__3_DryMatterFeedIntake_Arguments(),3,4)</f>
        <v>kg</v>
      </c>
      <c r="H91" s="119" t="str">
        <v>Input</v>
      </c>
      <c r="I91" s="125" t="str" cm="1">
        <f t="array" aca="1" ref="I91" ca="1">HYPERLINK(Common_InputFunctions.Utility_SourceHyperlink($D$96), $D$96)</f>
        <v>M1_Table_W_j</v>
      </c>
    </row>
    <row r="92" spans="3:23" ht="20.100000000000001" customHeight="1" x14ac:dyDescent="0.25">
      <c r="D92" s="118" t="str">
        <v>LWG_j</v>
      </c>
      <c r="E92" s="123" t="str">
        <v>liveweight gain</v>
      </c>
      <c r="F92" s="124"/>
      <c r="G92" s="118" t="str">
        <v>kg/head/day</v>
      </c>
      <c r="H92" s="119" t="str">
        <v>Input</v>
      </c>
      <c r="I92" s="125" t="str" cm="1">
        <f t="array" aca="1" ref="I92" ca="1">HYPERLINK(Common_InputFunctions.Utility_SourceHyperlink($D$101), $D$101)</f>
        <v>M1_Table_LWG_j</v>
      </c>
    </row>
    <row r="93" spans="3:23" ht="20.100000000000001" customHeight="1" x14ac:dyDescent="0.25">
      <c r="D93" s="118" t="str">
        <v>MR_j</v>
      </c>
      <c r="E93" s="123" t="str">
        <v>increase in metabolic rate when producing milk</v>
      </c>
      <c r="F93" s="124"/>
      <c r="G93" s="118" t="str">
        <v>fraction</v>
      </c>
      <c r="H93" s="126" t="str">
        <v>Constant</v>
      </c>
      <c r="I93" s="125" t="str" cm="1">
        <f t="array" aca="1" ref="I93" ca="1">HYPERLINK(Common_InputFunctions.Utility_SourceHyperlink($D$106), $D$106)</f>
        <v>Table_MR_j</v>
      </c>
    </row>
    <row r="94" spans="3:23" ht="20.100000000000001" customHeight="1" x14ac:dyDescent="0.25">
      <c r="D94" s="118" t="str">
        <v>MI_j</v>
      </c>
      <c r="E94" s="123" t="str">
        <v>additional intake required for milk production</v>
      </c>
      <c r="F94" s="124"/>
      <c r="G94" s="118" t="str">
        <v>kg DM/head/day</v>
      </c>
      <c r="H94" s="126" t="str">
        <v>Calculated from 3.3.1.1 (4)</v>
      </c>
      <c r="I94" s="125" t="str" cm="1">
        <f t="array" aca="1" ref="I94" ca="1">HYPERLINK(Common_InputFunctions.Utility_SourceHyperlink($D$76), $D$76)</f>
        <v>M1_Table_MI_j</v>
      </c>
    </row>
    <row r="95" spans="3:23" ht="20.100000000000001" customHeight="1" x14ac:dyDescent="0.25"/>
    <row r="96" spans="3:23" ht="20.100000000000001" customHeight="1" x14ac:dyDescent="0.25">
      <c r="D96" s="120" t="s">
        <v>280</v>
      </c>
      <c r="O96" s="120" t="s">
        <v>281</v>
      </c>
    </row>
    <row r="97" spans="4:22" ht="20.100000000000001" customHeight="1" x14ac:dyDescent="0.25">
      <c r="D97" s="121" t="s">
        <v>282</v>
      </c>
      <c r="O97" s="121" t="s">
        <v>283</v>
      </c>
    </row>
    <row r="98" spans="4:22" ht="20.100000000000001" customHeight="1" x14ac:dyDescent="0.25">
      <c r="D98" s="96" t="s">
        <v>208</v>
      </c>
      <c r="E98" s="96" t="s">
        <v>209</v>
      </c>
      <c r="F98" s="96" t="s">
        <v>210</v>
      </c>
      <c r="G98" s="96" t="s">
        <v>211</v>
      </c>
      <c r="H98" s="96" t="s">
        <v>212</v>
      </c>
      <c r="O98" s="96" t="s">
        <v>208</v>
      </c>
      <c r="P98" s="96" t="s">
        <v>209</v>
      </c>
      <c r="Q98" s="96" t="s">
        <v>210</v>
      </c>
      <c r="R98" s="96" t="s">
        <v>211</v>
      </c>
      <c r="S98" s="96" t="s">
        <v>212</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217</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217</v>
      </c>
      <c r="U99" s="26"/>
      <c r="V99" s="26"/>
    </row>
    <row r="100" spans="4:22" ht="20.100000000000001" customHeight="1" x14ac:dyDescent="0.25"/>
    <row r="101" spans="4:22" ht="20.100000000000001" customHeight="1" x14ac:dyDescent="0.25">
      <c r="D101" s="120" t="s">
        <v>284</v>
      </c>
      <c r="O101" s="120" t="s">
        <v>285</v>
      </c>
    </row>
    <row r="102" spans="4:22" ht="20.100000000000001" customHeight="1" x14ac:dyDescent="0.25">
      <c r="D102" s="121" t="s">
        <v>286</v>
      </c>
      <c r="O102" s="121" t="s">
        <v>287</v>
      </c>
    </row>
    <row r="103" spans="4:22" ht="20.100000000000001" customHeight="1" x14ac:dyDescent="0.25">
      <c r="D103" s="96" t="s">
        <v>208</v>
      </c>
      <c r="E103" s="96" t="s">
        <v>209</v>
      </c>
      <c r="F103" s="96" t="s">
        <v>210</v>
      </c>
      <c r="G103" s="96" t="s">
        <v>211</v>
      </c>
      <c r="H103" s="96" t="s">
        <v>212</v>
      </c>
      <c r="O103" s="96" t="s">
        <v>208</v>
      </c>
      <c r="P103" s="96" t="s">
        <v>209</v>
      </c>
      <c r="Q103" s="96" t="s">
        <v>210</v>
      </c>
      <c r="R103" s="96" t="s">
        <v>211</v>
      </c>
      <c r="S103" s="96" t="s">
        <v>212</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219</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219</v>
      </c>
      <c r="U104" s="26"/>
      <c r="V104" s="26"/>
    </row>
    <row r="105" spans="4:22" ht="20.100000000000001" customHeight="1" x14ac:dyDescent="0.25"/>
    <row r="106" spans="4:22" ht="20.100000000000001" customHeight="1" x14ac:dyDescent="0.25">
      <c r="D106" s="120" t="s">
        <v>288</v>
      </c>
    </row>
    <row r="107" spans="4:22" ht="20.100000000000001" customHeight="1" x14ac:dyDescent="0.25">
      <c r="D107" s="121" t="s">
        <v>289</v>
      </c>
    </row>
    <row r="108" spans="4:22" ht="20.100000000000001" customHeight="1" x14ac:dyDescent="0.25">
      <c r="D108" s="122" t="s">
        <v>208</v>
      </c>
      <c r="E108" s="122" t="s">
        <v>209</v>
      </c>
      <c r="F108" s="122" t="s">
        <v>210</v>
      </c>
      <c r="G108" s="122" t="s">
        <v>211</v>
      </c>
      <c r="H108" s="122" t="s">
        <v>212</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224</v>
      </c>
      <c r="J109" s="26"/>
      <c r="K109" s="26"/>
    </row>
    <row r="110" spans="4:22" ht="20.100000000000001" customHeight="1" x14ac:dyDescent="0.25"/>
    <row r="111" spans="4:22" ht="20.100000000000001" customHeight="1" x14ac:dyDescent="0.25">
      <c r="D111" s="120" t="s">
        <v>290</v>
      </c>
      <c r="O111" s="120" t="s">
        <v>291</v>
      </c>
    </row>
    <row r="112" spans="4:22" ht="20.100000000000001" customHeight="1" x14ac:dyDescent="0.25">
      <c r="D112" s="121" t="s">
        <v>292</v>
      </c>
      <c r="O112" s="121" t="s">
        <v>293</v>
      </c>
    </row>
    <row r="113" spans="3:23" ht="20.100000000000001" customHeight="1" x14ac:dyDescent="0.25">
      <c r="D113" s="122" t="s">
        <v>208</v>
      </c>
      <c r="E113" s="122" t="s">
        <v>209</v>
      </c>
      <c r="F113" s="122" t="s">
        <v>210</v>
      </c>
      <c r="G113" s="122" t="s">
        <v>211</v>
      </c>
      <c r="H113" s="122" t="s">
        <v>212</v>
      </c>
      <c r="O113" s="122" t="s">
        <v>208</v>
      </c>
      <c r="P113" s="122" t="s">
        <v>209</v>
      </c>
      <c r="Q113" s="122" t="s">
        <v>210</v>
      </c>
      <c r="R113" s="122" t="s">
        <v>211</v>
      </c>
      <c r="S113" s="122" t="s">
        <v>212</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6" t="s">
        <v>257</v>
      </c>
      <c r="E120" s="116"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8" t="s">
        <v>258</v>
      </c>
      <c r="E123" s="1" t="str" cm="1">
        <f t="array" ref="E123">MMS_Dairy_Methane_Equations.VEERG_4_3_1_1__3_VolatileSolidsForWeanedDairyCattle_Variable()</f>
        <v>VS_j</v>
      </c>
    </row>
    <row r="124" spans="3:23" ht="20.100000000000001" customHeight="1" x14ac:dyDescent="0.25">
      <c r="D124" s="88" t="s">
        <v>127</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18" t="str" cm="1">
        <f t="array" ref="D126:E128">_xlfn.CHOOSECOLS(MMS_Dairy_Methane_Equations.VEERG_4_3_1_1__3_VolatileSolidsForWeanedDairyCattle_Arguments(), 1,2)</f>
        <v>I_j</v>
      </c>
      <c r="E126" s="123" t="str">
        <v>dry matter feed intake (kgDM/head/day)</v>
      </c>
      <c r="F126" s="124"/>
      <c r="G126" s="118" t="str" cm="1">
        <f t="array" ref="G126:H128">_xlfn.CHOOSECOLS(MMS_Dairy_Methane_Equations.VEERG_4_3_1_1__3_VolatileSolidsForWeanedDairyCattle_Arguments(), 3,4)</f>
        <v>kgDM/head/day</v>
      </c>
      <c r="H126" s="126" t="str">
        <v>Calculated from 3.3.1.1 (3)</v>
      </c>
      <c r="I126" s="125" t="str" cm="1">
        <f t="array" aca="1" ref="I126" ca="1">HYPERLINK(Common_InputFunctions.Utility_SourceHyperlink($D$111), $D$111)</f>
        <v>M1_Table_I_j</v>
      </c>
    </row>
    <row r="127" spans="3:23" ht="20.100000000000001" customHeight="1" x14ac:dyDescent="0.25">
      <c r="D127" s="118" t="str">
        <v>DMD_j</v>
      </c>
      <c r="E127" s="123" t="str">
        <v>dry matter digestibility</v>
      </c>
      <c r="F127" s="124"/>
      <c r="G127" s="118" t="str">
        <v>fraction</v>
      </c>
      <c r="H127" s="119" t="str">
        <v>Input</v>
      </c>
      <c r="I127" s="125" t="str" cm="1">
        <f t="array" aca="1" ref="I127" ca="1">HYPERLINK(Common_InputFunctions.Utility_SourceHyperlink($D$16), $D$16)</f>
        <v>M1_Table_DMD_j</v>
      </c>
    </row>
    <row r="128" spans="3:23" ht="20.100000000000001" customHeight="1" x14ac:dyDescent="0.25">
      <c r="D128" s="118" t="str">
        <v>A</v>
      </c>
      <c r="E128" s="123" t="str">
        <v>ash content of feed intake</v>
      </c>
      <c r="F128" s="124"/>
      <c r="G128" s="118" t="str">
        <v>fraction</v>
      </c>
      <c r="H128" s="126" t="str">
        <v>Constant</v>
      </c>
      <c r="I128" s="118">
        <f>SourceData_Dairy_AshContent_Data</f>
        <v>0.08</v>
      </c>
    </row>
    <row r="129" spans="3:23" ht="20.100000000000001" customHeight="1" x14ac:dyDescent="0.25"/>
    <row r="130" spans="3:23" ht="20.100000000000001" customHeight="1" x14ac:dyDescent="0.25">
      <c r="D130" s="120" t="s">
        <v>294</v>
      </c>
      <c r="O130" s="120" t="s">
        <v>295</v>
      </c>
    </row>
    <row r="131" spans="3:23" ht="20.100000000000001" customHeight="1" x14ac:dyDescent="0.25">
      <c r="D131" s="121" t="s">
        <v>296</v>
      </c>
      <c r="O131" s="121" t="s">
        <v>297</v>
      </c>
    </row>
    <row r="132" spans="3:23" ht="20.100000000000001" customHeight="1" x14ac:dyDescent="0.25">
      <c r="D132" s="122" t="s">
        <v>208</v>
      </c>
      <c r="E132" s="122" t="s">
        <v>209</v>
      </c>
      <c r="F132" s="122" t="s">
        <v>210</v>
      </c>
      <c r="G132" s="122" t="s">
        <v>211</v>
      </c>
      <c r="H132" s="122" t="s">
        <v>212</v>
      </c>
      <c r="O132" s="122" t="s">
        <v>208</v>
      </c>
      <c r="P132" s="122" t="s">
        <v>209</v>
      </c>
      <c r="Q132" s="122" t="s">
        <v>210</v>
      </c>
      <c r="R132" s="122" t="s">
        <v>211</v>
      </c>
      <c r="S132" s="122" t="s">
        <v>212</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6"/>
    </row>
    <row r="139" spans="3:23" ht="20.100000000000001" customHeight="1" x14ac:dyDescent="0.25">
      <c r="D139" s="116" t="s">
        <v>257</v>
      </c>
      <c r="E139" s="116"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8" t="s">
        <v>258</v>
      </c>
      <c r="E142" s="1" t="str" cm="1">
        <f t="array" ref="E142">MMS_Dairy_Methane_Equations.VEERG_4_3_1_1__4_FractionVolatileSolidsNotSolidStorage_Variable()</f>
        <v>FVS_jm</v>
      </c>
    </row>
    <row r="143" spans="3:23" ht="20.100000000000001" customHeight="1" x14ac:dyDescent="0.25">
      <c r="D143" s="88" t="s">
        <v>127</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18" t="str" cm="1">
        <f t="array" ref="D145:E146">_xlfn.CHOOSECOLS(MMS_Dairy_Methane_Equations.VEERG_4_3_1_1__4_FractionVolatileSolidsNotSolidStorage_Arguments(),1,2)</f>
        <v>MMS_jm</v>
      </c>
      <c r="E145" s="118" t="str">
        <v>fraction of manure to each primary MMS for each class prior to solid separation</v>
      </c>
      <c r="F145" s="118"/>
      <c r="G145" s="118" t="str" cm="1">
        <f t="array" ref="G145:H146">_xlfn.CHOOSECOLS(MMS_Dairy_Methane_Equations.VEERG_4_3_1_1__4_FractionVolatileSolidsNotSolidStorage_Arguments(),3,4)</f>
        <v>fraction</v>
      </c>
      <c r="H145" s="119" t="str">
        <v>Input</v>
      </c>
      <c r="I145" s="125" t="str" cm="1">
        <f t="array" aca="1" ref="I145" ca="1">HYPERLINK(Common_InputFunctions.Utility_SourceHyperlink($D$148),$D$148)</f>
        <v>M1_Table_MMS_j_m</v>
      </c>
    </row>
    <row r="146" spans="4:22" ht="20.100000000000001" customHeight="1" x14ac:dyDescent="0.25">
      <c r="D146" s="118" t="str">
        <v>SS_m</v>
      </c>
      <c r="E146" s="118" t="str">
        <v>fraction of volatile solids separated to solid storage for each MMS</v>
      </c>
      <c r="F146" s="118"/>
      <c r="G146" s="118" t="str">
        <v>fraction</v>
      </c>
      <c r="H146" s="119" t="str">
        <v>Input</v>
      </c>
      <c r="I146" s="125" t="str" cm="1">
        <f t="array" aca="1" ref="I146" ca="1">HYPERLINK(Common_InputFunctions.Utility_SourceHyperlink($D$159),$D$159)</f>
        <v>M1_Table_SS_m</v>
      </c>
    </row>
    <row r="147" spans="4:22" ht="20.100000000000001" customHeight="1" x14ac:dyDescent="0.25"/>
    <row r="148" spans="4:22" ht="20.100000000000001" customHeight="1" x14ac:dyDescent="0.25">
      <c r="D148" s="120" t="s">
        <v>298</v>
      </c>
      <c r="O148" s="120" t="s">
        <v>299</v>
      </c>
    </row>
    <row r="149" spans="4:22" ht="20.100000000000001" customHeight="1" x14ac:dyDescent="0.25">
      <c r="D149" s="121" t="s">
        <v>300</v>
      </c>
      <c r="O149" s="121" t="s">
        <v>301</v>
      </c>
    </row>
    <row r="150" spans="4:22" ht="20.100000000000001" customHeight="1" x14ac:dyDescent="0.25">
      <c r="D150" s="96" t="s">
        <v>182</v>
      </c>
      <c r="E150" s="96" t="s">
        <v>302</v>
      </c>
      <c r="F150" s="96" t="s">
        <v>208</v>
      </c>
      <c r="G150" s="96" t="s">
        <v>209</v>
      </c>
      <c r="H150" s="96" t="s">
        <v>210</v>
      </c>
      <c r="I150" s="96" t="s">
        <v>211</v>
      </c>
      <c r="J150" s="96" t="s">
        <v>212</v>
      </c>
      <c r="O150" s="96" t="s">
        <v>182</v>
      </c>
      <c r="P150" s="96" t="s">
        <v>302</v>
      </c>
      <c r="Q150" s="96" t="s">
        <v>208</v>
      </c>
      <c r="R150" s="96" t="s">
        <v>209</v>
      </c>
      <c r="S150" s="96" t="s">
        <v>210</v>
      </c>
      <c r="T150" s="96" t="s">
        <v>211</v>
      </c>
      <c r="U150" s="96" t="s">
        <v>212</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0" t="s">
        <v>303</v>
      </c>
      <c r="O159" s="120" t="s">
        <v>304</v>
      </c>
    </row>
    <row r="160" spans="4:22" ht="20.100000000000001" customHeight="1" x14ac:dyDescent="0.25">
      <c r="D160" s="121" t="s">
        <v>305</v>
      </c>
      <c r="O160" s="121" t="s">
        <v>306</v>
      </c>
    </row>
    <row r="161" spans="4:22" ht="20.100000000000001" customHeight="1" x14ac:dyDescent="0.25">
      <c r="D161" s="96" t="s">
        <v>182</v>
      </c>
      <c r="E161" s="96" t="s">
        <v>302</v>
      </c>
      <c r="F161" s="96" t="s">
        <v>307</v>
      </c>
      <c r="O161" s="96" t="s">
        <v>182</v>
      </c>
      <c r="P161" s="96" t="s">
        <v>302</v>
      </c>
      <c r="Q161" s="96" t="s">
        <v>307</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0" t="s">
        <v>308</v>
      </c>
      <c r="O170" s="120" t="s">
        <v>308</v>
      </c>
    </row>
    <row r="171" spans="4:22" ht="20.100000000000001" customHeight="1" x14ac:dyDescent="0.25">
      <c r="D171" s="121" t="s">
        <v>309</v>
      </c>
      <c r="O171" s="121" t="s">
        <v>310</v>
      </c>
    </row>
    <row r="172" spans="4:22" ht="20.100000000000001" customHeight="1" x14ac:dyDescent="0.25">
      <c r="D172" s="122" t="s">
        <v>182</v>
      </c>
      <c r="E172" s="122" t="s">
        <v>302</v>
      </c>
      <c r="F172" s="122" t="s">
        <v>208</v>
      </c>
      <c r="G172" s="122" t="s">
        <v>209</v>
      </c>
      <c r="H172" s="122" t="s">
        <v>210</v>
      </c>
      <c r="I172" s="122" t="s">
        <v>211</v>
      </c>
      <c r="J172" s="122" t="s">
        <v>212</v>
      </c>
      <c r="O172" s="122" t="s">
        <v>182</v>
      </c>
      <c r="P172" s="122" t="s">
        <v>302</v>
      </c>
      <c r="Q172" s="122" t="s">
        <v>208</v>
      </c>
      <c r="R172" s="122" t="s">
        <v>209</v>
      </c>
      <c r="S172" s="122" t="s">
        <v>210</v>
      </c>
      <c r="T172" s="122" t="s">
        <v>211</v>
      </c>
      <c r="U172" s="122" t="s">
        <v>212</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7"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6" t="str" cm="1">
        <f t="array" ref="D185">MMS_Dairy_Methane_Equations.VEERG_4_3_1_1__5_FractionVolatileSolidsSolidStorage_Variation()</f>
        <v>Used separate variables for MMS and SS m 1, 7 and 9.</v>
      </c>
    </row>
    <row r="186" spans="1:23" ht="20.100000000000001" customHeight="1" x14ac:dyDescent="0.25">
      <c r="D186" s="116" t="s">
        <v>257</v>
      </c>
      <c r="E186" s="116"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8" t="s">
        <v>258</v>
      </c>
      <c r="E189" s="1" t="str" cm="1">
        <f t="array" ref="E189">MMS_Dairy_Methane_Equations.VEERG_4_3_1_1__5_FractionVolatileSolidsSolidStorage_Variable()</f>
        <v>FVS_jm4</v>
      </c>
    </row>
    <row r="190" spans="1:23" ht="20.100000000000001" customHeight="1" x14ac:dyDescent="0.25">
      <c r="D190" s="88" t="s">
        <v>127</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18" t="str" cm="1">
        <f t="array" ref="D192:E194">_xlfn.CHOOSECOLS(MMS_Dairy_Methane_Equations.VEERG_4_3_1_1__5_FractionVolatileSolidsSolidStorage_Arguments(),1,2)</f>
        <v>MMS_jm4</v>
      </c>
      <c r="E192" s="118" t="str">
        <v>fraction of volatile solids in solid storage before transfer</v>
      </c>
      <c r="F192" s="118"/>
      <c r="G192" s="118" t="str" cm="1">
        <f t="array" ref="G192:H194">_xlfn.CHOOSECOLS(MMS_Dairy_Methane_Equations.VEERG_4_3_1_1__5_FractionVolatileSolidsSolidStorage_Arguments(),3,4)</f>
        <v>fraction</v>
      </c>
      <c r="H192" s="119" t="str">
        <v>Input</v>
      </c>
      <c r="I192" s="125" t="str" cm="1">
        <f t="array" aca="1" ref="I192" ca="1">HYPERLINK(Common_InputFunctions.Utility_SourceHyperlink($D$196),$D$196)</f>
        <v>M1_Table_MMS_j_m-4</v>
      </c>
    </row>
    <row r="193" spans="4:22" ht="20.100000000000001" customHeight="1" x14ac:dyDescent="0.25">
      <c r="D193" s="118" t="str">
        <v>MMS_jm179</v>
      </c>
      <c r="E193" s="118" t="str">
        <v>fraction of volatile solids in MMS m=1,7,9 before transfer</v>
      </c>
      <c r="F193" s="118"/>
      <c r="G193" s="118" t="str">
        <v>fraction</v>
      </c>
      <c r="H193" s="119" t="str">
        <v>Input</v>
      </c>
      <c r="I193" s="125" t="str" cm="1">
        <f t="array" aca="1" ref="I193" ca="1">HYPERLINK(Common_InputFunctions.Utility_SourceHyperlink($D$148),$D$148)</f>
        <v>M1_Table_MMS_j_m</v>
      </c>
    </row>
    <row r="194" spans="4:22" ht="20.100000000000001" customHeight="1" x14ac:dyDescent="0.25">
      <c r="D194" s="118" t="str">
        <v>SS_m</v>
      </c>
      <c r="E194" s="118" t="str">
        <v>fraction of volatile solids separated to solid storage for each MMS</v>
      </c>
      <c r="F194" s="118"/>
      <c r="G194" s="118" t="str">
        <v>fraction</v>
      </c>
      <c r="H194" s="119" t="str">
        <v>Input</v>
      </c>
      <c r="I194" s="125" t="str" cm="1">
        <f t="array" aca="1" ref="I194" ca="1">HYPERLINK(Common_InputFunctions.Utility_SourceHyperlink($D$159),$D$159)</f>
        <v>M1_Table_SS_m</v>
      </c>
    </row>
    <row r="195" spans="4:22" ht="20.100000000000001" customHeight="1" x14ac:dyDescent="0.25"/>
    <row r="196" spans="4:22" ht="20.100000000000001" customHeight="1" x14ac:dyDescent="0.25">
      <c r="D196" s="120" t="s">
        <v>311</v>
      </c>
      <c r="O196" s="120" t="s">
        <v>312</v>
      </c>
    </row>
    <row r="197" spans="4:22" ht="20.100000000000001" customHeight="1" x14ac:dyDescent="0.25">
      <c r="D197" s="121" t="s">
        <v>313</v>
      </c>
      <c r="O197" s="121" t="s">
        <v>314</v>
      </c>
    </row>
    <row r="198" spans="4:22" ht="20.100000000000001" customHeight="1" x14ac:dyDescent="0.25">
      <c r="D198" s="96" t="s">
        <v>182</v>
      </c>
      <c r="E198" s="96" t="s">
        <v>302</v>
      </c>
      <c r="F198" s="96" t="s">
        <v>208</v>
      </c>
      <c r="G198" s="96" t="s">
        <v>209</v>
      </c>
      <c r="H198" s="96" t="s">
        <v>210</v>
      </c>
      <c r="I198" s="96" t="s">
        <v>211</v>
      </c>
      <c r="J198" s="96" t="s">
        <v>212</v>
      </c>
      <c r="O198" s="96" t="s">
        <v>182</v>
      </c>
      <c r="P198" s="96" t="s">
        <v>302</v>
      </c>
      <c r="Q198" s="96" t="s">
        <v>208</v>
      </c>
      <c r="R198" s="96" t="s">
        <v>209</v>
      </c>
      <c r="S198" s="96" t="s">
        <v>210</v>
      </c>
      <c r="T198" s="96" t="s">
        <v>211</v>
      </c>
      <c r="U198" s="96" t="s">
        <v>212</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224</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224</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224</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224</v>
      </c>
    </row>
    <row r="201" spans="4:22" ht="20.100000000000001" customHeight="1" x14ac:dyDescent="0.25"/>
    <row r="202" spans="4:22" ht="20.100000000000001" customHeight="1" x14ac:dyDescent="0.25">
      <c r="D202" s="120" t="s">
        <v>315</v>
      </c>
      <c r="O202" s="120" t="s">
        <v>316</v>
      </c>
    </row>
    <row r="203" spans="4:22" ht="20.100000000000001" customHeight="1" x14ac:dyDescent="0.25">
      <c r="D203" s="121" t="s">
        <v>317</v>
      </c>
      <c r="O203" s="121" t="s">
        <v>318</v>
      </c>
    </row>
    <row r="204" spans="4:22" ht="20.100000000000001" customHeight="1" x14ac:dyDescent="0.25">
      <c r="D204" s="122" t="s">
        <v>182</v>
      </c>
      <c r="E204" s="122" t="s">
        <v>302</v>
      </c>
      <c r="F204" s="122" t="s">
        <v>208</v>
      </c>
      <c r="G204" s="122" t="s">
        <v>209</v>
      </c>
      <c r="H204" s="122" t="s">
        <v>210</v>
      </c>
      <c r="I204" s="122" t="s">
        <v>211</v>
      </c>
      <c r="J204" s="122" t="s">
        <v>212</v>
      </c>
      <c r="O204" s="122" t="s">
        <v>182</v>
      </c>
      <c r="P204" s="122" t="s">
        <v>302</v>
      </c>
      <c r="Q204" s="122" t="s">
        <v>208</v>
      </c>
      <c r="R204" s="122" t="s">
        <v>209</v>
      </c>
      <c r="S204" s="122" t="s">
        <v>210</v>
      </c>
      <c r="T204" s="122" t="s">
        <v>211</v>
      </c>
      <c r="U204" s="122" t="s">
        <v>212</v>
      </c>
    </row>
    <row r="205" spans="4:22" ht="20.100000000000001" customHeight="1" x14ac:dyDescent="0.25">
      <c r="D205" s="25" t="str">
        <f>INDEX(X_Table_Dairy_ProductionSystems_Method1,3,1)</f>
        <v>Milking shed</v>
      </c>
      <c r="E205" s="25" t="s">
        <v>81</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81</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81</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81</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6" t="s">
        <v>257</v>
      </c>
      <c r="E212" s="116"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8" t="s">
        <v>258</v>
      </c>
      <c r="E215" s="1" t="str" cm="1">
        <f t="array" ref="E215">MMS_Dairy_Methane_Equations.VEERG_4_3_1_1__2_MethaneFromManureProduction_Variable()</f>
        <v>M_jm</v>
      </c>
    </row>
    <row r="216" spans="1:23" ht="20.100000000000001" customHeight="1" x14ac:dyDescent="0.25">
      <c r="D216" s="88" t="s">
        <v>127</v>
      </c>
      <c r="E216" s="15" t="str" cm="1">
        <f t="array" ref="E216">MMS_Dairy_Methane_Equations.VEERG_4_3_1_1__2_MethaneFromManureProduction_Unit()</f>
        <v>kg CH4/head/day</v>
      </c>
    </row>
    <row r="217" spans="1:23" ht="20.100000000000001" customHeight="1" x14ac:dyDescent="0.25">
      <c r="A217" s="127" t="str">
        <f>HYPERLINK("#A1", "▲ Back to top")</f>
        <v>▲ Back to top</v>
      </c>
    </row>
    <row r="218" spans="1:23" ht="20.100000000000001" customHeight="1" x14ac:dyDescent="0.25">
      <c r="D218" s="118" t="str" cm="1">
        <f t="array" ref="D218:E223">_xlfn.CHOOSECOLS(MMS_Dairy_Methane_Equations.VEERG_4_3_1_1__2_MethaneFromManureProduction_Arguments(),1,2)</f>
        <v>VS_j</v>
      </c>
      <c r="E218" s="123" t="str">
        <v>daily volatile solids production per head for dairy cattle (kg/head/day)</v>
      </c>
      <c r="F218" s="124"/>
      <c r="G218" s="118" t="str" cm="1">
        <f t="array" ref="G218:H223">_xlfn.CHOOSECOLS(MMS_Dairy_Methane_Equations.VEERG_4_3_1_1__2_MethaneFromManureProduction_Arguments(),3,4)</f>
        <v>kg/head/day</v>
      </c>
      <c r="H218" s="126" t="str">
        <v>Calculated from 4.3.1.1 (3)</v>
      </c>
      <c r="I218" s="125" t="str" cm="1">
        <f t="array" aca="1" ref="I218" ca="1">HYPERLINK(Common_InputFunctions.Utility_SourceHyperlink($D$130),$D$130)</f>
        <v>M1_Table_VS_j</v>
      </c>
      <c r="J218" s="118"/>
      <c r="O218" s="118" t="str" cm="1">
        <f t="array" ref="O218:P223">_xlfn.CHOOSECOLS(MMS_Dairy_Methane_Equations.VEERG_4_3_1_1__2_MethaneFromManureProduction_Arguments_Method2(),1,2)</f>
        <v>VS_j</v>
      </c>
      <c r="P218" s="123" t="str">
        <v>daily volatile solids production per head for dairy cattle (kg/head/day)</v>
      </c>
      <c r="Q218" s="124"/>
      <c r="R218" s="118" t="str" cm="1">
        <f t="array" ref="R218:S223">_xlfn.CHOOSECOLS(MMS_Dairy_Methane_Equations.VEERG_4_3_1_1__2_MethaneFromManureProduction_Arguments_Method2(),3,4)</f>
        <v>kg/head/day</v>
      </c>
      <c r="S218" s="126" t="str">
        <v>Calculated from 4.3.1.1 (3)</v>
      </c>
      <c r="T218" s="118"/>
    </row>
    <row r="219" spans="1:23" ht="20.100000000000001" customHeight="1" x14ac:dyDescent="0.25">
      <c r="D219" s="118" t="str">
        <v>FVS_jmT1</v>
      </c>
      <c r="E219" s="123" t="str">
        <v>fraction of waste from each class in each management system</v>
      </c>
      <c r="F219" s="124"/>
      <c r="G219" s="118" t="str">
        <v>fraction</v>
      </c>
      <c r="H219" s="126" t="str">
        <v>Calculated from 4.3.1.1 (4)(5)</v>
      </c>
      <c r="I219" s="125" t="str" cm="1">
        <f t="array" aca="1" ref="I219" ca="1">HYPERLINK(Common_InputFunctions.Utility_SourceHyperlink($D$170),$D$170)</f>
        <v>M1_Table_FVS_j_m</v>
      </c>
      <c r="J219" s="125" t="str" cm="1">
        <f t="array" aca="1" ref="J219" ca="1">HYPERLINK(Common_InputFunctions.Utility_SourceHyperlink($D$202),$D$202)</f>
        <v>M1_Table_FVS_j_m-4</v>
      </c>
      <c r="O219" s="118" t="str">
        <v>FVS_jmT1</v>
      </c>
      <c r="P219" s="123" t="str">
        <v>fraction of waste from each class in each management system</v>
      </c>
      <c r="Q219" s="124"/>
      <c r="R219" s="118" t="str">
        <v>fraction</v>
      </c>
      <c r="S219" s="126" t="str">
        <v>Calculated from 4.3.1.1 (4)(5)</v>
      </c>
      <c r="T219" s="118"/>
    </row>
    <row r="220" spans="1:23" ht="20.100000000000001" customHeight="1" x14ac:dyDescent="0.25">
      <c r="D220" s="118" t="str">
        <v>MCF_im</v>
      </c>
      <c r="E220" s="123" t="str">
        <v>methane conversion factor for temperature zone and MMS</v>
      </c>
      <c r="F220" s="124"/>
      <c r="G220" s="118" t="str">
        <v>fraction</v>
      </c>
      <c r="H220" s="126" t="str">
        <v>Constant</v>
      </c>
      <c r="I220" s="125" t="str" cm="1">
        <f t="array" aca="1" ref="I220" ca="1">HYPERLINK(Common_InputFunctions.Utility_SourceHyperlink($D$225),$D$225)</f>
        <v>M1_Table_MCF_i_m</v>
      </c>
      <c r="J220" s="118"/>
      <c r="O220" s="118" t="str">
        <v>MCF_im</v>
      </c>
      <c r="P220" s="123" t="str">
        <v>methane conversion factor for temperature zone and MMS</v>
      </c>
      <c r="Q220" s="124"/>
      <c r="R220" s="118" t="str">
        <v>fraction</v>
      </c>
      <c r="S220" s="126" t="str">
        <v>Constant</v>
      </c>
      <c r="T220" s="125" t="str" cm="1">
        <f t="array" aca="1" ref="T220" ca="1">HYPERLINK(Common_InputFunctions.Utility_SourceHyperlink($O$225),$O$225)</f>
        <v>M2_Table_MCF_i_m</v>
      </c>
    </row>
    <row r="221" spans="1:23" ht="20.100000000000001" customHeight="1" x14ac:dyDescent="0.25">
      <c r="D221" s="118" t="str">
        <v>B_o</v>
      </c>
      <c r="E221" s="123" t="str">
        <v>emissions potential (m3 CH4/kgVS)</v>
      </c>
      <c r="F221" s="124"/>
      <c r="G221" s="118" t="str">
        <v>m3 CH4/kgVS</v>
      </c>
      <c r="H221" s="126" t="str">
        <v>Constant</v>
      </c>
      <c r="I221" s="118">
        <f>SourceData_Dairy_MethaneEmissionsPotential_Data</f>
        <v>0.24</v>
      </c>
      <c r="J221" s="118"/>
      <c r="O221" s="118" t="str">
        <v>B_o</v>
      </c>
      <c r="P221" s="123" t="str">
        <v>emissions potential (m3 CH4/kgVS)</v>
      </c>
      <c r="Q221" s="124"/>
      <c r="R221" s="118" t="str">
        <v>m3 CH4/kgVS</v>
      </c>
      <c r="S221" s="126" t="str">
        <v>Constant</v>
      </c>
      <c r="T221" s="118"/>
    </row>
    <row r="222" spans="1:23" ht="20.100000000000001" customHeight="1" x14ac:dyDescent="0.25">
      <c r="D222" s="118" t="str">
        <v>rho</v>
      </c>
      <c r="E222" s="123" t="str">
        <v>density of methane (kg/m3)</v>
      </c>
      <c r="F222" s="124"/>
      <c r="G222" s="118" t="str">
        <v>kg/m3</v>
      </c>
      <c r="H222" s="126" t="str">
        <v>Constant</v>
      </c>
      <c r="I222" s="118">
        <f>Common_SourceData_DensityOfMethane_Data</f>
        <v>0.6784</v>
      </c>
      <c r="J222" s="118"/>
      <c r="O222" s="118" t="str">
        <v>rho</v>
      </c>
      <c r="P222" s="123" t="str">
        <v>density of methane (kg/m3)</v>
      </c>
      <c r="Q222" s="124"/>
      <c r="R222" s="118" t="str">
        <v>kg/m3</v>
      </c>
      <c r="S222" s="126" t="str">
        <v>Constant</v>
      </c>
      <c r="T222" s="118"/>
    </row>
    <row r="223" spans="1:23" ht="20.100000000000001" customHeight="1" x14ac:dyDescent="0.25">
      <c r="D223" s="118" t="str">
        <v>i</v>
      </c>
      <c r="E223" s="123" t="str">
        <v>state</v>
      </c>
      <c r="F223" s="124"/>
      <c r="G223" s="118" t="str">
        <v>state</v>
      </c>
      <c r="H223" s="119" t="str">
        <v>Input</v>
      </c>
      <c r="I223" s="118" t="str">
        <f>Common_InputFunctions.Utility_LookupValueInTable(X_Cell_Site_State, Table_AustralianStates[Common Name],Table_AustralianStates[Abbreviation])</f>
        <v>WA</v>
      </c>
      <c r="J223" s="118"/>
      <c r="O223" s="118" t="str">
        <v>MAT</v>
      </c>
      <c r="P223" s="123" t="str">
        <v>Mean annual temperature</v>
      </c>
      <c r="Q223" s="124"/>
      <c r="R223" s="118" t="str">
        <v>°C</v>
      </c>
      <c r="S223" s="119" t="str">
        <v>Input</v>
      </c>
      <c r="T223" s="118">
        <f>X_Cell_Site_AverageTemperature</f>
        <v>18</v>
      </c>
    </row>
    <row r="224" spans="1:23" ht="20.100000000000001" customHeight="1" x14ac:dyDescent="0.25"/>
    <row r="225" spans="4:22" ht="20.100000000000001" customHeight="1" x14ac:dyDescent="0.25">
      <c r="D225" s="128" t="s">
        <v>319</v>
      </c>
      <c r="O225" s="128" t="s">
        <v>320</v>
      </c>
    </row>
    <row r="226" spans="4:22" ht="20.100000000000001" customHeight="1" x14ac:dyDescent="0.25">
      <c r="D226" s="129" t="s">
        <v>321</v>
      </c>
      <c r="O226" s="129" t="s">
        <v>322</v>
      </c>
    </row>
    <row r="227" spans="4:22" ht="20.100000000000001" customHeight="1" x14ac:dyDescent="0.25">
      <c r="D227" s="122" t="s">
        <v>302</v>
      </c>
      <c r="E227" s="122" t="s">
        <v>323</v>
      </c>
      <c r="O227" s="122" t="s">
        <v>302</v>
      </c>
      <c r="P227" s="122" t="s">
        <v>323</v>
      </c>
    </row>
    <row r="228" spans="4:22" ht="20.100000000000001" customHeight="1" x14ac:dyDescent="0.25">
      <c r="D228" s="130"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0"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80" t="s">
        <v>324</v>
      </c>
      <c r="R228" s="80"/>
    </row>
    <row r="229" spans="4:22" ht="20.100000000000001" customHeight="1" x14ac:dyDescent="0.25">
      <c r="D229" s="130" t="str">
        <f>'Constants - Dairy'!$D$8</f>
        <v>Anaerobic lagoon</v>
      </c>
      <c r="E229" s="25" cm="1">
        <f t="array" ref="E229">CommonLivestock_InputFunctions.Livestock_LookupMCFState(D229,Table_SourceData_Dairy_MCFjm[NIR reference],$I$223,Table_SourceData_Dairy_MCFjm[#Headers],Table_SourceData_Dairy_MCFjm[#Data])</f>
        <v>0.76</v>
      </c>
      <c r="O229" s="130"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0"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0"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80" t="s">
        <v>325</v>
      </c>
      <c r="R230" s="80"/>
    </row>
    <row r="231" spans="4:22" ht="20.100000000000001" customHeight="1" x14ac:dyDescent="0.25">
      <c r="D231" s="130" t="str">
        <f>'Constants - Dairy'!$D$10</f>
        <v>Drains to paddock</v>
      </c>
      <c r="E231" s="25" cm="1">
        <f t="array" ref="E231">CommonLivestock_InputFunctions.Livestock_LookupMCFState(D231,Table_SourceData_Dairy_MCFjm[NIR reference],$I$223,Table_SourceData_Dairy_MCFjm[#Headers],Table_SourceData_Dairy_MCFjm[#Data])</f>
        <v>0.18</v>
      </c>
      <c r="O231" s="130"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80" t="s">
        <v>326</v>
      </c>
      <c r="R231" s="80"/>
    </row>
    <row r="232" spans="4:22" ht="20.100000000000001" customHeight="1" x14ac:dyDescent="0.25">
      <c r="D232" s="130" t="str">
        <f>'Constants - Dairy'!$D$11</f>
        <v>Solid storage</v>
      </c>
      <c r="E232" s="25" cm="1">
        <f t="array" ref="E232">CommonLivestock_InputFunctions.Livestock_LookupMCFState(D232,Table_SourceData_Dairy_MCFjm[NIR reference],$I$223,Table_SourceData_Dairy_MCFjm[#Headers],Table_SourceData_Dairy_MCFjm[#Data])</f>
        <v>0.02</v>
      </c>
      <c r="O232" s="130"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28" t="s">
        <v>327</v>
      </c>
      <c r="O234" s="128" t="s">
        <v>328</v>
      </c>
    </row>
    <row r="235" spans="4:22" ht="20.100000000000001" customHeight="1" x14ac:dyDescent="0.25">
      <c r="D235" s="129" t="s">
        <v>329</v>
      </c>
      <c r="O235" s="129" t="s">
        <v>330</v>
      </c>
    </row>
    <row r="236" spans="4:22" ht="20.100000000000001" customHeight="1" x14ac:dyDescent="0.25">
      <c r="D236" s="122" t="s">
        <v>182</v>
      </c>
      <c r="E236" s="122" t="s">
        <v>302</v>
      </c>
      <c r="F236" s="122" t="s">
        <v>208</v>
      </c>
      <c r="G236" s="122" t="s">
        <v>209</v>
      </c>
      <c r="H236" s="122" t="s">
        <v>210</v>
      </c>
      <c r="I236" s="122" t="s">
        <v>211</v>
      </c>
      <c r="J236" s="122" t="s">
        <v>212</v>
      </c>
      <c r="O236" s="122" t="s">
        <v>182</v>
      </c>
      <c r="P236" s="122" t="s">
        <v>302</v>
      </c>
      <c r="Q236" s="122" t="s">
        <v>208</v>
      </c>
      <c r="R236" s="122" t="s">
        <v>209</v>
      </c>
      <c r="S236" s="122" t="s">
        <v>210</v>
      </c>
      <c r="T236" s="122" t="s">
        <v>211</v>
      </c>
      <c r="U236" s="122" t="s">
        <v>212</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81</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81</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81</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81</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6" t="s">
        <v>257</v>
      </c>
      <c r="E252" s="116"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8" t="s">
        <v>258</v>
      </c>
      <c r="E255" s="1" t="str" cm="1">
        <f t="array" ref="E255">MMS_Dairy_Methane_Equations.VEERG_4_3_1_1__1_TotalAnnualMethaneFromManureManagement_Variable()</f>
        <v>E_CH4</v>
      </c>
    </row>
    <row r="256" spans="3:23" ht="20.100000000000001" customHeight="1" x14ac:dyDescent="0.25">
      <c r="D256" s="88" t="s">
        <v>127</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18" t="str" cm="1">
        <f t="array" ref="D258:E265">_xlfn.CHOOSECOLS(MMS_Dairy_Methane_Equations.VEERG_4_3_1_1__1_TotalAnnualMethaneFromManureManagement_Arguments(),1,2)</f>
        <v>N_j124</v>
      </c>
      <c r="E258" s="123" t="str">
        <v>number of dairy cattle in classes j=1,2,4</v>
      </c>
      <c r="F258" s="131"/>
      <c r="G258" s="124"/>
      <c r="H258" s="118" t="str" cm="1">
        <f t="array" ref="H258:I265">_xlfn.CHOOSECOLS(MMS_Dairy_Methane_Equations.VEERG_4_3_1_1__1_TotalAnnualMethaneFromManureManagement_Arguments(),3,4)</f>
        <v>head</v>
      </c>
      <c r="I258" s="119" t="str">
        <v>Input</v>
      </c>
      <c r="J258" s="125" t="str" cm="1">
        <f t="array" aca="1" ref="J258" ca="1">HYPERLINK(Common_InputFunctions.Utility_SourceHyperlink($D$267),$D$267)</f>
        <v>Table_N_j</v>
      </c>
    </row>
    <row r="259" spans="4:15" ht="20.100000000000001" customHeight="1" x14ac:dyDescent="0.25">
      <c r="D259" s="118" t="str">
        <v>M_j124m</v>
      </c>
      <c r="E259" s="123" t="str">
        <v>methane production from manure of weaned dairy cattle in classes j=1,2,4 in MMS m</v>
      </c>
      <c r="F259" s="131"/>
      <c r="G259" s="124"/>
      <c r="H259" s="118" t="str">
        <v>kg CH4/head/day</v>
      </c>
      <c r="I259" s="126" t="str">
        <v>Calculated from 4.3.1.1 (2)</v>
      </c>
      <c r="J259" s="125" t="str" cm="1">
        <f t="array" aca="1" ref="J259" ca="1">HYPERLINK(Common_InputFunctions.Utility_SourceHyperlink($D$234),$D$234)</f>
        <v>M1_M_j_m</v>
      </c>
    </row>
    <row r="260" spans="4:15" ht="20.100000000000001" customHeight="1" x14ac:dyDescent="0.25">
      <c r="D260" s="118" t="str">
        <v>D_j124</v>
      </c>
      <c r="E260" s="123" t="str">
        <v>duration of stay on farm for classes j=1,2,4</v>
      </c>
      <c r="F260" s="131"/>
      <c r="G260" s="124"/>
      <c r="H260" s="118" t="str">
        <v>days</v>
      </c>
      <c r="I260" s="119" t="str">
        <v>Input</v>
      </c>
      <c r="J260" s="125" t="str" cm="1">
        <f t="array" aca="1" ref="J260" ca="1">HYPERLINK(Common_InputFunctions.Utility_SourceHyperlink($D$272),$D$272)</f>
        <v>M1_Table_D_j</v>
      </c>
    </row>
    <row r="261" spans="4:15" ht="20.100000000000001" customHeight="1" x14ac:dyDescent="0.25">
      <c r="D261" s="118" t="str">
        <v>N_j35</v>
      </c>
      <c r="E261" s="123" t="str">
        <v>number of dairy cattle in classes j=3,5</v>
      </c>
      <c r="F261" s="131"/>
      <c r="G261" s="124"/>
      <c r="H261" s="118" t="str">
        <v>head</v>
      </c>
      <c r="I261" s="119" t="str">
        <v>Input</v>
      </c>
      <c r="J261" s="125" t="str" cm="1">
        <f t="array" aca="1" ref="J261" ca="1">HYPERLINK(Common_InputFunctions.Utility_SourceHyperlink($D$267),$D$267)</f>
        <v>Table_N_j</v>
      </c>
    </row>
    <row r="262" spans="4:15" ht="20.100000000000001" customHeight="1" x14ac:dyDescent="0.25">
      <c r="D262" s="118" t="str">
        <v>M_j35m</v>
      </c>
      <c r="E262" s="123" t="str">
        <v>methane production from manure of weaned dairy cattle in classes j=3,5 in MMS m</v>
      </c>
      <c r="F262" s="131"/>
      <c r="G262" s="124"/>
      <c r="H262" s="118" t="str">
        <v>kg CH4/head/day</v>
      </c>
      <c r="I262" s="126" t="str">
        <v>Calculated from 4.3.1.1 (2)</v>
      </c>
      <c r="J262" s="125" t="str" cm="1">
        <f t="array" aca="1" ref="J262" ca="1">HYPERLINK(Common_InputFunctions.Utility_SourceHyperlink($D$234),$D$234)</f>
        <v>M1_M_j_m</v>
      </c>
    </row>
    <row r="263" spans="4:15" ht="20.100000000000001" customHeight="1" x14ac:dyDescent="0.25">
      <c r="D263" s="118" t="str">
        <v>D_j35</v>
      </c>
      <c r="E263" s="123" t="str">
        <v>duration of stay on farm for classes j=3,5</v>
      </c>
      <c r="F263" s="131"/>
      <c r="G263" s="124"/>
      <c r="H263" s="118" t="str">
        <v>days</v>
      </c>
      <c r="I263" s="119" t="str">
        <v>Input</v>
      </c>
      <c r="J263" s="125" t="str" cm="1">
        <f t="array" aca="1" ref="J263" ca="1">HYPERLINK(Common_InputFunctions.Utility_SourceHyperlink($D$272),$D$272)</f>
        <v>M1_Table_D_j</v>
      </c>
    </row>
    <row r="264" spans="4:15" ht="20.100000000000001" customHeight="1" x14ac:dyDescent="0.25">
      <c r="D264" s="118" t="str">
        <v>MPW_manure_j35</v>
      </c>
      <c r="E264" s="123" t="str">
        <v>methane production from manure of pre-weaned heifer and bull calves</v>
      </c>
      <c r="F264" s="131"/>
      <c r="G264" s="124"/>
      <c r="H264" s="118" t="str">
        <v>kg CH4/head/day</v>
      </c>
      <c r="I264" s="126" t="str">
        <v>Constant</v>
      </c>
      <c r="J264" s="125" t="str" cm="1">
        <f t="array" aca="1" ref="J264" ca="1">HYPERLINK(Common_InputFunctions.Utility_SourceHyperlink($D$277),$D$277)</f>
        <v>Table_MPW_manure_j-3-5</v>
      </c>
    </row>
    <row r="265" spans="4:15" ht="20.100000000000001" customHeight="1" x14ac:dyDescent="0.25">
      <c r="D265" s="118" t="str">
        <v>DPW_j35</v>
      </c>
      <c r="E265" s="123" t="str">
        <v>duration of stay on farm for pre-weaned heifer and bull calves</v>
      </c>
      <c r="F265" s="131"/>
      <c r="G265" s="124"/>
      <c r="H265" s="118" t="str">
        <v>days</v>
      </c>
      <c r="I265" s="119" t="str">
        <v>Input</v>
      </c>
      <c r="J265" s="125" t="str" cm="1">
        <f t="array" aca="1" ref="J265" ca="1">HYPERLINK(Common_InputFunctions.Utility_SourceHyperlink($D$282),$D$282)</f>
        <v>M1_Table_DPW_j</v>
      </c>
    </row>
    <row r="266" spans="4:15" ht="20.100000000000001" customHeight="1" x14ac:dyDescent="0.25"/>
    <row r="267" spans="4:15" ht="20.100000000000001" customHeight="1" x14ac:dyDescent="0.25">
      <c r="D267" s="120" t="s">
        <v>331</v>
      </c>
    </row>
    <row r="268" spans="4:15" ht="20.100000000000001" customHeight="1" x14ac:dyDescent="0.25">
      <c r="D268" s="121" t="s">
        <v>332</v>
      </c>
    </row>
    <row r="269" spans="4:15" ht="20.100000000000001" customHeight="1" x14ac:dyDescent="0.25">
      <c r="D269" s="96" t="s">
        <v>208</v>
      </c>
      <c r="E269" s="96" t="s">
        <v>209</v>
      </c>
      <c r="F269" s="96" t="s">
        <v>210</v>
      </c>
      <c r="G269" s="96" t="s">
        <v>211</v>
      </c>
      <c r="H269" s="96" t="s">
        <v>212</v>
      </c>
    </row>
    <row r="270" spans="4:15" ht="20.100000000000001" customHeight="1" x14ac:dyDescent="0.25">
      <c r="D270" s="132">
        <f>INDEX(X_Table_Dairy_HerdMovement,2,2)</f>
        <v>100</v>
      </c>
      <c r="E270" s="132">
        <f>INDEX(X_Table_Dairy_HerdMovement,2,3)</f>
        <v>100</v>
      </c>
      <c r="F270" s="132">
        <f>INDEX(X_Table_Dairy_HerdMovement,2,4)</f>
        <v>100</v>
      </c>
      <c r="G270" s="132">
        <f>INDEX(X_Table_Dairy_HerdMovement,2,5)</f>
        <v>100</v>
      </c>
      <c r="H270" s="132">
        <f>INDEX(X_Table_Dairy_HerdMovement,2,6)</f>
        <v>100</v>
      </c>
      <c r="I270" s="26" t="s">
        <v>333</v>
      </c>
    </row>
    <row r="271" spans="4:15" ht="20.100000000000001" customHeight="1" x14ac:dyDescent="0.25"/>
    <row r="272" spans="4:15" x14ac:dyDescent="0.25">
      <c r="D272" s="120" t="s">
        <v>334</v>
      </c>
      <c r="O272" s="120" t="s">
        <v>335</v>
      </c>
    </row>
    <row r="273" spans="1:20" x14ac:dyDescent="0.25">
      <c r="D273" s="121" t="s">
        <v>336</v>
      </c>
      <c r="O273" s="121" t="s">
        <v>337</v>
      </c>
    </row>
    <row r="274" spans="1:20" x14ac:dyDescent="0.25">
      <c r="D274" s="96" t="s">
        <v>208</v>
      </c>
      <c r="E274" s="96" t="s">
        <v>209</v>
      </c>
      <c r="F274" s="96" t="s">
        <v>210</v>
      </c>
      <c r="G274" s="96" t="s">
        <v>211</v>
      </c>
      <c r="H274" s="96" t="s">
        <v>212</v>
      </c>
      <c r="O274" s="96" t="s">
        <v>208</v>
      </c>
      <c r="P274" s="96" t="s">
        <v>209</v>
      </c>
      <c r="Q274" s="96" t="s">
        <v>210</v>
      </c>
      <c r="R274" s="96" t="s">
        <v>211</v>
      </c>
      <c r="S274" s="96" t="s">
        <v>212</v>
      </c>
    </row>
    <row r="275" spans="1:20" x14ac:dyDescent="0.25">
      <c r="A275" s="127"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118</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118</v>
      </c>
    </row>
    <row r="277" spans="1:20" x14ac:dyDescent="0.25">
      <c r="D277" s="120" t="s">
        <v>338</v>
      </c>
    </row>
    <row r="278" spans="1:20" x14ac:dyDescent="0.25">
      <c r="D278" s="121" t="s">
        <v>339</v>
      </c>
    </row>
    <row r="279" spans="1:20" x14ac:dyDescent="0.25">
      <c r="D279" s="122" t="s">
        <v>208</v>
      </c>
      <c r="E279" s="122" t="s">
        <v>209</v>
      </c>
      <c r="F279" s="122" t="s">
        <v>210</v>
      </c>
      <c r="G279" s="122" t="s">
        <v>211</v>
      </c>
      <c r="H279" s="122" t="s">
        <v>212</v>
      </c>
    </row>
    <row r="280" spans="1:20" x14ac:dyDescent="0.25">
      <c r="D280" s="25">
        <v>0</v>
      </c>
      <c r="E280" s="25">
        <v>0</v>
      </c>
      <c r="F280" s="25">
        <f>'Constants - Dairy'!$E$63</f>
        <v>1.7600000000000001E-2</v>
      </c>
      <c r="G280" s="25">
        <v>0</v>
      </c>
      <c r="H280" s="25">
        <f>'Constants - Dairy'!$E$64</f>
        <v>2.0400000000000001E-2</v>
      </c>
      <c r="I280" s="26" t="s">
        <v>340</v>
      </c>
    </row>
    <row r="282" spans="1:20" x14ac:dyDescent="0.25">
      <c r="D282" s="120" t="s">
        <v>341</v>
      </c>
      <c r="O282" s="120" t="s">
        <v>341</v>
      </c>
    </row>
    <row r="283" spans="1:20" x14ac:dyDescent="0.25">
      <c r="D283" s="121" t="s">
        <v>342</v>
      </c>
      <c r="O283" s="121" t="s">
        <v>342</v>
      </c>
    </row>
    <row r="284" spans="1:20" x14ac:dyDescent="0.25">
      <c r="D284" s="122" t="s">
        <v>208</v>
      </c>
      <c r="E284" s="122" t="s">
        <v>209</v>
      </c>
      <c r="F284" s="122" t="s">
        <v>210</v>
      </c>
      <c r="G284" s="122" t="s">
        <v>211</v>
      </c>
      <c r="H284" s="122" t="s">
        <v>212</v>
      </c>
      <c r="O284" s="96" t="s">
        <v>208</v>
      </c>
      <c r="P284" s="96" t="s">
        <v>209</v>
      </c>
      <c r="Q284" s="96" t="s">
        <v>210</v>
      </c>
      <c r="R284" s="96" t="s">
        <v>211</v>
      </c>
      <c r="S284" s="96" t="s">
        <v>212</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118</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118</v>
      </c>
    </row>
    <row r="287" spans="1:20" x14ac:dyDescent="0.25">
      <c r="D287" s="120" t="s">
        <v>343</v>
      </c>
      <c r="O287" s="120" t="s">
        <v>343</v>
      </c>
    </row>
    <row r="288" spans="1:20" x14ac:dyDescent="0.25">
      <c r="D288" s="121" t="s">
        <v>344</v>
      </c>
      <c r="O288" s="121" t="s">
        <v>345</v>
      </c>
    </row>
    <row r="289" spans="4:21" x14ac:dyDescent="0.25">
      <c r="D289" s="122" t="s">
        <v>182</v>
      </c>
      <c r="E289" s="122" t="s">
        <v>302</v>
      </c>
      <c r="F289" s="122" t="s">
        <v>208</v>
      </c>
      <c r="G289" s="122" t="s">
        <v>209</v>
      </c>
      <c r="H289" s="122" t="s">
        <v>210</v>
      </c>
      <c r="I289" s="122" t="s">
        <v>211</v>
      </c>
      <c r="J289" s="122" t="s">
        <v>212</v>
      </c>
      <c r="O289" s="122" t="s">
        <v>182</v>
      </c>
      <c r="P289" s="122" t="s">
        <v>302</v>
      </c>
      <c r="Q289" s="122" t="s">
        <v>208</v>
      </c>
      <c r="R289" s="122" t="s">
        <v>209</v>
      </c>
      <c r="S289" s="122" t="s">
        <v>210</v>
      </c>
      <c r="T289" s="122" t="s">
        <v>211</v>
      </c>
      <c r="U289" s="122" t="s">
        <v>212</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81</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81</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81</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81</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3" t="s">
        <v>346</v>
      </c>
      <c r="E300" s="134">
        <f ca="1">SUM(F290:J298)</f>
        <v>10.314345551795777</v>
      </c>
      <c r="F300" s="135" t="str">
        <f>$E$256</f>
        <v>t CH4</v>
      </c>
      <c r="O300" s="133" t="s">
        <v>347</v>
      </c>
      <c r="P300" s="134">
        <f ca="1">SUM(Q290:U298)</f>
        <v>10.64070664267806</v>
      </c>
      <c r="Q300" s="135" t="str">
        <f>$E$256</f>
        <v>t CH4</v>
      </c>
    </row>
    <row r="302" spans="4:21" x14ac:dyDescent="0.25">
      <c r="D302" s="130" t="str" cm="1">
        <f t="array" ref="D302:E303">Common_Equations.Common_ConvertCH4ToCO2e_Arguments()</f>
        <v>ECH4</v>
      </c>
      <c r="E302" s="136" t="str">
        <v>Methane emissions (t CH4)</v>
      </c>
      <c r="F302" s="137"/>
      <c r="G302" s="25">
        <f ca="1">VEERG_4_3_1_1__1_TotalAnnualMethaneFromManureManagement_Result_Method1</f>
        <v>10.314345551795777</v>
      </c>
      <c r="H302" s="26"/>
      <c r="O302" s="130" t="str" cm="1">
        <f t="array" ref="O302:P303">Common_Equations.Common_ConvertCH4ToCO2e_Arguments()</f>
        <v>ECH4</v>
      </c>
      <c r="P302" s="136" t="str">
        <v>Methane emissions (t CH4)</v>
      </c>
      <c r="Q302" s="137"/>
      <c r="R302" s="25">
        <f ca="1">VEERG_4_3_1_1__1_TotalAnnualMethaneFromManureManagement_Result_Method2</f>
        <v>10.64070664267806</v>
      </c>
      <c r="S302" s="26" t="s">
        <v>6</v>
      </c>
    </row>
    <row r="303" spans="4:21" x14ac:dyDescent="0.25">
      <c r="D303" s="130" t="str">
        <v>GWPCH4</v>
      </c>
      <c r="E303" s="136" t="str">
        <v>Global warming potential for methane (t CO2-e / t CH4)</v>
      </c>
      <c r="F303" s="137"/>
      <c r="G303" s="25">
        <f>Common_InputFunctions.Utility_LookupValueInTableNumber("CH4",Table_GWPData[Gas],Table_GWPData[CO2-e factor])</f>
        <v>28</v>
      </c>
      <c r="O303" s="130" t="str">
        <v>GWPCH4</v>
      </c>
      <c r="P303" s="136" t="str">
        <v>Global warming potential for methane (t CO2-e / t CH4)</v>
      </c>
      <c r="Q303" s="137"/>
      <c r="R303" s="25">
        <f>Common_InputFunctions.Utility_LookupValueInTableNumber("CH4",Table_GWPData[Gas],Table_GWPData[CO2-e factor])</f>
        <v>28</v>
      </c>
    </row>
    <row r="305" spans="4:17" ht="18.75" x14ac:dyDescent="0.25">
      <c r="D305" s="100" t="s">
        <v>348</v>
      </c>
      <c r="E305" s="100" cm="1">
        <f t="array" aca="1" ref="E305" ca="1">Common_Equations.Common_ConvertCH4ToCO2e(G302,G303)</f>
        <v>288.80167545028172</v>
      </c>
      <c r="F305" s="138" t="str" cm="1">
        <f t="array" ref="F305">Common_Equations.Common_ConvertN2OToCO2e_Unit()</f>
        <v>t CO2e</v>
      </c>
      <c r="O305" s="100" t="s">
        <v>349</v>
      </c>
      <c r="P305" s="100" cm="1">
        <f t="array" aca="1" ref="P305" ca="1">Common_Equations.Common_ConvertCH4ToCO2e(R302,R303)</f>
        <v>297.9397859949857</v>
      </c>
      <c r="Q305" s="13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F1DAFDA4-3A6C-4203-B729-C191864BD0EF}"/>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373-5730-4330-B9E6-353A0523EA61}">
  <dimension ref="A1:U292"/>
  <sheetViews>
    <sheetView showGridLines="0" topLeftCell="B26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350</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6" t="s">
        <v>257</v>
      </c>
      <c r="E7" s="116"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MMS_Dairy_N2ODirect_Equations.VEERG_4_3_1_3__8_RelativeSize_Variable()</f>
        <v>Z_j</v>
      </c>
    </row>
    <row r="11" spans="1:21" ht="20.100000000000001" customHeight="1" x14ac:dyDescent="0.25">
      <c r="A11" s="5" t="str">
        <f>HYPERLINK("#'Input - Dairy'!A1", "Dairy")</f>
        <v>Dairy</v>
      </c>
      <c r="D11" s="88" t="s">
        <v>127</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_xlfn.CHOOSECOLS(MMS_Dairy_N2ODirect_Equations.VEERG_4_3_1_3__8_RelativeSize_Arguments(),1,2)</f>
        <v>W_j</v>
      </c>
      <c r="E13" s="118" t="str">
        <v>liveweight</v>
      </c>
      <c r="F13" s="118" t="str" cm="1">
        <f t="array" ref="F13:G14">_xlfn.CHOOSECOLS(MMS_Dairy_N2ODirect_Equations.VEERG_4_3_1_3__8_RelativeSize_Arguments(),3,4)</f>
        <v>kg/head</v>
      </c>
      <c r="G13" s="119" t="str">
        <v>Input</v>
      </c>
      <c r="H13" s="125"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18" t="str">
        <v>WR_j</v>
      </c>
      <c r="E14" s="118" t="str">
        <v>reference weight</v>
      </c>
      <c r="F14" s="118" t="str">
        <v>kg/head</v>
      </c>
      <c r="G14" s="126" t="str">
        <v>Constant</v>
      </c>
      <c r="H14" s="125"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280</v>
      </c>
      <c r="N16" s="120" t="s">
        <v>281</v>
      </c>
    </row>
    <row r="17" spans="1:21" ht="20.100000000000001" customHeight="1" x14ac:dyDescent="0.25">
      <c r="A17" s="5" t="str">
        <f>HYPERLINK("#'Input - Fertiliser'!A1", "Fertiliser")</f>
        <v>Fertiliser</v>
      </c>
      <c r="D17" s="121" t="s">
        <v>282</v>
      </c>
      <c r="N17" s="121" t="s">
        <v>283</v>
      </c>
    </row>
    <row r="18" spans="1:21" ht="20.100000000000001" customHeight="1" x14ac:dyDescent="0.25">
      <c r="A18" s="5" t="str">
        <f>HYPERLINK("#'Input - Fuel'!A1", "Fuel")</f>
        <v>Fuel</v>
      </c>
      <c r="D18" s="96" t="s">
        <v>208</v>
      </c>
      <c r="E18" s="96" t="s">
        <v>209</v>
      </c>
      <c r="F18" s="96" t="s">
        <v>210</v>
      </c>
      <c r="G18" s="96" t="s">
        <v>211</v>
      </c>
      <c r="H18" s="96" t="s">
        <v>212</v>
      </c>
      <c r="N18" s="96" t="s">
        <v>208</v>
      </c>
      <c r="O18" s="96" t="s">
        <v>209</v>
      </c>
      <c r="P18" s="96" t="s">
        <v>210</v>
      </c>
      <c r="Q18" s="96" t="s">
        <v>211</v>
      </c>
      <c r="R18" s="96" t="s">
        <v>212</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217</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217</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0" t="s">
        <v>351</v>
      </c>
    </row>
    <row r="22" spans="1:21" ht="20.100000000000001" customHeight="1" x14ac:dyDescent="0.25">
      <c r="A22" s="5" t="str">
        <f>HYPERLINK("#'Input - Manure sent off-site'!A1", "Manure sent off-site")</f>
        <v>Manure sent off-site</v>
      </c>
      <c r="D22" s="121" t="s">
        <v>352</v>
      </c>
    </row>
    <row r="23" spans="1:21" ht="20.100000000000001" customHeight="1" x14ac:dyDescent="0.25">
      <c r="A23" s="5" t="str">
        <f>HYPERLINK("#'Input - Solid waste'!A1", "Solid waste")</f>
        <v>Solid waste</v>
      </c>
      <c r="D23" s="122" t="s">
        <v>208</v>
      </c>
      <c r="E23" s="122" t="s">
        <v>209</v>
      </c>
      <c r="F23" s="122" t="s">
        <v>210</v>
      </c>
      <c r="G23" s="122" t="s">
        <v>211</v>
      </c>
      <c r="H23" s="122" t="s">
        <v>212</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217</v>
      </c>
    </row>
    <row r="25" spans="1:21" ht="20.100000000000001" customHeight="1" x14ac:dyDescent="0.25"/>
    <row r="26" spans="1:21" ht="20.100000000000001" customHeight="1" x14ac:dyDescent="0.25">
      <c r="A26" s="6" t="s">
        <v>2</v>
      </c>
      <c r="D26" s="120" t="s">
        <v>353</v>
      </c>
      <c r="N26" s="120" t="s">
        <v>353</v>
      </c>
    </row>
    <row r="27" spans="1:21" ht="20.100000000000001" customHeight="1" x14ac:dyDescent="0.25">
      <c r="A27" s="5" t="str">
        <f>HYPERLINK("#'5.1.1.1-2 Inorganic fert N2O'!A1", "5.1.1.1-2 Inorganic fert N2O")</f>
        <v>5.1.1.1-2 Inorganic fert N2O</v>
      </c>
      <c r="D27" s="121" t="s">
        <v>354</v>
      </c>
      <c r="N27" s="121" t="s">
        <v>355</v>
      </c>
    </row>
    <row r="28" spans="1:21" ht="20.100000000000001" customHeight="1" x14ac:dyDescent="0.25">
      <c r="A28" s="5" t="str">
        <f>HYPERLINK("#'5.1.1.3-4 Inorganic fert CO2'!A1", "5.1.1.3-4 Inorganic fert CO2")</f>
        <v>5.1.1.3-4 Inorganic fert CO2</v>
      </c>
      <c r="D28" s="122" t="s">
        <v>208</v>
      </c>
      <c r="E28" s="122" t="s">
        <v>209</v>
      </c>
      <c r="F28" s="122" t="s">
        <v>210</v>
      </c>
      <c r="G28" s="122" t="s">
        <v>211</v>
      </c>
      <c r="H28" s="122" t="s">
        <v>212</v>
      </c>
      <c r="N28" s="122" t="s">
        <v>208</v>
      </c>
      <c r="O28" s="122" t="s">
        <v>209</v>
      </c>
      <c r="P28" s="122" t="s">
        <v>210</v>
      </c>
      <c r="Q28" s="122" t="s">
        <v>211</v>
      </c>
      <c r="R28" s="122" t="s">
        <v>212</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16" t="s">
        <v>257</v>
      </c>
      <c r="E35" s="116"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8" t="s">
        <v>258</v>
      </c>
      <c r="E39" s="1" t="str" cm="1">
        <f t="array" ref="E39">MMS_Dairy_N2ODirect_Equations.VEERG_4_3_1_3__7_IntakeRelativeToMaintenance_Variable()</f>
        <v>L_j</v>
      </c>
    </row>
    <row r="40" spans="1:14" ht="20.100000000000001" customHeight="1" x14ac:dyDescent="0.25">
      <c r="A40" s="5" t="str">
        <f>HYPERLINK("#'4.3.1.1-2 Methane'!A1", "4.3.1.1-2 Methane")</f>
        <v>4.3.1.1-2 Methane</v>
      </c>
      <c r="D40" s="88" t="s">
        <v>127</v>
      </c>
      <c r="E40" s="15" t="str" cm="1">
        <f t="array" ref="E40">MMS_Dairy_N2ODirect_Equations.VEERG_4_3_1_3__7_IntakeRelativeToMaintenance_Unit()</f>
        <v>ratio</v>
      </c>
    </row>
    <row r="41" spans="1:14" ht="20.100000000000001" customHeight="1" x14ac:dyDescent="0.25">
      <c r="A41" s="117" t="str">
        <f>HYPERLINK("#'4.3.1.3-4 Direct N20'!A1", "4.3.1.3-4 Direct N20")</f>
        <v>4.3.1.3-4 Direct N20</v>
      </c>
    </row>
    <row r="42" spans="1:14" ht="20.100000000000001" customHeight="1" x14ac:dyDescent="0.25">
      <c r="A42" s="5" t="str">
        <f>HYPERLINK("#'4.3.1.5 Atmos deposition'!A1", "4.3.1.5 Atmos deposition")</f>
        <v>4.3.1.5 Atmos deposition</v>
      </c>
      <c r="D42" s="118" t="str" cm="1">
        <f t="array" ref="D42:E45">_xlfn.CHOOSECOLS(MMS_Dairy_N2ODirect_Equations.VEERG_4_3_1_3__7_IntakeRelativeToMaintenance_Arguments(),1,2)</f>
        <v>I_j</v>
      </c>
      <c r="E42" s="123" t="str">
        <v>dry matter intake</v>
      </c>
      <c r="F42" s="124"/>
      <c r="G42" s="118" t="str" cm="1">
        <f t="array" ref="G42:H45">_xlfn.CHOOSECOLS(MMS_Dairy_N2ODirect_Equations.VEERG_4_3_1_3__7_IntakeRelativeToMaintenance_Arguments(),3,4)</f>
        <v>kgDM/head/day</v>
      </c>
      <c r="H42" s="126" t="str">
        <v>Calculated from 3.3.1.1 (3)</v>
      </c>
      <c r="I42" s="125" t="str" cm="1">
        <f t="array" aca="1" ref="I42" ca="1">HYPERLINK(Common_InputFunctions.Utility_SourceHyperlink($D$47),$D$47)</f>
        <v>M1_Table_I_j</v>
      </c>
    </row>
    <row r="43" spans="1:14" ht="20.100000000000001" customHeight="1" x14ac:dyDescent="0.25">
      <c r="A43" s="5" t="str">
        <f>HYPERLINK("#'4.3.1.6-7 Leaching and runoff'!A1", "4.3.1.6-7 Leaching and runoff")</f>
        <v>4.3.1.6-7 Leaching and runoff</v>
      </c>
      <c r="D43" s="118" t="str">
        <v>W_j</v>
      </c>
      <c r="E43" s="123" t="str">
        <v>liveweight</v>
      </c>
      <c r="F43" s="124"/>
      <c r="G43" s="118" t="str">
        <v>kg/head</v>
      </c>
      <c r="H43" s="119" t="str">
        <v>Input</v>
      </c>
      <c r="I43" s="125" t="str" cm="1">
        <f t="array" aca="1" ref="I43" ca="1">HYPERLINK(Common_InputFunctions.Utility_SourceHyperlink($D$16),$D$16)</f>
        <v>M1_Table_W_j</v>
      </c>
    </row>
    <row r="44" spans="1:14" ht="20.100000000000001" customHeight="1" x14ac:dyDescent="0.25">
      <c r="A44" s="5" t="str">
        <f>HYPERLINK("#'4.3.1.8 Manure applied to soils'!A1", "4.3.1.8 Manure applied to soils")</f>
        <v>4.3.1.8 Manure applied to soils</v>
      </c>
      <c r="D44" s="118" t="str">
        <v>MR_j</v>
      </c>
      <c r="E44" s="123" t="str">
        <v>increase in metabolic rate when producing milk</v>
      </c>
      <c r="F44" s="124"/>
      <c r="G44" s="118" t="str">
        <v/>
      </c>
      <c r="H44" s="126" t="str">
        <v>Constant</v>
      </c>
      <c r="I44" s="125" t="str" cm="1">
        <f t="array" aca="1" ref="I44" ca="1">HYPERLINK(Common_InputFunctions.Utility_SourceHyperlink($D$52),$D$52)</f>
        <v>Table_MR_j</v>
      </c>
    </row>
    <row r="45" spans="1:14" ht="20.100000000000001" customHeight="1" x14ac:dyDescent="0.25">
      <c r="A45" s="5" t="str">
        <f>HYPERLINK("#'4.3.1.9 Soil direct N2O'!A1", "4.3.1.9 Soil direct N2O")</f>
        <v>4.3.1.9 Soil direct N2O</v>
      </c>
      <c r="D45" s="118" t="str">
        <v>MI_j</v>
      </c>
      <c r="E45" s="123" t="str">
        <v>additional intake required for milk production</v>
      </c>
      <c r="F45" s="124"/>
      <c r="G45" s="118" t="str">
        <v>kgDM/head/day</v>
      </c>
      <c r="H45" s="126" t="str">
        <v>Calculated from 3.3.1.1 (4)</v>
      </c>
      <c r="I45" s="125" t="str" cm="1">
        <f t="array" aca="1" ref="I45" ca="1">HYPERLINK(Common_InputFunctions.Utility_SourceHyperlink($D$57),$D$57)</f>
        <v>M1_Table_MI_j</v>
      </c>
    </row>
    <row r="46" spans="1:14" ht="20.100000000000001" customHeight="1" x14ac:dyDescent="0.25">
      <c r="A46" s="5" t="str">
        <f>HYPERLINK("#'4.3.1.10-11 Soil Atmos Dep'!A1", "4.3.1.10-11 Soil Atmos Dep")</f>
        <v>4.3.1.10-11 Soil Atmos Dep</v>
      </c>
    </row>
    <row r="47" spans="1:14" ht="20.100000000000001" customHeight="1" x14ac:dyDescent="0.25">
      <c r="A47" s="5" t="str">
        <f>HYPERLINK("#'4.3.1.12-13 Soil leach runoff'!A1", "4.3.1.12-13 Soil leach runoff")</f>
        <v>4.3.1.12-13 Soil leach runoff</v>
      </c>
      <c r="D47" s="120" t="s">
        <v>290</v>
      </c>
      <c r="N47" s="120" t="s">
        <v>291</v>
      </c>
    </row>
    <row r="48" spans="1:14" ht="20.100000000000001" customHeight="1" x14ac:dyDescent="0.25">
      <c r="A48" s="5" t="str">
        <f>HYPERLINK("#'3.3.1.1-2 Enteric Methane'!A1", "3.3.1.1-2 Enteric Methane")</f>
        <v>3.3.1.1-2 Enteric Methane</v>
      </c>
      <c r="D48" s="121" t="s">
        <v>292</v>
      </c>
      <c r="N48" s="121" t="s">
        <v>293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N49" s="122" t="s">
        <v>208</v>
      </c>
      <c r="O49" s="122" t="s">
        <v>209</v>
      </c>
      <c r="P49" s="122" t="s">
        <v>210</v>
      </c>
      <c r="Q49" s="122" t="s">
        <v>211</v>
      </c>
      <c r="R49" s="122" t="s">
        <v>212</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20" t="s">
        <v>288</v>
      </c>
    </row>
    <row r="53" spans="1:19" ht="20.100000000000001" customHeight="1" x14ac:dyDescent="0.25">
      <c r="A53" s="5" t="str">
        <f>HYPERLINK("#'Constants - Dairy'!A1", "Constants - Dairy")</f>
        <v>Constants - Dairy</v>
      </c>
      <c r="D53" s="121" t="s">
        <v>289</v>
      </c>
    </row>
    <row r="54" spans="1:19" ht="20.100000000000001" customHeight="1" x14ac:dyDescent="0.25">
      <c r="A54" s="5" t="str">
        <f>HYPERLINK("#'Constants - Ag Residue'!A1", "Constants - Ag residue")</f>
        <v>Constants - Ag residue</v>
      </c>
      <c r="D54" s="122" t="s">
        <v>208</v>
      </c>
      <c r="E54" s="122" t="s">
        <v>209</v>
      </c>
      <c r="F54" s="122" t="s">
        <v>210</v>
      </c>
      <c r="G54" s="122" t="s">
        <v>211</v>
      </c>
      <c r="H54" s="122" t="s">
        <v>212</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20" t="s">
        <v>276</v>
      </c>
    </row>
    <row r="58" spans="1:19" ht="20.100000000000001" customHeight="1" x14ac:dyDescent="0.25">
      <c r="A58" s="5" t="str">
        <f>HYPERLINK("#'Constants - Fuel'!A1", "Constants - Fuel")</f>
        <v>Constants - Fuel</v>
      </c>
      <c r="D58" s="121" t="s">
        <v>278</v>
      </c>
    </row>
    <row r="59" spans="1:19" ht="20.100000000000001" customHeight="1" x14ac:dyDescent="0.25">
      <c r="A59" s="5" t="str">
        <f>HYPERLINK("#'Constants - Scope 3'!A1", "Constants - Scope 3")</f>
        <v>Constants - Scope 3</v>
      </c>
      <c r="D59" s="122" t="s">
        <v>208</v>
      </c>
      <c r="E59" s="122" t="s">
        <v>209</v>
      </c>
      <c r="F59" s="122" t="s">
        <v>210</v>
      </c>
      <c r="G59" s="122" t="s">
        <v>211</v>
      </c>
      <c r="H59" s="122" t="s">
        <v>212</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20" t="s">
        <v>356</v>
      </c>
      <c r="N62" s="120" t="s">
        <v>357</v>
      </c>
    </row>
    <row r="63" spans="1:19" ht="20.100000000000001" customHeight="1" x14ac:dyDescent="0.25">
      <c r="D63" s="121" t="s">
        <v>358</v>
      </c>
      <c r="N63" s="121" t="s">
        <v>359</v>
      </c>
    </row>
    <row r="64" spans="1:19" ht="20.100000000000001" customHeight="1" x14ac:dyDescent="0.25">
      <c r="D64" s="122" t="s">
        <v>208</v>
      </c>
      <c r="E64" s="122" t="s">
        <v>209</v>
      </c>
      <c r="F64" s="122" t="s">
        <v>210</v>
      </c>
      <c r="G64" s="122" t="s">
        <v>211</v>
      </c>
      <c r="H64" s="122" t="s">
        <v>212</v>
      </c>
      <c r="N64" s="122" t="s">
        <v>208</v>
      </c>
      <c r="O64" s="122" t="s">
        <v>209</v>
      </c>
      <c r="P64" s="122" t="s">
        <v>210</v>
      </c>
      <c r="Q64" s="122" t="s">
        <v>211</v>
      </c>
      <c r="R64" s="122" t="s">
        <v>212</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16" t="s">
        <v>257</v>
      </c>
      <c r="E72" s="116"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8" t="s">
        <v>258</v>
      </c>
      <c r="E75" s="1" t="str" cm="1">
        <f t="array" ref="E75">MMS_Dairy_N2ODirect_Equations.VEERG_4_3_1_3__6_NitrogenRetainedByBody_Variable()</f>
        <v>NR_j</v>
      </c>
    </row>
    <row r="76" spans="3:21" ht="20.100000000000001" customHeight="1" x14ac:dyDescent="0.25">
      <c r="D76" s="88" t="s">
        <v>127</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18" t="str" cm="1">
        <f t="array" ref="D78:E83">_xlfn.CHOOSECOLS(MMS_Dairy_N2ODirect_Equations.VEERG_4_3_1_3__6_NitrogenRetainedByBody_Arguments(),1,2)</f>
        <v>MPU</v>
      </c>
      <c r="E78" s="123" t="str">
        <v>input milk production unit</v>
      </c>
      <c r="F78" s="124"/>
      <c r="G78" s="118" t="str" cm="1">
        <f t="array" ref="G78:H83">_xlfn.CHOOSECOLS(MMS_Dairy_N2ODirect_Equations.VEERG_4_3_1_3__6_NitrogenRetainedByBody_Arguments(),3,4)</f>
        <v/>
      </c>
      <c r="H78" s="119" t="str">
        <v>Input</v>
      </c>
      <c r="I78" s="118" t="str">
        <f>X_Cell_Dairy_MilkProductionUnit</f>
        <v>Litres of milk</v>
      </c>
    </row>
    <row r="79" spans="3:21" ht="20.100000000000001" customHeight="1" x14ac:dyDescent="0.25">
      <c r="D79" s="118" t="str">
        <v>MP_j</v>
      </c>
      <c r="E79" s="123" t="str">
        <v>milk production (if input as litres of milk)</v>
      </c>
      <c r="F79" s="124"/>
      <c r="G79" s="118" t="str">
        <v>L/head/day</v>
      </c>
      <c r="H79" s="119" t="str">
        <v>Input</v>
      </c>
      <c r="I79" s="125" t="str" cm="1">
        <f t="array" aca="1" ref="I79" ca="1">HYPERLINK(Common_InputFunctions.Utility_SourceHyperlink($D$90),$D$90)</f>
        <v>Table_MP_j</v>
      </c>
    </row>
    <row r="80" spans="3:21" ht="20.100000000000001" customHeight="1" x14ac:dyDescent="0.25">
      <c r="D80" s="118" t="str">
        <v>MP_j</v>
      </c>
      <c r="E80" s="123" t="str">
        <v>milk production (if input as milk solids)</v>
      </c>
      <c r="F80" s="124"/>
      <c r="G80" s="118" t="str">
        <v>L/head/day</v>
      </c>
      <c r="H80" s="126" t="str">
        <v>Calculated from 3.3.1.1 (5)</v>
      </c>
      <c r="I80" s="125" t="str" cm="1">
        <f t="array" aca="1" ref="I80" ca="1">HYPERLINK(Common_InputFunctions.Utility_SourceHyperlink($D$85),$D$85)</f>
        <v>M1_Table_MP_j_from_solids</v>
      </c>
    </row>
    <row r="81" spans="4:19" ht="20.100000000000001" customHeight="1" x14ac:dyDescent="0.25">
      <c r="D81" s="118" t="str">
        <v>L_j</v>
      </c>
      <c r="E81" s="123" t="str">
        <v>intake relative to maintenance</v>
      </c>
      <c r="F81" s="124"/>
      <c r="G81" s="118" t="str">
        <v/>
      </c>
      <c r="H81" s="126" t="str">
        <v>Calculated from 4.3.1.3 (7)</v>
      </c>
      <c r="I81" s="125" t="str" cm="1">
        <f t="array" aca="1" ref="I81" ca="1">HYPERLINK(Common_InputFunctions.Utility_SourceHyperlink($D$62),$D$62)</f>
        <v>M1_Table_L_j</v>
      </c>
    </row>
    <row r="82" spans="4:19" ht="20.100000000000001" customHeight="1" x14ac:dyDescent="0.25">
      <c r="D82" s="118" t="str">
        <v>Z_j</v>
      </c>
      <c r="E82" s="123" t="str">
        <v>relative size</v>
      </c>
      <c r="F82" s="124"/>
      <c r="G82" s="118" t="str">
        <v/>
      </c>
      <c r="H82" s="126" t="str">
        <v>Calculated from 4.3.1.3 (8)</v>
      </c>
      <c r="I82" s="125" t="str" cm="1">
        <f t="array" aca="1" ref="I82" ca="1">HYPERLINK(Common_InputFunctions.Utility_SourceHyperlink($D$26),$D$26)</f>
        <v>M1_Table_Z_j</v>
      </c>
    </row>
    <row r="83" spans="4:19" ht="20.100000000000001" customHeight="1" x14ac:dyDescent="0.25">
      <c r="D83" s="118" t="str">
        <v>LWG_j</v>
      </c>
      <c r="E83" s="123" t="str">
        <v>liveweight gain</v>
      </c>
      <c r="F83" s="124"/>
      <c r="G83" s="118" t="str">
        <v>kg/head/day</v>
      </c>
      <c r="H83" s="119" t="str">
        <v>Input</v>
      </c>
      <c r="I83" s="125" t="str" cm="1">
        <f t="array" aca="1" ref="I83" ca="1">HYPERLINK(Common_InputFunctions.Utility_SourceHyperlink($D$95),$D$95)</f>
        <v>M1_Table_LWG_j</v>
      </c>
    </row>
    <row r="84" spans="4:19" ht="20.100000000000001" customHeight="1" x14ac:dyDescent="0.25"/>
    <row r="85" spans="4:19" ht="20.100000000000001" customHeight="1" x14ac:dyDescent="0.25">
      <c r="D85" s="120" t="s">
        <v>270</v>
      </c>
      <c r="N85" s="120" t="s">
        <v>271</v>
      </c>
    </row>
    <row r="86" spans="4:19" ht="20.100000000000001" customHeight="1" x14ac:dyDescent="0.25">
      <c r="D86" s="121" t="s">
        <v>272</v>
      </c>
      <c r="N86" s="121" t="s">
        <v>273</v>
      </c>
    </row>
    <row r="87" spans="4:19" ht="20.100000000000001" customHeight="1" x14ac:dyDescent="0.25">
      <c r="D87" s="122" t="s">
        <v>208</v>
      </c>
      <c r="E87" s="122" t="s">
        <v>209</v>
      </c>
      <c r="F87" s="122" t="s">
        <v>210</v>
      </c>
      <c r="G87" s="122" t="s">
        <v>211</v>
      </c>
      <c r="H87" s="122" t="s">
        <v>212</v>
      </c>
      <c r="N87" s="122" t="s">
        <v>208</v>
      </c>
      <c r="O87" s="122" t="s">
        <v>209</v>
      </c>
      <c r="P87" s="122" t="s">
        <v>210</v>
      </c>
      <c r="Q87" s="122" t="s">
        <v>211</v>
      </c>
      <c r="R87" s="122" t="s">
        <v>212</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0" t="s">
        <v>275</v>
      </c>
    </row>
    <row r="91" spans="4:19" ht="20.100000000000001" customHeight="1" x14ac:dyDescent="0.25">
      <c r="D91" s="121" t="s">
        <v>226</v>
      </c>
    </row>
    <row r="92" spans="4:19" ht="20.100000000000001" customHeight="1" x14ac:dyDescent="0.25">
      <c r="D92" s="96" t="s">
        <v>208</v>
      </c>
      <c r="E92" s="96" t="s">
        <v>209</v>
      </c>
      <c r="F92" s="96" t="s">
        <v>210</v>
      </c>
      <c r="G92" s="96" t="s">
        <v>211</v>
      </c>
      <c r="H92" s="96" t="s">
        <v>212</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0" t="s">
        <v>284</v>
      </c>
      <c r="N95" s="120" t="s">
        <v>285</v>
      </c>
    </row>
    <row r="96" spans="4:19" ht="20.100000000000001" customHeight="1" x14ac:dyDescent="0.25">
      <c r="D96" s="121" t="s">
        <v>286</v>
      </c>
      <c r="N96" s="121" t="s">
        <v>287</v>
      </c>
    </row>
    <row r="97" spans="3:21" ht="20.100000000000001" customHeight="1" x14ac:dyDescent="0.25">
      <c r="D97" s="96" t="s">
        <v>208</v>
      </c>
      <c r="E97" s="96" t="s">
        <v>209</v>
      </c>
      <c r="F97" s="96" t="s">
        <v>210</v>
      </c>
      <c r="G97" s="96" t="s">
        <v>211</v>
      </c>
      <c r="H97" s="96" t="s">
        <v>212</v>
      </c>
      <c r="N97" s="96" t="s">
        <v>208</v>
      </c>
      <c r="O97" s="96" t="s">
        <v>209</v>
      </c>
      <c r="P97" s="96" t="s">
        <v>210</v>
      </c>
      <c r="Q97" s="96" t="s">
        <v>211</v>
      </c>
      <c r="R97" s="96" t="s">
        <v>212</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0" t="s">
        <v>360</v>
      </c>
      <c r="N100" s="120" t="s">
        <v>361</v>
      </c>
    </row>
    <row r="101" spans="3:21" ht="20.100000000000001" customHeight="1" x14ac:dyDescent="0.25">
      <c r="D101" s="121" t="s">
        <v>362</v>
      </c>
      <c r="N101" s="121" t="s">
        <v>363</v>
      </c>
    </row>
    <row r="102" spans="3:21" ht="20.100000000000001" customHeight="1" x14ac:dyDescent="0.25">
      <c r="D102" s="122" t="s">
        <v>208</v>
      </c>
      <c r="E102" s="122" t="s">
        <v>209</v>
      </c>
      <c r="F102" s="122" t="s">
        <v>210</v>
      </c>
      <c r="G102" s="122" t="s">
        <v>211</v>
      </c>
      <c r="H102" s="122" t="s">
        <v>212</v>
      </c>
      <c r="N102" s="122" t="s">
        <v>208</v>
      </c>
      <c r="O102" s="122" t="s">
        <v>209</v>
      </c>
      <c r="P102" s="122" t="s">
        <v>210</v>
      </c>
      <c r="Q102" s="122" t="s">
        <v>211</v>
      </c>
      <c r="R102" s="122" t="s">
        <v>212</v>
      </c>
    </row>
    <row r="103" spans="3:21" ht="20.100000000000001" customHeight="1" x14ac:dyDescent="0.25">
      <c r="D103" s="25" cm="1">
        <f t="array" ref="D103">MMS_Dairy_N2ODirect_Equations.VEERG_4_3_1_3__6_NitrogenRetainedByBody(IF($I$78="Milk solids", D88, D93),D65,D29,D98)</f>
        <v>1.671497576209267E-2</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1.671497576209267E-2</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6" t="s">
        <v>257</v>
      </c>
      <c r="E109" s="116"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8" t="s">
        <v>258</v>
      </c>
      <c r="E112" s="1" t="str" cm="1">
        <f t="array" ref="E112">MMS_Dairy_N2ODirect_Equations.VEERG_4_3_1_3__5_CrudeProteinIntakeOfDairyCattle_Variable()</f>
        <v>CPI_j</v>
      </c>
    </row>
    <row r="113" spans="4:19" ht="20.100000000000001" customHeight="1" x14ac:dyDescent="0.25">
      <c r="D113" s="88" t="s">
        <v>127</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18" t="str" cm="1">
        <f t="array" ref="D115:G116">MMS_Dairy_N2ODirect_Equations.VEERG_4_3_1_3__5_CrudeProteinIntakeOfDairyCattle_Arguments()</f>
        <v>I_j</v>
      </c>
      <c r="E115" s="118" t="str">
        <v>dry matter intake</v>
      </c>
      <c r="F115" s="118" t="str">
        <v>kgDM/head/day</v>
      </c>
      <c r="G115" s="126" t="str">
        <v>Calculated from 3.3.1.1 (3)</v>
      </c>
      <c r="H115" s="125" t="str" cm="1">
        <f t="array" aca="1" ref="H115" ca="1">HYPERLINK(Common_InputFunctions.Utility_SourceHyperlink($D$47),$D$47)</f>
        <v>M1_Table_I_j</v>
      </c>
    </row>
    <row r="116" spans="4:19" ht="20.100000000000001" customHeight="1" x14ac:dyDescent="0.25">
      <c r="D116" s="118" t="str">
        <v>CP_j</v>
      </c>
      <c r="E116" s="118" t="str">
        <v>crude protein content of feed intake</v>
      </c>
      <c r="F116" s="118" t="str">
        <v>fraction</v>
      </c>
      <c r="G116" s="119" t="str">
        <v>Input</v>
      </c>
      <c r="H116" s="125" t="str" cm="1">
        <f t="array" aca="1" ref="H116" ca="1">HYPERLINK(Common_InputFunctions.Utility_SourceHyperlink($D$118),$D$118)</f>
        <v>M1_Table_CP_j</v>
      </c>
    </row>
    <row r="117" spans="4:19" ht="20.100000000000001" customHeight="1" x14ac:dyDescent="0.25"/>
    <row r="118" spans="4:19" ht="20.100000000000001" customHeight="1" x14ac:dyDescent="0.25">
      <c r="D118" s="120" t="s">
        <v>364</v>
      </c>
      <c r="N118" s="120" t="s">
        <v>365</v>
      </c>
    </row>
    <row r="119" spans="4:19" ht="20.100000000000001" customHeight="1" x14ac:dyDescent="0.25">
      <c r="D119" s="121" t="s">
        <v>366</v>
      </c>
      <c r="N119" s="121" t="s">
        <v>367</v>
      </c>
    </row>
    <row r="120" spans="4:19" ht="20.100000000000001" customHeight="1" x14ac:dyDescent="0.25">
      <c r="D120" s="96" t="s">
        <v>208</v>
      </c>
      <c r="E120" s="96" t="s">
        <v>209</v>
      </c>
      <c r="F120" s="96" t="s">
        <v>210</v>
      </c>
      <c r="G120" s="96" t="s">
        <v>211</v>
      </c>
      <c r="H120" s="96" t="s">
        <v>212</v>
      </c>
      <c r="N120" s="96" t="s">
        <v>208</v>
      </c>
      <c r="O120" s="96" t="s">
        <v>209</v>
      </c>
      <c r="P120" s="96" t="s">
        <v>210</v>
      </c>
      <c r="Q120" s="96" t="s">
        <v>211</v>
      </c>
      <c r="R120" s="96" t="s">
        <v>212</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0" t="s">
        <v>368</v>
      </c>
      <c r="N123" s="120" t="s">
        <v>369</v>
      </c>
    </row>
    <row r="124" spans="4:19" ht="20.100000000000001" customHeight="1" x14ac:dyDescent="0.25">
      <c r="D124" s="121" t="s">
        <v>370</v>
      </c>
      <c r="N124" s="121" t="s">
        <v>371</v>
      </c>
    </row>
    <row r="125" spans="4:19" ht="20.100000000000001" customHeight="1" x14ac:dyDescent="0.25">
      <c r="D125" s="122" t="s">
        <v>208</v>
      </c>
      <c r="E125" s="122" t="s">
        <v>209</v>
      </c>
      <c r="F125" s="122" t="s">
        <v>210</v>
      </c>
      <c r="G125" s="122" t="s">
        <v>211</v>
      </c>
      <c r="H125" s="122" t="s">
        <v>212</v>
      </c>
      <c r="N125" s="122" t="s">
        <v>208</v>
      </c>
      <c r="O125" s="122" t="s">
        <v>209</v>
      </c>
      <c r="P125" s="122" t="s">
        <v>210</v>
      </c>
      <c r="Q125" s="122" t="s">
        <v>211</v>
      </c>
      <c r="R125" s="122" t="s">
        <v>212</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6" t="s">
        <v>257</v>
      </c>
      <c r="E132" s="116"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8" t="s">
        <v>258</v>
      </c>
      <c r="E136" s="1" t="str" cm="1">
        <f t="array" ref="E136">MMS_Dairy_N2ODirect_Equations.VEERG_4_3_1_3__4_NitrogenExcretedByDairyCattleGreaterThanOneYear_Variable()</f>
        <v>NE_j</v>
      </c>
    </row>
    <row r="137" spans="3:21" ht="20.100000000000001" customHeight="1" x14ac:dyDescent="0.25">
      <c r="D137" s="88" t="s">
        <v>127</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18" t="str" cm="1">
        <f t="array" ref="D139:E141">_xlfn.CHOOSECOLS(MMS_Dairy_N2ODirect_Equations.VEERG_4_3_1_3__4_NitrogenExcretedByDairyCattleGreaterThanOneYear_Arguments(),1,2)</f>
        <v>CPI_j</v>
      </c>
      <c r="E139" s="123" t="str">
        <v>crude protein intake (kg/head/day)</v>
      </c>
      <c r="F139" s="124"/>
      <c r="G139" s="118" t="str" cm="1">
        <f t="array" ref="G139:H141">_xlfn.CHOOSECOLS(MMS_Dairy_N2ODirect_Equations.VEERG_4_3_1_3__4_NitrogenExcretedByDairyCattleGreaterThanOneYear_Arguments(),3,4)</f>
        <v>kg/head/day</v>
      </c>
      <c r="H139" s="126" t="str">
        <v>Calculated from 4.3.1.3 (5)</v>
      </c>
      <c r="I139" s="125" t="str" cm="1">
        <f t="array" aca="1" ref="I139" ca="1">HYPERLINK(Common_InputFunctions.Utility_SourceHyperlink($D$123),$D$123)</f>
        <v>M1_Table_CPI_j</v>
      </c>
    </row>
    <row r="140" spans="3:21" ht="20.100000000000001" customHeight="1" x14ac:dyDescent="0.25">
      <c r="D140" s="118" t="str">
        <v>NR_j</v>
      </c>
      <c r="E140" s="123" t="str">
        <v>amount of nitrogen retained by the body</v>
      </c>
      <c r="F140" s="124"/>
      <c r="G140" s="118" t="str">
        <v>kg N/head/day</v>
      </c>
      <c r="H140" s="126" t="str">
        <v>Calculated from 4.3.1.3 (6)</v>
      </c>
      <c r="I140" s="125" t="str" cm="1">
        <f t="array" aca="1" ref="I140" ca="1">HYPERLINK(Common_InputFunctions.Utility_SourceHyperlink($D$100),$D$100)</f>
        <v>M1_Table_NR_j</v>
      </c>
    </row>
    <row r="141" spans="3:21" ht="20.100000000000001" customHeight="1" x14ac:dyDescent="0.25">
      <c r="D141" s="118" t="str">
        <v>W_j</v>
      </c>
      <c r="E141" s="123" t="str">
        <v>liveweight (kg)</v>
      </c>
      <c r="F141" s="124"/>
      <c r="G141" s="118" t="str">
        <v>kg</v>
      </c>
      <c r="H141" s="119" t="str">
        <v>Input</v>
      </c>
      <c r="I141" s="125" t="str" cm="1">
        <f t="array" aca="1" ref="I141" ca="1">HYPERLINK(Common_InputFunctions.Utility_SourceHyperlink($D$16),$D$16)</f>
        <v>M1_Table_W_j</v>
      </c>
    </row>
    <row r="142" spans="3:21" ht="20.100000000000001" customHeight="1" x14ac:dyDescent="0.25"/>
    <row r="143" spans="3:21" ht="20.100000000000001" customHeight="1" x14ac:dyDescent="0.25">
      <c r="D143" s="120" t="s">
        <v>372</v>
      </c>
      <c r="N143" s="120" t="s">
        <v>373</v>
      </c>
    </row>
    <row r="144" spans="3:21" ht="20.100000000000001" customHeight="1" x14ac:dyDescent="0.25">
      <c r="D144" s="121" t="s">
        <v>374</v>
      </c>
      <c r="N144" s="121" t="s">
        <v>375</v>
      </c>
    </row>
    <row r="145" spans="3:21" ht="20.100000000000001" customHeight="1" x14ac:dyDescent="0.25">
      <c r="D145" s="122" t="s">
        <v>208</v>
      </c>
      <c r="E145" s="122" t="s">
        <v>209</v>
      </c>
      <c r="F145" s="122" t="s">
        <v>210</v>
      </c>
      <c r="G145" s="122" t="s">
        <v>211</v>
      </c>
      <c r="H145" s="122" t="s">
        <v>212</v>
      </c>
      <c r="N145" s="122" t="s">
        <v>208</v>
      </c>
      <c r="O145" s="122" t="s">
        <v>209</v>
      </c>
      <c r="P145" s="122" t="s">
        <v>210</v>
      </c>
      <c r="Q145" s="122" t="s">
        <v>211</v>
      </c>
      <c r="R145" s="122" t="s">
        <v>212</v>
      </c>
    </row>
    <row r="146" spans="3:21" ht="20.100000000000001" customHeight="1" x14ac:dyDescent="0.25">
      <c r="D146" s="25" cm="1">
        <f t="array" ref="D146">MMS_Dairy_N2ODirect_Equations.VEERG_4_3_1_3__4_NitrogenExcretedByDairyCattleGreaterThanOneYear(D126,D103,D19)</f>
        <v>0.58398431951631957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0.58398431951631957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6" t="s">
        <v>257</v>
      </c>
      <c r="E153" s="116"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8" t="s">
        <v>258</v>
      </c>
      <c r="E156" s="1" t="str" cm="1">
        <f t="array" ref="E156">MMS_Dairy_N2ODirect_Equations.VEERG_4_3_1_3__3a_TotalAnnualNitrogenExcretedGreaterThanOneYear_Variable()</f>
        <v>AE_j124</v>
      </c>
    </row>
    <row r="157" spans="3:21" ht="20.100000000000001" customHeight="1" x14ac:dyDescent="0.25">
      <c r="D157" s="88" t="s">
        <v>127</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18" t="str" cm="1">
        <f t="array" ref="D159:E161">_xlfn.CHOOSECOLS(MMS_Dairy_N2ODirect_Equations.VEERG_4_3_1_3__3a_TotalAnnualNitrogenExcretedGreaterThanOneYear_Arguments(),1,2)</f>
        <v>N_j124</v>
      </c>
      <c r="E159" s="123" t="str">
        <v>number of dairy cattle in classes j=1,2,4</v>
      </c>
      <c r="F159" s="124"/>
      <c r="G159" s="118" t="str" cm="1">
        <f t="array" ref="G159:H161">_xlfn.CHOOSECOLS(MMS_Dairy_N2ODirect_Equations.VEERG_4_3_1_3__3a_TotalAnnualNitrogenExcretedGreaterThanOneYear_Arguments(),3,4)</f>
        <v>head</v>
      </c>
      <c r="H159" s="119" t="str">
        <v>Input</v>
      </c>
      <c r="I159" s="125" t="str" cm="1">
        <f t="array" aca="1" ref="I159" ca="1">HYPERLINK(Common_InputFunctions.Utility_SourceHyperlink($D$163),$D$163)</f>
        <v>Table_N_j</v>
      </c>
    </row>
    <row r="160" spans="3:21" ht="20.100000000000001" customHeight="1" x14ac:dyDescent="0.25">
      <c r="D160" s="118" t="str">
        <v>NE_j124</v>
      </c>
      <c r="E160" s="123" t="str">
        <v>nitrogen excreted by dairy cattle greater than one year old (kg N/head/day)</v>
      </c>
      <c r="F160" s="124"/>
      <c r="G160" s="118" t="str">
        <v>kg N/head/day</v>
      </c>
      <c r="H160" s="126" t="str">
        <v>Calculated from 4.3.1.3 (4)</v>
      </c>
      <c r="I160" s="125" t="str" cm="1">
        <f t="array" aca="1" ref="I160" ca="1">HYPERLINK(Common_InputFunctions.Utility_SourceHyperlink($D$143),$D$143)</f>
        <v>M1_Table_NE_j</v>
      </c>
    </row>
    <row r="161" spans="1:19" ht="20.100000000000001" customHeight="1" x14ac:dyDescent="0.25">
      <c r="D161" s="118" t="str">
        <v>D_j124</v>
      </c>
      <c r="E161" s="123" t="str">
        <v>duration of stay on farm for classes j=1,2,4 (days)</v>
      </c>
      <c r="F161" s="124"/>
      <c r="G161" s="118" t="str">
        <v>days</v>
      </c>
      <c r="H161" s="119" t="str">
        <v>Input</v>
      </c>
      <c r="I161" s="125" t="str" cm="1">
        <f t="array" aca="1" ref="I161" ca="1">HYPERLINK(Common_InputFunctions.Utility_SourceHyperlink($D$168),$D$168)</f>
        <v>M1_Table_D_j-1-2-4</v>
      </c>
    </row>
    <row r="162" spans="1:19" ht="20.100000000000001" customHeight="1" x14ac:dyDescent="0.25"/>
    <row r="163" spans="1:19" ht="20.100000000000001" customHeight="1" x14ac:dyDescent="0.25">
      <c r="D163" s="120" t="s">
        <v>331</v>
      </c>
    </row>
    <row r="164" spans="1:19" ht="20.100000000000001" customHeight="1" x14ac:dyDescent="0.25">
      <c r="D164" s="121" t="s">
        <v>332</v>
      </c>
    </row>
    <row r="165" spans="1:19" ht="20.100000000000001" customHeight="1" x14ac:dyDescent="0.25">
      <c r="D165" s="96" t="s">
        <v>208</v>
      </c>
      <c r="E165" s="96" t="s">
        <v>209</v>
      </c>
      <c r="F165" s="96" t="s">
        <v>210</v>
      </c>
      <c r="G165" s="96" t="s">
        <v>211</v>
      </c>
      <c r="H165" s="96" t="s">
        <v>212</v>
      </c>
    </row>
    <row r="166" spans="1:19" ht="20.100000000000001" customHeight="1" x14ac:dyDescent="0.25">
      <c r="D166" s="132">
        <f>INDEX(X_Table_Dairy_HerdMovement,2,2)</f>
        <v>100</v>
      </c>
      <c r="E166" s="132">
        <f>INDEX(X_Table_Dairy_HerdMovement,2,3)</f>
        <v>100</v>
      </c>
      <c r="F166" s="132">
        <f>INDEX(X_Table_Dairy_HerdMovement,2,4)</f>
        <v>100</v>
      </c>
      <c r="G166" s="132">
        <f>INDEX(X_Table_Dairy_HerdMovement,2,5)</f>
        <v>100</v>
      </c>
      <c r="H166" s="132">
        <f>INDEX(X_Table_Dairy_HerdMovement,2,6)</f>
        <v>100</v>
      </c>
      <c r="I166" s="26" t="str">
        <f>G159</f>
        <v>head</v>
      </c>
    </row>
    <row r="167" spans="1:19" ht="20.100000000000001" customHeight="1" x14ac:dyDescent="0.25"/>
    <row r="168" spans="1:19" ht="20.100000000000001" customHeight="1" x14ac:dyDescent="0.25">
      <c r="D168" s="120" t="s">
        <v>376</v>
      </c>
      <c r="N168" s="120" t="s">
        <v>377</v>
      </c>
    </row>
    <row r="169" spans="1:19" ht="20.100000000000001" customHeight="1" x14ac:dyDescent="0.25">
      <c r="D169" s="121" t="s">
        <v>378</v>
      </c>
      <c r="N169" s="121" t="s">
        <v>379</v>
      </c>
    </row>
    <row r="170" spans="1:19" ht="20.100000000000001" customHeight="1" x14ac:dyDescent="0.25">
      <c r="D170" s="96" t="s">
        <v>208</v>
      </c>
      <c r="E170" s="96" t="s">
        <v>209</v>
      </c>
      <c r="F170" s="96" t="s">
        <v>210</v>
      </c>
      <c r="G170" s="96" t="s">
        <v>211</v>
      </c>
      <c r="H170" s="96" t="s">
        <v>212</v>
      </c>
      <c r="N170" s="96" t="s">
        <v>208</v>
      </c>
      <c r="O170" s="96" t="s">
        <v>209</v>
      </c>
      <c r="P170" s="96" t="s">
        <v>210</v>
      </c>
      <c r="Q170" s="96" t="s">
        <v>211</v>
      </c>
      <c r="R170" s="96" t="s">
        <v>212</v>
      </c>
    </row>
    <row r="171" spans="1:19" ht="20.100000000000001" customHeight="1" x14ac:dyDescent="0.25">
      <c r="A171" s="127"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118</v>
      </c>
    </row>
    <row r="172" spans="1:19" ht="20.100000000000001" customHeight="1" x14ac:dyDescent="0.25"/>
    <row r="173" spans="1:19" ht="20.100000000000001" customHeight="1" x14ac:dyDescent="0.25">
      <c r="D173" s="120" t="s">
        <v>380</v>
      </c>
      <c r="N173" s="120" t="s">
        <v>381</v>
      </c>
    </row>
    <row r="174" spans="1:19" ht="20.100000000000001" customHeight="1" x14ac:dyDescent="0.25">
      <c r="D174" s="121" t="s">
        <v>382</v>
      </c>
      <c r="N174" s="121" t="s">
        <v>383</v>
      </c>
    </row>
    <row r="175" spans="1:19" ht="20.100000000000001" customHeight="1" x14ac:dyDescent="0.25">
      <c r="D175" s="122" t="s">
        <v>208</v>
      </c>
      <c r="E175" s="122" t="s">
        <v>209</v>
      </c>
      <c r="F175" s="122" t="s">
        <v>210</v>
      </c>
      <c r="G175" s="122" t="s">
        <v>211</v>
      </c>
      <c r="H175" s="122" t="s">
        <v>212</v>
      </c>
      <c r="N175" s="122" t="s">
        <v>208</v>
      </c>
      <c r="O175" s="122" t="s">
        <v>209</v>
      </c>
      <c r="P175" s="122" t="s">
        <v>210</v>
      </c>
      <c r="Q175" s="122" t="s">
        <v>211</v>
      </c>
      <c r="R175" s="122" t="s">
        <v>212</v>
      </c>
    </row>
    <row r="176" spans="1:19" ht="20.100000000000001" customHeight="1" x14ac:dyDescent="0.25">
      <c r="D176" s="25" cm="1">
        <f t="array" ref="D176">MMS_Dairy_N2ODirect_Equations.VEERG_4_3_1_3__3a_TotalAnnualNitrogenExcretedGreaterThanOneYearVariation(D166,D146,D171)</f>
        <v>21315.427662345664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21315.427662345664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6" t="s">
        <v>257</v>
      </c>
      <c r="E183" s="116"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8" t="s">
        <v>258</v>
      </c>
      <c r="E186" s="1" t="str" cm="1">
        <f t="array" ref="E186">MMS_Dairy_N2ODirect_Equations.VEERG_4_3_1_3__3b_TotalAnnualNitrogenExcretedLessThanOneYear_Variable()</f>
        <v>AE_j35</v>
      </c>
    </row>
    <row r="187" spans="3:21" ht="20.100000000000001" customHeight="1" x14ac:dyDescent="0.25">
      <c r="D187" s="88" t="s">
        <v>127</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18" t="str" cm="1">
        <f t="array" ref="D189:E193">_xlfn.CHOOSECOLS(MMS_Dairy_N2ODirect_Equations.VEERG_4_3_1_3__3b_TotalAnnualNitrogenExcretedLessThanOneYear_Arguments(),1,2)</f>
        <v>N_j35</v>
      </c>
      <c r="E189" s="123" t="str">
        <v>number of dairy cattle in classes j=3,5</v>
      </c>
      <c r="F189" s="124"/>
      <c r="G189" s="118" t="str" cm="1">
        <f t="array" ref="G189:H193">_xlfn.CHOOSECOLS(MMS_Dairy_N2ODirect_Equations.VEERG_4_3_1_3__3b_TotalAnnualNitrogenExcretedLessThanOneYear_Arguments(),3,4)</f>
        <v>head</v>
      </c>
      <c r="H189" s="119" t="str">
        <v>Input</v>
      </c>
      <c r="I189" s="125" t="str" cm="1">
        <f t="array" aca="1" ref="I189" ca="1">HYPERLINK(Common_InputFunctions.Utility_SourceHyperlink($D$163),$D$163)</f>
        <v>Table_N_j</v>
      </c>
    </row>
    <row r="190" spans="3:21" ht="20.100000000000001" customHeight="1" x14ac:dyDescent="0.25">
      <c r="D190" s="118" t="str">
        <v>NE_j35</v>
      </c>
      <c r="E190" s="123" t="str">
        <v>nitrogen excreted by weaned dairy cattle less than one year old (kg N/head/day)</v>
      </c>
      <c r="F190" s="124"/>
      <c r="G190" s="118" t="str">
        <v>kg N/head/day</v>
      </c>
      <c r="H190" s="126" t="str">
        <v>Calculated from 4.3.1.3 (4)</v>
      </c>
      <c r="I190" s="125" t="str" cm="1">
        <f t="array" aca="1" ref="I190" ca="1">HYPERLINK(Common_InputFunctions.Utility_SourceHyperlink($D$143),$D$143)</f>
        <v>M1_Table_NE_j</v>
      </c>
    </row>
    <row r="191" spans="3:21" ht="20.100000000000001" customHeight="1" x14ac:dyDescent="0.25">
      <c r="D191" s="118" t="str">
        <v>NPW_j35</v>
      </c>
      <c r="E191" s="123" t="str">
        <v>nitrogen excreted by pre-weaned calves (kg N/head/day)</v>
      </c>
      <c r="F191" s="124"/>
      <c r="G191" s="118" t="str">
        <v>kg N/head/day</v>
      </c>
      <c r="H191" s="126" t="str">
        <v>Constant</v>
      </c>
      <c r="I191" s="125" t="str" cm="1">
        <f t="array" aca="1" ref="I191" ca="1">HYPERLINK(Common_InputFunctions.Utility_SourceHyperlink($D$195),$D$195)</f>
        <v>Table_NPW_j-3-5</v>
      </c>
    </row>
    <row r="192" spans="3:21" ht="20.100000000000001" customHeight="1" x14ac:dyDescent="0.25">
      <c r="D192" s="118" t="str">
        <v>D_j35</v>
      </c>
      <c r="E192" s="123" t="str">
        <v>duration of stay on farm for weaned dairy cattle less than one year old (days)</v>
      </c>
      <c r="F192" s="124"/>
      <c r="G192" s="118" t="str">
        <v>days</v>
      </c>
      <c r="H192" s="119" t="str">
        <v>Input</v>
      </c>
      <c r="I192" s="125" t="str" cm="1">
        <f t="array" aca="1" ref="I192" ca="1">HYPERLINK(Common_InputFunctions.Utility_SourceHyperlink($D$200),$D$200)</f>
        <v>M1_Table_D_j-3-5</v>
      </c>
    </row>
    <row r="193" spans="1:19" ht="20.100000000000001" customHeight="1" x14ac:dyDescent="0.25">
      <c r="D193" s="118" t="str">
        <v>DPW_j35</v>
      </c>
      <c r="E193" s="123" t="str">
        <v>duration of stay on farm for pre-weaned calves (days)</v>
      </c>
      <c r="F193" s="124"/>
      <c r="G193" s="118" t="str">
        <v>days</v>
      </c>
      <c r="H193" s="119" t="str">
        <v>Input</v>
      </c>
      <c r="I193" s="125" t="str" cm="1">
        <f t="array" aca="1" ref="I193" ca="1">HYPERLINK(Common_InputFunctions.Utility_SourceHyperlink($D$205),$D$205)</f>
        <v>M1_Table_DPW_j</v>
      </c>
    </row>
    <row r="194" spans="1:19" ht="20.100000000000001" customHeight="1" x14ac:dyDescent="0.25"/>
    <row r="195" spans="1:19" ht="20.100000000000001" customHeight="1" x14ac:dyDescent="0.25">
      <c r="D195" s="120" t="s">
        <v>384</v>
      </c>
    </row>
    <row r="196" spans="1:19" ht="20.100000000000001" customHeight="1" x14ac:dyDescent="0.25">
      <c r="D196" s="121" t="s">
        <v>385</v>
      </c>
    </row>
    <row r="197" spans="1:19" ht="20.100000000000001" customHeight="1" x14ac:dyDescent="0.25">
      <c r="D197" s="122" t="s">
        <v>208</v>
      </c>
      <c r="E197" s="122" t="s">
        <v>209</v>
      </c>
      <c r="F197" s="122" t="s">
        <v>210</v>
      </c>
      <c r="G197" s="122" t="s">
        <v>211</v>
      </c>
      <c r="H197" s="122" t="s">
        <v>212</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0" t="s">
        <v>386</v>
      </c>
      <c r="N200" s="120" t="s">
        <v>386</v>
      </c>
    </row>
    <row r="201" spans="1:19" ht="20.100000000000001" customHeight="1" x14ac:dyDescent="0.25">
      <c r="D201" s="121" t="s">
        <v>387</v>
      </c>
      <c r="N201" s="121" t="s">
        <v>388</v>
      </c>
    </row>
    <row r="202" spans="1:19" ht="20.100000000000001" customHeight="1" x14ac:dyDescent="0.25">
      <c r="D202" s="96" t="s">
        <v>208</v>
      </c>
      <c r="E202" s="96" t="s">
        <v>209</v>
      </c>
      <c r="F202" s="96" t="s">
        <v>210</v>
      </c>
      <c r="G202" s="96" t="s">
        <v>211</v>
      </c>
      <c r="H202" s="96" t="s">
        <v>212</v>
      </c>
      <c r="N202" s="96" t="s">
        <v>208</v>
      </c>
      <c r="O202" s="96" t="s">
        <v>209</v>
      </c>
      <c r="P202" s="96" t="s">
        <v>210</v>
      </c>
      <c r="Q202" s="96" t="s">
        <v>211</v>
      </c>
      <c r="R202" s="96" t="s">
        <v>212</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0" t="s">
        <v>341</v>
      </c>
      <c r="N205" s="120" t="s">
        <v>341</v>
      </c>
    </row>
    <row r="206" spans="1:19" ht="20.100000000000001" customHeight="1" x14ac:dyDescent="0.25">
      <c r="D206" s="121" t="s">
        <v>342</v>
      </c>
      <c r="N206" s="121" t="s">
        <v>389</v>
      </c>
    </row>
    <row r="207" spans="1:19" ht="20.100000000000001" customHeight="1" x14ac:dyDescent="0.25">
      <c r="D207" s="96" t="s">
        <v>208</v>
      </c>
      <c r="E207" s="96" t="s">
        <v>209</v>
      </c>
      <c r="F207" s="96" t="s">
        <v>210</v>
      </c>
      <c r="G207" s="96" t="s">
        <v>211</v>
      </c>
      <c r="H207" s="96" t="s">
        <v>212</v>
      </c>
      <c r="N207" s="96" t="s">
        <v>208</v>
      </c>
      <c r="O207" s="96" t="s">
        <v>209</v>
      </c>
      <c r="P207" s="96" t="s">
        <v>210</v>
      </c>
      <c r="Q207" s="96" t="s">
        <v>211</v>
      </c>
      <c r="R207" s="96" t="s">
        <v>212</v>
      </c>
    </row>
    <row r="208" spans="1:19" ht="20.100000000000001" customHeight="1" x14ac:dyDescent="0.25">
      <c r="A208" s="127"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0" t="s">
        <v>390</v>
      </c>
      <c r="N210" s="120" t="s">
        <v>390</v>
      </c>
    </row>
    <row r="211" spans="3:21" ht="20.100000000000001" customHeight="1" x14ac:dyDescent="0.25">
      <c r="D211" s="121" t="s">
        <v>391</v>
      </c>
      <c r="N211" s="121" t="s">
        <v>392</v>
      </c>
    </row>
    <row r="212" spans="3:21" ht="20.100000000000001" customHeight="1" x14ac:dyDescent="0.25">
      <c r="D212" s="122" t="s">
        <v>208</v>
      </c>
      <c r="E212" s="122" t="s">
        <v>209</v>
      </c>
      <c r="F212" s="122" t="s">
        <v>210</v>
      </c>
      <c r="G212" s="122" t="s">
        <v>211</v>
      </c>
      <c r="H212" s="122" t="s">
        <v>212</v>
      </c>
      <c r="N212" s="122" t="s">
        <v>208</v>
      </c>
      <c r="O212" s="122" t="s">
        <v>209</v>
      </c>
      <c r="P212" s="122" t="s">
        <v>210</v>
      </c>
      <c r="Q212" s="122" t="s">
        <v>211</v>
      </c>
      <c r="R212" s="122" t="s">
        <v>212</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6" t="s">
        <v>257</v>
      </c>
      <c r="E219" s="116"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8" t="s">
        <v>258</v>
      </c>
      <c r="E222" s="1" t="str" cm="1">
        <f t="array" ref="E222">MMS_Dairy_N2ODirect_Equations.VEERG_4_3_1_3__2_TotalNitrogenInEachMMS_Variable()</f>
        <v>MN_jm</v>
      </c>
    </row>
    <row r="223" spans="3:21" ht="20.100000000000001" customHeight="1" x14ac:dyDescent="0.25">
      <c r="D223" s="88" t="s">
        <v>127</v>
      </c>
      <c r="E223" s="15" t="str" cm="1">
        <f t="array" ref="E223">MMS_Dairy_N2ODirect_Equations.VEERG_4_3_1_3__2_TotalNitrogenInEachMMS_Unit()</f>
        <v>kg N</v>
      </c>
    </row>
    <row r="224" spans="3:21" ht="20.100000000000001" customHeight="1" x14ac:dyDescent="0.25"/>
    <row r="225" spans="4:20" ht="20.100000000000001" customHeight="1" x14ac:dyDescent="0.25">
      <c r="D225" s="118" t="str" cm="1">
        <f t="array" ref="D225:E226">_xlfn.CHOOSECOLS(MMS_Dairy_N2ODirect_Equations.VEERG_4_3_1_3__2_TotalNitrogenInEachMMS_Arguments(),1,2)</f>
        <v>AE_j</v>
      </c>
      <c r="E225" s="118" t="str">
        <v>total nitrogen excreted by each dairy class</v>
      </c>
      <c r="F225" s="118"/>
      <c r="G225" s="118" t="str" cm="1">
        <f t="array" ref="G225:H226">_xlfn.CHOOSECOLS(MMS_Dairy_N2ODirect_Equations.VEERG_4_3_1_3__2_TotalNitrogenInEachMMS_Arguments(),3,4)</f>
        <v>kg N</v>
      </c>
      <c r="H225" s="126" t="str">
        <v>Calculated from 4.3.1.3 (3a) and (3b)</v>
      </c>
      <c r="I225" s="125" t="str" cm="1">
        <f t="array" aca="1" ref="I225" ca="1">HYPERLINK(Common_InputFunctions.Utility_SourceHyperlink($D$173),$D$173)</f>
        <v>M1_Table_AE_j-1-2-4</v>
      </c>
      <c r="J225" s="125" t="str" cm="1">
        <f t="array" aca="1" ref="J225" ca="1">HYPERLINK(Common_InputFunctions.Utility_SourceHyperlink($D$210),$D$210)</f>
        <v>M1_Table_AE_j</v>
      </c>
    </row>
    <row r="226" spans="4:20" ht="20.100000000000001" customHeight="1" x14ac:dyDescent="0.25">
      <c r="D226" s="118" t="str">
        <v>MMS_jm</v>
      </c>
      <c r="E226" s="118" t="str">
        <v>manure management system fraction for class j and system m</v>
      </c>
      <c r="F226" s="118"/>
      <c r="G226" s="118" t="str">
        <v>fraction</v>
      </c>
      <c r="H226" s="119" t="str">
        <v>Input</v>
      </c>
      <c r="I226" s="125" t="str" cm="1">
        <f t="array" aca="1" ref="I226" ca="1">HYPERLINK(Common_InputFunctions.Utility_SourceHyperlink($D$228),$D$228)</f>
        <v>M1_Table_MMS_j_m</v>
      </c>
      <c r="J226" s="125" t="str" cm="1">
        <f t="array" aca="1" ref="J226" ca="1">HYPERLINK(Common_InputFunctions.Utility_SourceHyperlink($D$228),$D$228)</f>
        <v>M1_Table_MMS_j_m</v>
      </c>
    </row>
    <row r="227" spans="4:20" ht="20.100000000000001" customHeight="1" x14ac:dyDescent="0.25"/>
    <row r="228" spans="4:20" ht="20.100000000000001" customHeight="1" x14ac:dyDescent="0.25">
      <c r="D228" s="120" t="s">
        <v>298</v>
      </c>
      <c r="N228" s="120" t="s">
        <v>299</v>
      </c>
    </row>
    <row r="229" spans="4:20" ht="20.100000000000001" customHeight="1" x14ac:dyDescent="0.25">
      <c r="D229" s="121" t="s">
        <v>393</v>
      </c>
      <c r="N229" s="121" t="s">
        <v>394</v>
      </c>
    </row>
    <row r="230" spans="4:20" ht="20.100000000000001" customHeight="1" x14ac:dyDescent="0.25">
      <c r="D230" s="96" t="s">
        <v>182</v>
      </c>
      <c r="E230" s="96" t="s">
        <v>302</v>
      </c>
      <c r="F230" s="96" t="s">
        <v>208</v>
      </c>
      <c r="G230" s="96" t="s">
        <v>209</v>
      </c>
      <c r="H230" s="96" t="s">
        <v>210</v>
      </c>
      <c r="I230" s="96" t="s">
        <v>211</v>
      </c>
      <c r="J230" s="96" t="s">
        <v>212</v>
      </c>
      <c r="N230" s="96" t="s">
        <v>182</v>
      </c>
      <c r="O230" s="96" t="s">
        <v>302</v>
      </c>
      <c r="P230" s="96" t="s">
        <v>208</v>
      </c>
      <c r="Q230" s="96" t="s">
        <v>209</v>
      </c>
      <c r="R230" s="96" t="s">
        <v>210</v>
      </c>
      <c r="S230" s="96" t="s">
        <v>211</v>
      </c>
      <c r="T230" s="96" t="s">
        <v>212</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81</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81</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81</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9"/>
    </row>
    <row r="240" spans="4:20" ht="20.100000000000001" customHeight="1" x14ac:dyDescent="0.25">
      <c r="D240" s="120" t="s">
        <v>395</v>
      </c>
      <c r="N240" s="120" t="s">
        <v>396</v>
      </c>
    </row>
    <row r="241" spans="1:21" ht="20.100000000000001" customHeight="1" x14ac:dyDescent="0.25">
      <c r="D241" s="121" t="s">
        <v>397</v>
      </c>
      <c r="N241" s="121" t="s">
        <v>398</v>
      </c>
    </row>
    <row r="242" spans="1:21" ht="20.100000000000001" customHeight="1" x14ac:dyDescent="0.25">
      <c r="D242" s="122" t="s">
        <v>182</v>
      </c>
      <c r="E242" s="122" t="s">
        <v>302</v>
      </c>
      <c r="F242" s="122" t="s">
        <v>208</v>
      </c>
      <c r="G242" s="122" t="s">
        <v>209</v>
      </c>
      <c r="H242" s="122" t="s">
        <v>210</v>
      </c>
      <c r="I242" s="122" t="s">
        <v>211</v>
      </c>
      <c r="J242" s="122" t="s">
        <v>212</v>
      </c>
      <c r="N242" s="122" t="s">
        <v>182</v>
      </c>
      <c r="O242" s="122" t="s">
        <v>302</v>
      </c>
      <c r="P242" s="122" t="s">
        <v>208</v>
      </c>
      <c r="Q242" s="122" t="s">
        <v>209</v>
      </c>
      <c r="R242" s="122" t="s">
        <v>210</v>
      </c>
      <c r="S242" s="122" t="s">
        <v>211</v>
      </c>
      <c r="T242" s="122" t="s">
        <v>212</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468.93940857160464</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468.93940857160464</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468.93940857160464</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468.93940857160464</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7"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468.93940857160464</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468.93940857160464</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81</v>
      </c>
      <c r="F246" s="25" cm="1">
        <f t="array" ref="F246">MMS_Dairy_N2ODirect_Equations.VEERG_4_3_1_3__2_TotalNitrogenInEachMMS(D$176,F234)</f>
        <v>937.87881714320918</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81</v>
      </c>
      <c r="P246" s="25" cm="1">
        <f t="array" ref="P246">MMS_Dairy_N2ODirect_Equations.VEERG_4_3_1_3__2_TotalNitrogenInEachMMS(N$176,P234)</f>
        <v>937.87881714320918</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1897.073061948764</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1897.073061948764</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1517.6584495590114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1517.6584495590114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1517.6584495590114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1517.6584495590114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81</v>
      </c>
      <c r="F250" s="25" cm="1">
        <f t="array" ref="F250">MMS_Dairy_N2ODirect_Equations.VEERG_4_3_1_3__2_TotalNitrogenInEachMMS(D$176,F238)</f>
        <v>2655.9022867282697</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81</v>
      </c>
      <c r="P250" s="25" cm="1">
        <f t="array" ref="P250">MMS_Dairy_N2ODirect_Equations.VEERG_4_3_1_3__2_TotalNitrogenInEachMMS(N$176,P238)</f>
        <v>2655.9022867282697</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6" t="s">
        <v>257</v>
      </c>
      <c r="E256" s="116"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8" t="s">
        <v>258</v>
      </c>
      <c r="E259" s="1" t="str" cm="1">
        <f t="array" ref="E259">MMS_Dairy_N2ODirect_Equations.VEERG_4_3_1_3__1_TotalAnnualDirectNitrousOxideEmissionsFromMMS_Variable()</f>
        <v>E_N2Odir</v>
      </c>
    </row>
    <row r="260" spans="4:9" ht="20.100000000000001" customHeight="1" x14ac:dyDescent="0.25">
      <c r="D260" s="88" t="s">
        <v>127</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18" t="str" cm="1">
        <f t="array" ref="D262:E264">_xlfn.CHOOSECOLS(MMS_Dairy_N2ODirect_Equations.VEERG_4_3_1_3__1_TotalAnnualDirectNitrousOxideEmissionsFromMMS_Arguments(),1,2)</f>
        <v>MN_jm</v>
      </c>
      <c r="E262" s="118" t="str">
        <v>total nitrogen in each MMS for dairy cattle classes</v>
      </c>
      <c r="F262" s="118"/>
      <c r="G262" s="118" t="str" cm="1">
        <f t="array" ref="G262:H264">_xlfn.CHOOSECOLS(MMS_Dairy_N2ODirect_Equations.VEERG_4_3_1_3__1_TotalAnnualDirectNitrousOxideEmissionsFromMMS_Arguments(),3,4)</f>
        <v>kg N</v>
      </c>
      <c r="H262" s="126" t="str">
        <v>Calculated from 4.3.1.3 (2)</v>
      </c>
      <c r="I262" s="125" t="str" cm="1">
        <f t="array" aca="1" ref="I262" ca="1">HYPERLINK(Common_InputFunctions.Utility_SourceHyperlink($D$240),$D$240)</f>
        <v>M1_Table_MN_j_m</v>
      </c>
    </row>
    <row r="263" spans="4:9" ht="20.100000000000001" customHeight="1" x14ac:dyDescent="0.25">
      <c r="D263" s="118" t="str">
        <v>EF_m</v>
      </c>
      <c r="E263" s="118" t="str">
        <v>nitrous oxide emission factor for each MMS (kg N2O-N/kg N deposited)</v>
      </c>
      <c r="F263" s="118"/>
      <c r="G263" s="118" t="str">
        <v>kg N2O-N/kg N</v>
      </c>
      <c r="H263" s="126" t="str">
        <v>Constant</v>
      </c>
      <c r="I263" s="125" t="str" cm="1">
        <f t="array" aca="1" ref="I263" ca="1">HYPERLINK(Common_InputFunctions.Utility_SourceHyperlink($D$266),$D$266)</f>
        <v>Table_EF_m</v>
      </c>
    </row>
    <row r="264" spans="4:9" ht="20.100000000000001" customHeight="1" x14ac:dyDescent="0.25">
      <c r="D264" s="118" t="str">
        <v>C_N2O</v>
      </c>
      <c r="E264" s="118" t="str">
        <v>factor to convert elemental mass of N2O to molecular mass</v>
      </c>
      <c r="F264" s="118"/>
      <c r="G264" s="118" t="str">
        <v>fraction</v>
      </c>
      <c r="H264" s="126" t="str">
        <v>Constant</v>
      </c>
      <c r="I264" s="118">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0" t="s">
        <v>399</v>
      </c>
    </row>
    <row r="267" spans="4:9" ht="20.100000000000001" customHeight="1" x14ac:dyDescent="0.25">
      <c r="D267" s="121" t="s">
        <v>400</v>
      </c>
    </row>
    <row r="268" spans="4:9" ht="20.100000000000001" customHeight="1" x14ac:dyDescent="0.25">
      <c r="D268" s="122" t="s">
        <v>302</v>
      </c>
      <c r="E268" s="122" t="s">
        <v>401</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0" t="s">
        <v>402</v>
      </c>
      <c r="N275" s="120" t="s">
        <v>403</v>
      </c>
    </row>
    <row r="276" spans="1:20" ht="20.100000000000001" customHeight="1" x14ac:dyDescent="0.25">
      <c r="D276" s="121" t="s">
        <v>404</v>
      </c>
      <c r="N276" s="121" t="s">
        <v>405</v>
      </c>
    </row>
    <row r="277" spans="1:20" ht="20.100000000000001" customHeight="1" x14ac:dyDescent="0.25">
      <c r="D277" s="122" t="s">
        <v>182</v>
      </c>
      <c r="E277" s="122" t="s">
        <v>302</v>
      </c>
      <c r="F277" s="122" t="s">
        <v>208</v>
      </c>
      <c r="G277" s="122" t="s">
        <v>209</v>
      </c>
      <c r="H277" s="122" t="s">
        <v>210</v>
      </c>
      <c r="I277" s="122" t="s">
        <v>211</v>
      </c>
      <c r="J277" s="122" t="s">
        <v>212</v>
      </c>
      <c r="N277" s="122" t="s">
        <v>182</v>
      </c>
      <c r="O277" s="122" t="s">
        <v>302</v>
      </c>
      <c r="P277" s="122" t="s">
        <v>208</v>
      </c>
      <c r="Q277" s="122" t="s">
        <v>209</v>
      </c>
      <c r="R277" s="122" t="s">
        <v>210</v>
      </c>
      <c r="S277" s="122" t="s">
        <v>211</v>
      </c>
      <c r="T277" s="122" t="s">
        <v>212</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81</v>
      </c>
      <c r="F281" s="25" cm="1">
        <f t="array" ref="F281">MMS_Dairy_N2ODirect_Equations.VEERG_4_3_1_3__1_TotalAnnualDirectNitrousOxideEmissionsFromMMS(F246,$E273,$I$264)</f>
        <v>7.3690478489823576E-3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81</v>
      </c>
      <c r="P281" s="25" cm="1">
        <f t="array" ref="P281">MMS_Dairy_N2ODirect_Equations.VEERG_4_3_1_3__1_TotalAnnualDirectNitrousOxideEmissionsFromMMS(P246,$E273,$I$264)</f>
        <v>7.3690478489823576E-3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7" t="str">
        <f>HYPERLINK("#A1", "▲ Back to top")</f>
        <v>▲ Back to top</v>
      </c>
      <c r="D285" s="25" t="str">
        <f>INDEX(X_Table_Dairy_ProductionSystems_Method1,4,1)</f>
        <v>Feed pad</v>
      </c>
      <c r="E285" s="25" t="s">
        <v>81</v>
      </c>
      <c r="F285" s="25" cm="1">
        <f t="array" ref="F285">MMS_Dairy_N2ODirect_Equations.VEERG_4_3_1_3__1_TotalAnnualDirectNitrousOxideEmissionsFromMMS(F250,$E273,$I$264)</f>
        <v>2.0867803681436405E-2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81</v>
      </c>
      <c r="P285" s="25" cm="1">
        <f t="array" ref="P285">MMS_Dairy_N2ODirect_Equations.VEERG_4_3_1_3__1_TotalAnnualDirectNitrousOxideEmissionsFromMMS(P250,$E273,$I$264)</f>
        <v>2.0867803681436405E-2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3" t="s">
        <v>406</v>
      </c>
      <c r="E287" s="134">
        <f>SUM(F278:J285)</f>
        <v>6.3172161253287021E-2</v>
      </c>
      <c r="F287" s="135" t="str">
        <f>$E$260</f>
        <v>t N2O</v>
      </c>
      <c r="N287" s="133" t="s">
        <v>406</v>
      </c>
      <c r="O287" s="134">
        <f>SUM(P278:T285)</f>
        <v>6.3172161253287021E-2</v>
      </c>
      <c r="P287" s="135" t="str">
        <f>$E$260</f>
        <v>t N2O</v>
      </c>
    </row>
    <row r="288" spans="1:20" ht="20.100000000000001" customHeight="1" x14ac:dyDescent="0.25"/>
    <row r="289" spans="4:17" ht="20.100000000000001" customHeight="1" x14ac:dyDescent="0.25">
      <c r="D289" s="130" t="str" cm="1">
        <f t="array" ref="D289:E290">Common_Equations.Common_ConvertN2OToCO2e_Arguments()</f>
        <v>EN2O</v>
      </c>
      <c r="E289" s="136" t="str">
        <v>Nitrous oxide emissions (t N2O)</v>
      </c>
      <c r="F289" s="137"/>
      <c r="G289" s="25">
        <f>VEERG_4_3_1_3__1_TotalAnnualDirectNitrousOxideEmissionsFromMMS_Result_Method1</f>
        <v>6.3172161253287021E-2</v>
      </c>
      <c r="N289" s="130" t="str" cm="1">
        <f t="array" ref="N289:O290">Common_Equations.Common_ConvertN2OToCO2e_Arguments()</f>
        <v>EN2O</v>
      </c>
      <c r="O289" s="136" t="str">
        <v>Nitrous oxide emissions (t N2O)</v>
      </c>
      <c r="P289" s="137"/>
      <c r="Q289" s="25">
        <f>VEERG_4_3_1_3__1_TotalAnnualDirectNitrousOxideEmissionsFromMMS_Result_Method2</f>
        <v>6.3172161253287021E-2</v>
      </c>
    </row>
    <row r="290" spans="4:17" ht="20.100000000000001" customHeight="1" x14ac:dyDescent="0.25">
      <c r="D290" s="130" t="str">
        <v>GWPN2O</v>
      </c>
      <c r="E290" s="136" t="str">
        <v>Global warming potential for nitrous oxide (t CO2-e / t N2O)</v>
      </c>
      <c r="F290" s="137"/>
      <c r="G290" s="25">
        <f>Common_InputFunctions.Utility_LookupValueInTableNumber("N2O",Table_GWPData[Gas],Table_GWPData[CO2-e factor])</f>
        <v>265</v>
      </c>
      <c r="N290" s="130" t="str">
        <v>GWPN2O</v>
      </c>
      <c r="O290" s="136" t="str">
        <v>Global warming potential for nitrous oxide (t CO2-e / t N2O)</v>
      </c>
      <c r="P290" s="137"/>
      <c r="Q290" s="25">
        <f>Common_InputFunctions.Utility_LookupValueInTableNumber("N2O",Table_GWPData[Gas],Table_GWPData[CO2-e factor])</f>
        <v>265</v>
      </c>
    </row>
    <row r="291" spans="4:17" ht="20.100000000000001" customHeight="1" x14ac:dyDescent="0.25"/>
    <row r="292" spans="4:17" ht="18.75" x14ac:dyDescent="0.25">
      <c r="D292" s="100" t="s">
        <v>407</v>
      </c>
      <c r="E292" s="100" cm="1">
        <f t="array" ref="E292">Common_Equations.Common_ConvertN2OToCO2e(G289,G290)</f>
        <v>16.740622732121061</v>
      </c>
      <c r="F292" s="138" t="str" cm="1">
        <f t="array" ref="F292">Common_Equations.Common_ConvertN2OToCO2e_Unit()</f>
        <v>t CO2e</v>
      </c>
      <c r="N292" s="100" t="s">
        <v>407</v>
      </c>
      <c r="O292" s="100" cm="1">
        <f t="array" ref="O292">Common_Equations.Common_ConvertN2OToCO2e(Q289,Q290)</f>
        <v>16.740622732121061</v>
      </c>
      <c r="P292" s="138"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A2E37C07-0D89-4A5B-A22B-E25A3D1D9333}"/>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F302-7A84-4FF2-BC37-B4B149D1462A}">
  <dimension ref="A1:W165"/>
  <sheetViews>
    <sheetView showGridLines="0" topLeftCell="A5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408</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6" t="s">
        <v>257</v>
      </c>
      <c r="E7" s="116"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8" t="s">
        <v>127</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_xlfn.CHOOSECOLS(MMS_Dairy_AtmosphericDeposition_Equations.VEERG_4_3_1_5__2_TotalNitrogenVolatilisedFromMMS_Arguments(),1,2)</f>
        <v>MN_jm</v>
      </c>
      <c r="E13" s="123" t="str">
        <v>total nitrogen in each MMS for dairy cattle classes</v>
      </c>
      <c r="F13" s="124"/>
      <c r="G13" s="118" t="str" cm="1">
        <f t="array" ref="G13:H14">_xlfn.CHOOSECOLS(MMS_Dairy_AtmosphericDeposition_Equations.VEERG_4_3_1_5__2_TotalNitrogenVolatilisedFromMMS_Arguments(),3,4)</f>
        <v>kg N</v>
      </c>
      <c r="H13" s="126" t="str">
        <v>Calculated from 4.3.1.3 (2)</v>
      </c>
      <c r="I13" s="125"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18" t="str">
        <v>FracGASM_m</v>
      </c>
      <c r="E14" s="123" t="str">
        <v>fraction of N volatilised from MMS</v>
      </c>
      <c r="F14" s="124"/>
      <c r="G14" s="118" t="str">
        <v>fraction</v>
      </c>
      <c r="H14" s="126" t="str">
        <v>Constant</v>
      </c>
      <c r="I14" s="125"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395</v>
      </c>
      <c r="O16" s="120" t="s">
        <v>396</v>
      </c>
    </row>
    <row r="17" spans="1:22" ht="20.100000000000001" customHeight="1" x14ac:dyDescent="0.25">
      <c r="A17" s="5" t="str">
        <f>HYPERLINK("#'Input - Fertiliser'!A1", "Fertiliser")</f>
        <v>Fertiliser</v>
      </c>
      <c r="D17" s="121" t="s">
        <v>397</v>
      </c>
      <c r="O17" s="121" t="s">
        <v>398</v>
      </c>
    </row>
    <row r="18" spans="1:22" ht="20.100000000000001" customHeight="1" x14ac:dyDescent="0.25">
      <c r="A18" s="5" t="str">
        <f>HYPERLINK("#'Input - Fuel'!A1", "Fuel")</f>
        <v>Fuel</v>
      </c>
      <c r="D18" s="122" t="s">
        <v>182</v>
      </c>
      <c r="E18" s="122" t="s">
        <v>302</v>
      </c>
      <c r="F18" s="122" t="s">
        <v>208</v>
      </c>
      <c r="G18" s="122" t="s">
        <v>209</v>
      </c>
      <c r="H18" s="122" t="s">
        <v>210</v>
      </c>
      <c r="I18" s="122" t="s">
        <v>211</v>
      </c>
      <c r="J18" s="122" t="s">
        <v>212</v>
      </c>
      <c r="O18" s="122" t="s">
        <v>182</v>
      </c>
      <c r="P18" s="122" t="s">
        <v>302</v>
      </c>
      <c r="Q18" s="122" t="s">
        <v>208</v>
      </c>
      <c r="R18" s="122" t="s">
        <v>209</v>
      </c>
      <c r="S18" s="122" t="s">
        <v>210</v>
      </c>
      <c r="T18" s="122" t="s">
        <v>211</v>
      </c>
      <c r="U18" s="122" t="s">
        <v>212</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468.93940857160464</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468.93940857160464</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468.93940857160464</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468.93940857160464</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468.93940857160464</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468.93940857160464</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81</v>
      </c>
      <c r="F22" s="25">
        <f>INDEX(M1_Table_MN_j_m,5,3)</f>
        <v>937.87881714320918</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81</v>
      </c>
      <c r="Q22" s="25">
        <f>INDEX(M2_Table_MN_j_m,5,3)</f>
        <v>937.87881714320918</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1897.073061948764</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1897.073061948764</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1517.6584495590114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1517.6584495590114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1517.6584495590114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1517.6584495590114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81</v>
      </c>
      <c r="F26" s="25">
        <f>INDEX(M1_Table_MN_j_m,9,3)</f>
        <v>2655.9022867282697</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81</v>
      </c>
      <c r="Q26" s="25">
        <f>INDEX(M2_Table_MN_j_m,9,3)</f>
        <v>2655.9022867282697</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20" t="s">
        <v>409</v>
      </c>
    </row>
    <row r="29" spans="1:22" ht="20.100000000000001" customHeight="1" x14ac:dyDescent="0.25">
      <c r="A29" s="5" t="str">
        <f>HYPERLINK("#'5.2.1.1-2 Organic Fert N2O'!A1", "5.2.1.1-2 Organic fert N2O")</f>
        <v>5.2.1.1-2 Organic fert N2O</v>
      </c>
      <c r="D29" s="121" t="s">
        <v>410</v>
      </c>
    </row>
    <row r="30" spans="1:22" ht="20.100000000000001" customHeight="1" x14ac:dyDescent="0.25">
      <c r="A30" s="5" t="str">
        <f>HYPERLINK("#'5.3.1.1-2 Lime CO2'!A1", "5.3.1.1-2 Lime CO2")</f>
        <v>5.3.1.1-2 Lime CO2</v>
      </c>
      <c r="D30" s="122" t="s">
        <v>302</v>
      </c>
      <c r="E30" s="122" t="s">
        <v>411</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412</v>
      </c>
      <c r="O37" s="120" t="s">
        <v>413</v>
      </c>
    </row>
    <row r="38" spans="1:22" ht="20.100000000000001" customHeight="1" x14ac:dyDescent="0.25">
      <c r="A38" s="5" t="str">
        <f>HYPERLINK("#'15 Scope 3'!A1", "15 Scope 3")</f>
        <v>15 Scope 3</v>
      </c>
      <c r="D38" s="121" t="s">
        <v>414</v>
      </c>
      <c r="O38" s="121" t="s">
        <v>415</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164.12879300006162</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164.12879300006162</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32.825758600012328</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32.825758600012328</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117" t="str">
        <f>HYPERLINK("#'4.3.1.5 Atmos deposition'!A1", "4.3.1.5 Atmos deposition")</f>
        <v>4.3.1.5 Atmos deposition</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93.787881714320932</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93.787881714320932</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cm="1">
        <f t="array" ref="F43">MMS_Dairy_AtmosphericDeposition_Equations.VEERG_4_3_1_5__2_TotalNitrogenVolatilisedFromMMS(F22,$E35)</f>
        <v>281.36364514296275</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81</v>
      </c>
      <c r="Q43" s="25" cm="1">
        <f t="array" ref="Q43">MMS_Dairy_AtmosphericDeposition_Equations.VEERG_4_3_1_5__2_TotalNitrogenVolatilisedFromMMS(Q22,$E35)</f>
        <v>281.36364514296275</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663.97557168206731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663.97557168206731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106.23609146913081</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106.23609146913081</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303.53168991180229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303.53168991180229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cm="1">
        <f t="array" ref="F47">MMS_Dairy_AtmosphericDeposition_Equations.VEERG_4_3_1_5__2_TotalNitrogenVolatilisedFromMMS(F26, $E35)</f>
        <v>796.77068601848089</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81</v>
      </c>
      <c r="Q47" s="25" cm="1">
        <f t="array" ref="Q47">MMS_Dairy_AtmosphericDeposition_Equations.VEERG_4_3_1_5__2_TotalNitrogenVolatilisedFromMMS(Q26, $E35)</f>
        <v>796.77068601848089</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HYPERLINK("#'3.3.1.1-2 Enteric Methane'!A1", "3.3.1.1-2 Enteric Methane")</f>
        <v>3.3.1.1-2 Enteric Methane</v>
      </c>
    </row>
    <row r="49" spans="1:23" ht="20.100000000000001" customHeight="1" x14ac:dyDescent="0.25">
      <c r="A49" s="5" t="str">
        <f>HYPERLINK("#'10.1.1-2 Solid waste treatment'!A1", "10.1.1-2 Solid waste treatment")</f>
        <v>10.1.1-2 Solid waste treatment</v>
      </c>
      <c r="D49" s="140" t="s">
        <v>416</v>
      </c>
      <c r="E49" s="100">
        <f>SUM(F40:J47)</f>
        <v>5464.6882914498228</v>
      </c>
      <c r="F49" s="138" t="str">
        <f>$E$11</f>
        <v>kg N</v>
      </c>
      <c r="O49" s="140" t="s">
        <v>416</v>
      </c>
      <c r="P49" s="100">
        <f>SUM(Q40:U47)</f>
        <v>5464.6882914498228</v>
      </c>
      <c r="Q49" s="138"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16" t="s">
        <v>257</v>
      </c>
      <c r="E55" s="116"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417</v>
      </c>
    </row>
    <row r="58" spans="1:23" ht="20.100000000000001" customHeight="1" x14ac:dyDescent="0.25">
      <c r="A58" s="5" t="str">
        <f>HYPERLINK("#'Constants - Fuel'!A1", "Constants - Fuel")</f>
        <v>Constants - Fuel</v>
      </c>
      <c r="D58" s="88" t="s">
        <v>258</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8" t="s">
        <v>127</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18" t="str" cm="1">
        <f t="array" ref="D61:E66">_xlfn.CHOOSECOLS(MMS_Dairy_AtmosphericDeposition_Equations.VEERG_4_3_1_5__1_AnnualAtmosphericDepositionEmissionsFromMMS_Arguments(),1,2)</f>
        <v>MN_ATMOS</v>
      </c>
      <c r="E61" s="123" t="str">
        <v>mass of N volatilised from MMS</v>
      </c>
      <c r="F61" s="124"/>
      <c r="G61" s="118" t="str" cm="1">
        <f t="array" ref="G61:H66">_xlfn.CHOOSECOLS(MMS_Dairy_AtmosphericDeposition_Equations.VEERG_4_3_1_5__1_AnnualAtmosphericDepositionEmissionsFromMMS_Arguments(),3,4)</f>
        <v>kg N</v>
      </c>
      <c r="H61" s="126" t="str">
        <v>Calculated from 4.3.1.5 (2)</v>
      </c>
      <c r="I61" s="118">
        <f>$E$49</f>
        <v>5464.6882914498228</v>
      </c>
      <c r="O61" s="130" t="str">
        <f>D61</f>
        <v>MN_ATMOS</v>
      </c>
      <c r="P61" s="136" t="str">
        <f>E61</f>
        <v>mass of N volatilised from MMS</v>
      </c>
      <c r="Q61" s="141"/>
      <c r="R61" s="130">
        <f>$P$49</f>
        <v>5464.6882914498228</v>
      </c>
    </row>
    <row r="62" spans="1:23" ht="20.100000000000001" customHeight="1" x14ac:dyDescent="0.25">
      <c r="A62" s="5" t="str">
        <f>HYPERLINK("#'Constants - Solid Waste'!A1", "Constants - Solid Waste")</f>
        <v>Constants - Solid Waste</v>
      </c>
      <c r="D62" s="118" t="str">
        <v>EF_N2O</v>
      </c>
      <c r="E62" s="123" t="str">
        <v>nitrous oxide emission factor for atmospheric deposition</v>
      </c>
      <c r="F62" s="124"/>
      <c r="G62" s="118" t="str">
        <v>kg N2O-N/kg N</v>
      </c>
      <c r="H62" s="126" t="str">
        <v>Constant</v>
      </c>
      <c r="I62" s="118">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0"/>
      <c r="P62" s="136"/>
      <c r="Q62" s="141"/>
      <c r="R62" s="130"/>
    </row>
    <row r="63" spans="1:23" ht="20.100000000000001" customHeight="1" x14ac:dyDescent="0.25">
      <c r="D63" s="118" t="str">
        <v>C_N2O</v>
      </c>
      <c r="E63" s="123" t="str">
        <v>factor to convert elemental mass of N2O to molecular mass</v>
      </c>
      <c r="F63" s="124"/>
      <c r="G63" s="118" t="str">
        <v/>
      </c>
      <c r="H63" s="126" t="str">
        <v>Constant</v>
      </c>
      <c r="I63" s="118">
        <f>Common_InputFunctions.Utility_LookupValueInTableNumber("N2O",Table_GasToMolecularConversionFactor[Gas],Table_GasToMolecularConversionFactor[Conversion factor combined])</f>
        <v>1.5714285714285714</v>
      </c>
      <c r="O63" s="130"/>
      <c r="P63" s="136"/>
      <c r="Q63" s="141"/>
      <c r="R63" s="130"/>
    </row>
    <row r="64" spans="1:23" ht="20.100000000000001" customHeight="1" x14ac:dyDescent="0.25">
      <c r="D64" s="118" t="str">
        <v>j</v>
      </c>
      <c r="E64" s="123" t="str">
        <v>production system</v>
      </c>
      <c r="F64" s="124"/>
      <c r="G64" s="118" t="str">
        <v/>
      </c>
      <c r="H64" s="119" t="str">
        <v>Input</v>
      </c>
      <c r="I64" s="118" t="str">
        <f>X_Cell_Dairy_ManureAppliedProductionSystem</f>
        <v>Pasture</v>
      </c>
      <c r="O64" s="130"/>
      <c r="P64" s="136"/>
      <c r="Q64" s="141"/>
      <c r="R64" s="130"/>
    </row>
    <row r="65" spans="4:18" ht="20.100000000000001" customHeight="1" x14ac:dyDescent="0.25">
      <c r="D65" s="118" t="str">
        <v>ir</v>
      </c>
      <c r="E65" s="123" t="str">
        <v>irrigation method</v>
      </c>
      <c r="F65" s="124"/>
      <c r="G65" s="118" t="str">
        <v/>
      </c>
      <c r="H65" s="119" t="str">
        <v>Input</v>
      </c>
      <c r="I65" s="118" t="str">
        <f>X_Cell_Dairy_ManureAppliedIrrigationMethod</f>
        <v>Sprinkler irrigation</v>
      </c>
      <c r="O65" s="130"/>
      <c r="P65" s="136"/>
      <c r="Q65" s="141"/>
      <c r="R65" s="130"/>
    </row>
    <row r="66" spans="4:18" ht="20.100000000000001" customHeight="1" x14ac:dyDescent="0.25">
      <c r="D66" s="118" t="str">
        <v>r</v>
      </c>
      <c r="E66" s="123" t="str">
        <v>rainfall region</v>
      </c>
      <c r="F66" s="124"/>
      <c r="G66" s="118" t="str">
        <v/>
      </c>
      <c r="H66" s="119" t="str">
        <v>Input</v>
      </c>
      <c r="I66" s="118" t="str">
        <f>X_Cell_Site_RainfallZone</f>
        <v>High rainfall</v>
      </c>
      <c r="O66" s="130"/>
      <c r="P66" s="136"/>
      <c r="Q66" s="141"/>
      <c r="R66" s="130"/>
    </row>
    <row r="67" spans="4:18" ht="20.100000000000001" customHeight="1" x14ac:dyDescent="0.25"/>
    <row r="68" spans="4:18" ht="20.100000000000001" customHeight="1" x14ac:dyDescent="0.25">
      <c r="D68" s="133" t="s">
        <v>418</v>
      </c>
      <c r="E68" s="134" cm="1">
        <f t="array" ref="E68">MMS_Dairy_AtmosphericDeposition_Equations.VEERG_4_3_1_5__1_AnnualAtmosphericDepositionEmissionsFromMMS($I$61,$I$62,$I$63)</f>
        <v>5.0665467159299066E-2</v>
      </c>
      <c r="F68" s="135" t="str">
        <f>$E$59</f>
        <v>t N2O</v>
      </c>
      <c r="O68" s="133" t="s">
        <v>418</v>
      </c>
      <c r="P68" s="134" cm="1">
        <f t="array" ref="P68">MMS_Dairy_AtmosphericDeposition_Equations.VEERG_4_3_1_5__1_AnnualAtmosphericDepositionEmissionsFromMMS($R$61,$I$62,$I$63)</f>
        <v>5.0665467159299066E-2</v>
      </c>
      <c r="Q68" s="135" t="str">
        <f>$E$59</f>
        <v>t N2O</v>
      </c>
    </row>
    <row r="69" spans="4:18" ht="20.100000000000001" customHeight="1" x14ac:dyDescent="0.25"/>
    <row r="70" spans="4:18" ht="20.100000000000001" customHeight="1" x14ac:dyDescent="0.25">
      <c r="D70" s="130" t="str" cm="1">
        <f t="array" ref="D70:E71">Common_Equations.Common_ConvertN2OToCO2e_Arguments()</f>
        <v>EN2O</v>
      </c>
      <c r="E70" s="136" t="str">
        <v>Nitrous oxide emissions (t N2O)</v>
      </c>
      <c r="F70" s="137"/>
      <c r="G70" s="25">
        <f>VEERG_4_3_1_5__1_AnnualAtmosphericDepositionEmissionsFromMMS_Result_Method1</f>
        <v>5.0665467159299066E-2</v>
      </c>
      <c r="O70" s="130" t="str" cm="1">
        <f t="array" ref="O70:P71">Common_Equations.Common_ConvertN2OToCO2e_Arguments()</f>
        <v>EN2O</v>
      </c>
      <c r="P70" s="136" t="str">
        <v>Nitrous oxide emissions (t N2O)</v>
      </c>
      <c r="Q70" s="137"/>
      <c r="R70" s="25">
        <f>VEERG_4_3_1_5__1_AnnualAtmosphericDepositionEmissionsFromMMS_Result_Method2</f>
        <v>5.0665467159299066E-2</v>
      </c>
    </row>
    <row r="71" spans="4:18" ht="20.100000000000001" customHeight="1" x14ac:dyDescent="0.25">
      <c r="D71" s="130" t="str">
        <v>GWPN2O</v>
      </c>
      <c r="E71" s="136" t="str">
        <v>Global warming potential for nitrous oxide (t CO2-e / t N2O)</v>
      </c>
      <c r="F71" s="137"/>
      <c r="G71" s="25">
        <f>Common_InputFunctions.Utility_LookupValueInTableNumber("N2O",Table_GWPData[Gas],Table_GWPData[CO2-e factor])</f>
        <v>265</v>
      </c>
      <c r="O71" s="130" t="str">
        <v>GWPN2O</v>
      </c>
      <c r="P71" s="136" t="str">
        <v>Global warming potential for nitrous oxide (t CO2-e / t N2O)</v>
      </c>
      <c r="Q71" s="137"/>
      <c r="R71" s="25">
        <f>Common_InputFunctions.Utility_LookupValueInTableNumber("N2O",Table_GWPData[Gas],Table_GWPData[CO2-e factor])</f>
        <v>265</v>
      </c>
    </row>
    <row r="72" spans="4:18" ht="20.100000000000001" customHeight="1" x14ac:dyDescent="0.25"/>
    <row r="73" spans="4:18" ht="20.100000000000001" customHeight="1" x14ac:dyDescent="0.25">
      <c r="D73" s="100" t="s">
        <v>407</v>
      </c>
      <c r="E73" s="100" cm="1">
        <f t="array" ref="E73">Common_Equations.Common_ConvertN2OToCO2e(G70,G71)</f>
        <v>13.426348797214253</v>
      </c>
      <c r="F73" s="138" t="str" cm="1">
        <f t="array" ref="F73">Common_Equations.Common_ConvertN2OToCO2e_Unit()</f>
        <v>t CO2e</v>
      </c>
      <c r="O73" s="100" t="s">
        <v>407</v>
      </c>
      <c r="P73" s="100" cm="1">
        <f t="array" ref="P73">Common_Equations.Common_ConvertN2OToCO2e(R70,R71)</f>
        <v>13.426348797214253</v>
      </c>
      <c r="Q73" s="13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40E7F2BE-D282-4153-BEA4-CE611F6B6ED0}"/>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93CE3-1946-4C5D-8CA6-998B062EE3FA}">
  <dimension ref="A1:W1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419</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6" t="s">
        <v>257</v>
      </c>
      <c r="E7" s="116"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8" t="s">
        <v>127</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_xlfn.CHOOSECOLS(MMS_Dairy_LeachingAndRunoff_Equations.VEERG_4_3_1_6__2_MassOfNitrogenLostToLeachingAndRunoffFromSolidStorage_Arguments(),1,2)</f>
        <v>MN_jm4</v>
      </c>
      <c r="E13" s="123" t="str">
        <v>total nitrogen in solid storage system m=4 (kg N)</v>
      </c>
      <c r="F13" s="131"/>
      <c r="G13" s="124"/>
      <c r="H13" s="118" t="str" cm="1">
        <f t="array" ref="H13:I18">_xlfn.CHOOSECOLS(MMS_Dairy_LeachingAndRunoff_Equations.VEERG_4_3_1_6__2_MassOfNitrogenLostToLeachingAndRunoffFromSolidStorage_Arguments(),3,4)</f>
        <v>kg N</v>
      </c>
      <c r="I13" s="126" t="str">
        <v>Calculated from 4.3.1.3 (2)</v>
      </c>
      <c r="J13" s="125"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18" t="str">
        <v>FracWET_i</v>
      </c>
      <c r="E14" s="123" t="str">
        <v>fraction of N that is available for leaching and runoff from the leaching zone z and irrigation type ir</v>
      </c>
      <c r="F14" s="131"/>
      <c r="G14" s="124"/>
      <c r="H14" s="118" t="str">
        <v>fraction</v>
      </c>
      <c r="I14" s="126" t="str">
        <v>Constant</v>
      </c>
      <c r="J14" s="118">
        <f>Common_InputFunctions.CommonCropping_GetFracWET(J16,J18,#REF!,#REF!,Table_SourceData_FracWETIrrigation[Irrigation type i],Table_SourceData_FracWETIrrigation[FracWET])</f>
        <v>1</v>
      </c>
    </row>
    <row r="15" spans="1:23" ht="20.100000000000001" customHeight="1" x14ac:dyDescent="0.25">
      <c r="A15" s="5" t="str">
        <f>HYPERLINK("#'Input - Pasture'!A1", "Pasture")</f>
        <v>Pasture</v>
      </c>
      <c r="D15" s="118" t="str">
        <v>FracLEACH_MS</v>
      </c>
      <c r="E15" s="123" t="str">
        <v>fraction of N that is lost through leaching and runoff</v>
      </c>
      <c r="F15" s="131"/>
      <c r="G15" s="124"/>
      <c r="H15" s="118" t="str">
        <v>fraction</v>
      </c>
      <c r="I15" s="126" t="str">
        <v>Constant</v>
      </c>
      <c r="J15" s="118">
        <f>SourceData_Dairy_FractionOfNitrogenLostThroughLeachingAndRunoffSolidStorage_Data</f>
        <v>0.02</v>
      </c>
    </row>
    <row r="16" spans="1:23" ht="20.100000000000001" customHeight="1" x14ac:dyDescent="0.25">
      <c r="A16" s="5" t="str">
        <f>HYPERLINK("#'Input - Fert Prod System'!A1", "Fert Prod System")</f>
        <v>Fert Prod System</v>
      </c>
      <c r="D16" s="118" t="str">
        <v>z</v>
      </c>
      <c r="E16" s="123" t="str">
        <v>location in leaching zone</v>
      </c>
      <c r="F16" s="131"/>
      <c r="G16" s="124"/>
      <c r="H16" s="118" t="str">
        <v/>
      </c>
      <c r="I16" s="119" t="str">
        <v>Input</v>
      </c>
      <c r="J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31"/>
      <c r="G17" s="124"/>
      <c r="H17" s="118" t="str">
        <v/>
      </c>
      <c r="I17" s="119" t="str">
        <v>Input</v>
      </c>
      <c r="J17" s="118" t="str">
        <f>X_Cell_Dairy_ManureAppliedProductionSystem</f>
        <v>Pasture</v>
      </c>
    </row>
    <row r="18" spans="1:22" ht="20.100000000000001" customHeight="1" x14ac:dyDescent="0.25">
      <c r="A18" s="5" t="str">
        <f>HYPERLINK("#'Input - Fuel'!A1", "Fuel")</f>
        <v>Fuel</v>
      </c>
      <c r="D18" s="118" t="str">
        <v>ir</v>
      </c>
      <c r="E18" s="123" t="str">
        <v>irrigation method</v>
      </c>
      <c r="F18" s="131"/>
      <c r="G18" s="124"/>
      <c r="H18" s="118" t="str">
        <v/>
      </c>
      <c r="I18" s="119" t="str">
        <v>Input</v>
      </c>
      <c r="J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420</v>
      </c>
      <c r="O20" s="120" t="s">
        <v>421</v>
      </c>
    </row>
    <row r="21" spans="1:22" ht="20.100000000000001" customHeight="1" x14ac:dyDescent="0.25">
      <c r="A21" s="5" t="str">
        <f>HYPERLINK("#'Input - Freight'!A1", "Freight")</f>
        <v>Freight</v>
      </c>
      <c r="D21" s="121" t="s">
        <v>422</v>
      </c>
      <c r="O21" s="121" t="s">
        <v>423</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INDEX(X_Table_Dairy_ProductionSystems_Method1,3,1)</f>
        <v>Milking shed</v>
      </c>
      <c r="E23" s="25" t="s">
        <v>81</v>
      </c>
      <c r="F23" s="25">
        <f>INDEX(M1_Table_MN_j_m,5,3)</f>
        <v>937.87881714320918</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81</v>
      </c>
      <c r="Q23" s="25">
        <f>INDEX(M2_Table_MN_j_m,5,3)</f>
        <v>937.87881714320918</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81</v>
      </c>
      <c r="F24" s="25">
        <f>INDEX(M1_Table_MN_j_m,9,3)</f>
        <v>2655.9022867282697</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81</v>
      </c>
      <c r="Q24" s="25">
        <f>INDEX(M2_Table_MN_j_m,9,3)</f>
        <v>2655.9022867282697</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20" t="s">
        <v>424</v>
      </c>
      <c r="O26" s="120" t="s">
        <v>425</v>
      </c>
    </row>
    <row r="27" spans="1:22" ht="20.100000000000001" customHeight="1" x14ac:dyDescent="0.25">
      <c r="A27" s="5" t="str">
        <f>HYPERLINK("#'5.1.1.1-2 Inorganic fert N2O'!A1", "5.1.1.1-2 Inorganic fert N2O")</f>
        <v>5.1.1.1-2 Inorganic fert N2O</v>
      </c>
      <c r="D27" s="121" t="s">
        <v>426</v>
      </c>
      <c r="O27" s="121" t="s">
        <v>427</v>
      </c>
    </row>
    <row r="28" spans="1:22" ht="20.100000000000001" customHeight="1" x14ac:dyDescent="0.25">
      <c r="A28" s="5" t="str">
        <f>HYPERLINK("#'5.1.1.3-4 Inorganic fert CO2'!A1", "5.1.1.3-4 Inorganic fert CO2")</f>
        <v>5.1.1.3-4 Inorganic fert CO2</v>
      </c>
      <c r="D28" s="122" t="s">
        <v>182</v>
      </c>
      <c r="E28" s="122" t="s">
        <v>302</v>
      </c>
      <c r="F28" s="122" t="s">
        <v>208</v>
      </c>
      <c r="G28" s="122" t="s">
        <v>209</v>
      </c>
      <c r="H28" s="122" t="s">
        <v>210</v>
      </c>
      <c r="I28" s="122" t="s">
        <v>211</v>
      </c>
      <c r="J28" s="122" t="s">
        <v>212</v>
      </c>
      <c r="O28" s="122" t="s">
        <v>182</v>
      </c>
      <c r="P28" s="122" t="s">
        <v>302</v>
      </c>
      <c r="Q28" s="122" t="s">
        <v>208</v>
      </c>
      <c r="R28" s="122" t="s">
        <v>209</v>
      </c>
      <c r="S28" s="122" t="s">
        <v>210</v>
      </c>
      <c r="T28" s="122" t="s">
        <v>211</v>
      </c>
      <c r="U28" s="122" t="s">
        <v>212</v>
      </c>
    </row>
    <row r="29" spans="1:22" ht="20.100000000000001" customHeight="1" x14ac:dyDescent="0.25">
      <c r="A29" s="5" t="str">
        <f>HYPERLINK("#'5.2.1.1-2 Organic Fert N2O'!A1", "5.2.1.1-2 Organic fert N2O")</f>
        <v>5.2.1.1-2 Organic fert N2O</v>
      </c>
      <c r="D29" s="25" t="str">
        <f>INDEX(X_Table_Dairy_ProductionSystems_Method1,3,1)</f>
        <v>Milking shed</v>
      </c>
      <c r="E29" s="25" t="s">
        <v>81</v>
      </c>
      <c r="F29" s="25" cm="1">
        <f t="array" ref="F29">MMS_Dairy_LeachingAndRunoff_Equations.VEERG_4_3_1_6__2_MassOfNitrogenLostToLeachingAndRunoffFromSolidStorage(F23,$J$14,$J$15)</f>
        <v>18.757576342864184</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81</v>
      </c>
      <c r="Q29" s="25" cm="1">
        <f t="array" ref="Q29">MMS_Dairy_LeachingAndRunoff_Equations.VEERG_4_3_1_6__2_MassOfNitrogenLostToLeachingAndRunoffFromSolidStorage(Q23,$J$14,$J$15)</f>
        <v>18.757576342864184</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HYPERLINK("#'5.3.1.1-2 Lime CO2'!A1", "5.3.1.1-2 Lime CO2")</f>
        <v>5.3.1.1-2 Lime CO2</v>
      </c>
      <c r="D30" s="25" t="str">
        <f>INDEX(X_Table_Dairy_ProductionSystems_Method1,4,1)</f>
        <v>Feed pad</v>
      </c>
      <c r="E30" s="25" t="s">
        <v>81</v>
      </c>
      <c r="F30" s="25" cm="1">
        <f t="array" ref="F30">MMS_Dairy_LeachingAndRunoff_Equations.VEERG_4_3_1_6__2_MassOfNitrogenLostToLeachingAndRunoffFromSolidStorage(F24,$J$14,$J$15)</f>
        <v>53.118045734565392</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81</v>
      </c>
      <c r="Q30" s="25" cm="1">
        <f t="array" ref="Q30">MMS_Dairy_LeachingAndRunoff_Equations.VEERG_4_3_1_6__2_MassOfNitrogenLostToLeachingAndRunoffFromSolidStorage(Q24,$J$14,$J$15)</f>
        <v>53.118045734565392</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16" t="s">
        <v>257</v>
      </c>
      <c r="E36" s="116"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8" t="s">
        <v>258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1:23" ht="20.100000000000001" customHeight="1" x14ac:dyDescent="0.25">
      <c r="A40" s="5" t="str">
        <f>HYPERLINK("#'4.3.1.1-2 Methane'!A1", "4.3.1.1-2 Methane")</f>
        <v>4.3.1.1-2 Methane</v>
      </c>
      <c r="D40" s="88" t="s">
        <v>127</v>
      </c>
      <c r="E40" s="15" t="str" cm="1">
        <f t="array" ref="E40">MMS_Dairy_LeachingAndRunoff_Equations.VEERG_4_3_1_6__1_AnnualEmissionsFromLeachingAndRunoffFromMMS_Unit()</f>
        <v>t N2O</v>
      </c>
    </row>
    <row r="41" spans="1:23" ht="20.100000000000001" customHeight="1" x14ac:dyDescent="0.25">
      <c r="A41" s="5" t="str">
        <f>HYPERLINK("#'4.3.1.3-4 Direct N20'!A1", "4.3.1.3-4 Direct N20")</f>
        <v>4.3.1.3-4 Direct N20</v>
      </c>
    </row>
    <row r="42" spans="1:23" ht="20.100000000000001" customHeight="1" x14ac:dyDescent="0.25">
      <c r="A42" s="5" t="str">
        <f>HYPERLINK("#'4.3.1.5 Atmos deposition'!A1", "4.3.1.5 Atmos deposition")</f>
        <v>4.3.1.5 Atmos deposition</v>
      </c>
      <c r="D42" s="118" t="str" cm="1">
        <f t="array" ref="D42:E44">_xlfn.CHOOSECOLS(MMS_Dairy_LeachingAndRunoff_Equations.VEERG_4_3_1_6__1_AnnualEmissionsFromLeachingAndRunoffFromMMS_Arguments(),1,2)</f>
        <v>MNLeach_jm</v>
      </c>
      <c r="E42" s="123" t="str">
        <v>mass of N lost through leaching and runoff</v>
      </c>
      <c r="F42" s="124"/>
      <c r="G42" s="118" t="str" cm="1">
        <f t="array" ref="G42:H44">_xlfn.CHOOSECOLS(MMS_Dairy_LeachingAndRunoff_Equations.VEERG_4_3_1_6__1_AnnualEmissionsFromLeachingAndRunoffFromMMS_Arguments(),3,4)</f>
        <v>kg N</v>
      </c>
      <c r="H42" s="126" t="str">
        <v>Calculated from 4.3.1.6 (2)</v>
      </c>
      <c r="I42" s="125" t="str" cm="1">
        <f t="array" aca="1" ref="I42" ca="1">HYPERLINK(Common_InputFunctions.Utility_SourceHyperlink($D$26),$D$26)</f>
        <v>M1_Table_MN_leach_j_m-4</v>
      </c>
    </row>
    <row r="43" spans="1:23" ht="20.100000000000001" customHeight="1" x14ac:dyDescent="0.25">
      <c r="A43" s="117" t="str">
        <f>HYPERLINK("#'4.3.1.6-7 Leaching and runoff'!A1", "4.3.1.6-7 Leaching and runoff")</f>
        <v>4.3.1.6-7 Leaching and runoff</v>
      </c>
      <c r="D43" s="118" t="str">
        <v>EF_leach</v>
      </c>
      <c r="E43" s="123" t="str">
        <v>nitrous oxide emission factor for leaching and runoff</v>
      </c>
      <c r="F43" s="124"/>
      <c r="G43" s="118" t="str">
        <v>kg N2O-N/kg N</v>
      </c>
      <c r="H43" s="126" t="str">
        <v>Constant</v>
      </c>
      <c r="I43" s="118">
        <f>SourceData_Dairy_EmissionFactorForLeachingAndRunoff_Data</f>
        <v>1.0999999999999999E-2</v>
      </c>
    </row>
    <row r="44" spans="1:23" ht="20.100000000000001" customHeight="1" x14ac:dyDescent="0.25">
      <c r="A44" s="5" t="str">
        <f>HYPERLINK("#'4.3.1.8 Manure applied to soils'!A1", "4.3.1.8 Manure applied to soils")</f>
        <v>4.3.1.8 Manure applied to soils</v>
      </c>
      <c r="D44" s="118" t="str">
        <v>C_N2O</v>
      </c>
      <c r="E44" s="123" t="str">
        <v>factor to convert elemental mass of N2O to molecular mass</v>
      </c>
      <c r="F44" s="124"/>
      <c r="G44" s="118" t="str">
        <v/>
      </c>
      <c r="H44" s="126" t="str">
        <v>Constant</v>
      </c>
      <c r="I44" s="118">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HYPERLINK("#'4.3.1.9 Soil direct N2O'!A1", "4.3.1.9 Soil direct N2O")</f>
        <v>4.3.1.9 Soil direct N2O</v>
      </c>
    </row>
    <row r="46" spans="1:23" ht="20.100000000000001" customHeight="1" x14ac:dyDescent="0.25">
      <c r="A46" s="5" t="str">
        <f>HYPERLINK("#'4.3.1.10-11 Soil Atmos Dep'!A1", "4.3.1.10-11 Soil Atmos Dep")</f>
        <v>4.3.1.10-11 Soil Atmos Dep</v>
      </c>
      <c r="D46" s="120" t="s">
        <v>428</v>
      </c>
      <c r="O46" s="120" t="s">
        <v>429</v>
      </c>
    </row>
    <row r="47" spans="1:23" ht="20.100000000000001" customHeight="1" x14ac:dyDescent="0.25">
      <c r="A47" s="5" t="str">
        <f>HYPERLINK("#'4.3.1.12-13 Soil leach runoff'!A1", "4.3.1.12-13 Soil leach runoff")</f>
        <v>4.3.1.12-13 Soil leach runoff</v>
      </c>
      <c r="D47" s="121" t="s">
        <v>430</v>
      </c>
      <c r="O47" s="121" t="s">
        <v>431</v>
      </c>
    </row>
    <row r="48" spans="1:23" ht="20.100000000000001" customHeight="1" x14ac:dyDescent="0.25">
      <c r="A48" s="5" t="str">
        <f>HYPERLINK("#'3.3.1.1-2 Enteric Methane'!A1", "3.3.1.1-2 Enteric Methane")</f>
        <v>3.3.1.1-2 Enteric Methane</v>
      </c>
      <c r="D48" s="122" t="s">
        <v>182</v>
      </c>
      <c r="E48" s="122" t="s">
        <v>302</v>
      </c>
      <c r="F48" s="122" t="s">
        <v>208</v>
      </c>
      <c r="G48" s="122" t="s">
        <v>209</v>
      </c>
      <c r="H48" s="122" t="s">
        <v>210</v>
      </c>
      <c r="I48" s="122" t="s">
        <v>211</v>
      </c>
      <c r="J48" s="122" t="s">
        <v>212</v>
      </c>
      <c r="O48" s="122" t="s">
        <v>182</v>
      </c>
      <c r="P48" s="122" t="s">
        <v>302</v>
      </c>
      <c r="Q48" s="122" t="s">
        <v>208</v>
      </c>
      <c r="R48" s="122" t="s">
        <v>209</v>
      </c>
      <c r="S48" s="122" t="s">
        <v>210</v>
      </c>
      <c r="T48" s="122" t="s">
        <v>211</v>
      </c>
      <c r="U48" s="122" t="s">
        <v>212</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81</v>
      </c>
      <c r="F49" s="25" cm="1">
        <f t="array" ref="F49">MMS_Dairy_LeachingAndRunoff_Equations.VEERG_4_3_1_6__1_AnnualEmissionsFromLeachingAndRunoffFromMMS(F29,$I$43,$I$44)</f>
        <v>3.2423810535522375E-4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81</v>
      </c>
      <c r="Q49" s="25" cm="1">
        <f t="array" ref="Q49">MMS_Dairy_LeachingAndRunoff_Equations.VEERG_4_3_1_6__1_AnnualEmissionsFromLeachingAndRunoffFromMMS(Q29,$I$43,$I$44)</f>
        <v>3.2423810535522375E-4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D50" s="25" t="str">
        <f>INDEX(X_Table_Dairy_ProductionSystems_Method1,4,1)</f>
        <v>Feed pad</v>
      </c>
      <c r="E50" s="25" t="s">
        <v>81</v>
      </c>
      <c r="F50" s="25" cm="1">
        <f t="array" ref="F50">MMS_Dairy_LeachingAndRunoff_Equations.VEERG_4_3_1_6__1_AnnualEmissionsFromLeachingAndRunoffFromMMS(F30,$I$43,$I$44)</f>
        <v>9.1818336198320159E-4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81</v>
      </c>
      <c r="Q50" s="25" cm="1">
        <f t="array" ref="Q50">MMS_Dairy_LeachingAndRunoff_Equations.VEERG_4_3_1_6__1_AnnualEmissionsFromLeachingAndRunoffFromMMS(Q30,$I$43,$I$44)</f>
        <v>9.1818336198320159E-4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row r="52" spans="1:22" ht="20.100000000000001" customHeight="1" x14ac:dyDescent="0.25">
      <c r="A52" s="99" t="s">
        <v>1</v>
      </c>
      <c r="D52" s="133" t="s">
        <v>418</v>
      </c>
      <c r="E52" s="134">
        <f>SUM(F49:J50)</f>
        <v>2.779575095144629E-3</v>
      </c>
      <c r="F52" s="135" t="str">
        <f>$E$40</f>
        <v>t N2O</v>
      </c>
      <c r="O52" s="133" t="s">
        <v>418</v>
      </c>
      <c r="P52" s="134">
        <f>SUM(Q49:U50)</f>
        <v>2.779575095144629E-3</v>
      </c>
      <c r="Q52" s="135"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30" t="str" cm="1">
        <f t="array" ref="D54:E55">Common_Equations.Common_ConvertN2OToCO2e_Arguments()</f>
        <v>EN2O</v>
      </c>
      <c r="E54" s="136" t="str">
        <v>Nitrous oxide emissions (t N2O)</v>
      </c>
      <c r="F54" s="137"/>
      <c r="G54" s="25">
        <f>VEERG_4_3_1_6__1_AnnualEmissionsFromLeachingAndRunoffFromMMS_Result_Method1</f>
        <v>2.779575095144629E-3</v>
      </c>
      <c r="O54" s="130" t="str" cm="1">
        <f t="array" ref="O54:P55">Common_Equations.Common_ConvertN2OToCO2e_Arguments()</f>
        <v>EN2O</v>
      </c>
      <c r="P54" s="136" t="str">
        <v>Nitrous oxide emissions (t N2O)</v>
      </c>
      <c r="Q54" s="137"/>
      <c r="R54" s="25">
        <f>VEERG_4_3_1_6__1_AnnualEmissionsFromLeachingAndRunoffFromMMS_Result_Method2</f>
        <v>2.779575095144629E-3</v>
      </c>
    </row>
    <row r="55" spans="1:22" ht="20.100000000000001" customHeight="1" x14ac:dyDescent="0.25">
      <c r="A55" s="5" t="str">
        <f>HYPERLINK("#'Constants - Common Livestock'!A1", "Constants - Common Livestock")</f>
        <v>Constants - Common Livestock</v>
      </c>
      <c r="D55" s="130" t="str">
        <v>GWPN2O</v>
      </c>
      <c r="E55" s="136" t="str">
        <v>Global warming potential for nitrous oxide (t CO2-e / t N2O)</v>
      </c>
      <c r="F55" s="137"/>
      <c r="G55" s="25">
        <f>Common_InputFunctions.Utility_LookupValueInTableNumber("N2O",Table_GWPData[Gas],Table_GWPData[CO2-e factor])</f>
        <v>265</v>
      </c>
      <c r="O55" s="130" t="str">
        <v>GWPN2O</v>
      </c>
      <c r="P55" s="136" t="str">
        <v>Global warming potential for nitrous oxide (t CO2-e / t N2O)</v>
      </c>
      <c r="Q55" s="137"/>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407</v>
      </c>
      <c r="E57" s="100" cm="1">
        <f t="array" ref="E57">Common_Equations.Common_ConvertN2OToCO2e(G54,G55)</f>
        <v>0.73658740021332669</v>
      </c>
      <c r="F57" s="138" t="str" cm="1">
        <f t="array" ref="F57">Common_Equations.Common_ConvertN2OToCO2e_Unit()</f>
        <v>t CO2e</v>
      </c>
      <c r="O57" s="100" t="s">
        <v>407</v>
      </c>
      <c r="P57" s="100" cm="1">
        <f t="array" ref="P57">Common_Equations.Common_ConvertN2OToCO2e(R54,R55)</f>
        <v>0.73658740021332669</v>
      </c>
      <c r="Q57" s="138"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E010BFAE-63A5-4800-A18D-4505FA7B79A2}"/>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2AA63-9447-4239-B5F0-ED4DF7868F92}">
  <dimension ref="A1:W207"/>
  <sheetViews>
    <sheetView showGridLines="0" topLeftCell="B5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2"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432</v>
      </c>
      <c r="M1" s="142"/>
    </row>
    <row r="2" spans="1:23" s="3" customFormat="1" ht="20.100000000000001" customHeight="1" x14ac:dyDescent="0.25">
      <c r="A2"/>
      <c r="M2" s="14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6" t="s">
        <v>257</v>
      </c>
      <c r="E7" s="116"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8" t="s">
        <v>127</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7">_xlfn.CHOOSECOLS(MMS_Dairy_ManureAppliedToSoils_Equations.VEERG_4_3_1_8__1_MassOfNitrogenAppliedToSoilsScope1_Arguments(),1,2)</f>
        <v>MN_jm</v>
      </c>
      <c r="E13" s="123" t="str">
        <v>total nitrogen in each MMS for dairy cattle classes</v>
      </c>
      <c r="F13" s="124"/>
      <c r="G13" s="118" t="str" cm="1">
        <f t="array" ref="G13:H17">_xlfn.CHOOSECOLS(MMS_Dairy_ManureAppliedToSoils_Equations.VEERG_4_3_1_8__1_MassOfNitrogenAppliedToSoilsScope1_Arguments(),3,4)</f>
        <v>kg N</v>
      </c>
      <c r="H13" s="126" t="str">
        <v>Calculated from 4.3.1.3 (2)</v>
      </c>
      <c r="I13" s="125"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18" t="str">
        <v>EF_m</v>
      </c>
      <c r="E14" s="123" t="str">
        <v>emission factor for nitrous oxide emissions per MMS</v>
      </c>
      <c r="F14" s="124"/>
      <c r="G14" s="118" t="str">
        <v>kg N2O-N/kg N</v>
      </c>
      <c r="H14" s="126" t="str">
        <v>Constant</v>
      </c>
      <c r="I14" s="125" t="str" cm="1">
        <f t="array" aca="1" ref="I14" ca="1">HYPERLINK(Common_InputFunctions.Utility_SourceHyperlink($D$19),$D$19)</f>
        <v>Table_EF_m</v>
      </c>
    </row>
    <row r="15" spans="1:23" ht="20.100000000000001" customHeight="1" x14ac:dyDescent="0.25">
      <c r="A15" s="5" t="str">
        <f>HYPERLINK("#'Input - Pasture'!A1", "Pasture")</f>
        <v>Pasture</v>
      </c>
      <c r="D15" s="118" t="str">
        <v>FracGASM_m</v>
      </c>
      <c r="E15" s="123" t="str">
        <v>fraction of N volatilised from MMS</v>
      </c>
      <c r="F15" s="124"/>
      <c r="G15" s="118" t="str">
        <v>fraction</v>
      </c>
      <c r="H15" s="126" t="str">
        <v>Constant</v>
      </c>
      <c r="I15" s="125"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18" t="str">
        <v>MNLeach_jm</v>
      </c>
      <c r="E16" s="123" t="str">
        <v>mass of N lost through leaching and runoff from each MMS</v>
      </c>
      <c r="F16" s="124"/>
      <c r="G16" s="118" t="str">
        <v>kg N</v>
      </c>
      <c r="H16" s="126" t="str">
        <v>Calculated from 4.3.1.6 (2)</v>
      </c>
      <c r="I16" s="125" t="str" cm="1">
        <f t="array" aca="1" ref="I16" ca="1">HYPERLINK(Common_InputFunctions.Utility_SourceHyperlink($D$49),$D$49)</f>
        <v>M1_Table_MN_leach_j_m</v>
      </c>
    </row>
    <row r="17" spans="1:9" ht="20.100000000000001" customHeight="1" x14ac:dyDescent="0.25">
      <c r="A17" s="5" t="str">
        <f>HYPERLINK("#'Input - Fertiliser'!A1", "Fertiliser")</f>
        <v>Fertiliser</v>
      </c>
      <c r="D17" s="118" t="str">
        <v>PF_scope</v>
      </c>
      <c r="E17" s="123" t="str">
        <v>fraction of manure applied to soil within farm boundary</v>
      </c>
      <c r="F17" s="124"/>
      <c r="G17" s="118" t="str">
        <v>fraction</v>
      </c>
      <c r="H17" s="119" t="str">
        <v>Input</v>
      </c>
      <c r="I17" s="125"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0" t="s">
        <v>399</v>
      </c>
    </row>
    <row r="20" spans="1:9" ht="20.100000000000001" customHeight="1" x14ac:dyDescent="0.25">
      <c r="A20" s="5" t="str">
        <f>HYPERLINK("#'Input - Farm Inputs'!A1", "Farm Inputs")</f>
        <v>Farm Inputs</v>
      </c>
      <c r="D20" s="121" t="s">
        <v>400</v>
      </c>
    </row>
    <row r="21" spans="1:9" ht="20.100000000000001" customHeight="1" x14ac:dyDescent="0.25">
      <c r="A21" s="5" t="str">
        <f>HYPERLINK("#'Input - Freight'!A1", "Freight")</f>
        <v>Freight</v>
      </c>
      <c r="D21" s="122" t="s">
        <v>302</v>
      </c>
      <c r="E21" s="122" t="s">
        <v>401</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20" t="s">
        <v>409</v>
      </c>
    </row>
    <row r="29" spans="1:9" ht="20.100000000000001" customHeight="1" x14ac:dyDescent="0.25">
      <c r="A29" s="5" t="str">
        <f>HYPERLINK("#'5.2.1.1-2 Organic Fert N2O'!A1", "5.2.1.1-2 Organic fert N2O")</f>
        <v>5.2.1.1-2 Organic fert N2O</v>
      </c>
      <c r="D29" s="121" t="s">
        <v>410</v>
      </c>
    </row>
    <row r="30" spans="1:9" ht="20.100000000000001" customHeight="1" x14ac:dyDescent="0.25">
      <c r="A30" s="5" t="str">
        <f>HYPERLINK("#'5.3.1.1-2 Lime CO2'!A1", "5.3.1.1-2 Lime CO2")</f>
        <v>5.3.1.1-2 Lime CO2</v>
      </c>
      <c r="D30" s="122" t="s">
        <v>302</v>
      </c>
      <c r="E30" s="122" t="s">
        <v>411</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395</v>
      </c>
      <c r="M37"/>
      <c r="O37" s="120" t="s">
        <v>396</v>
      </c>
    </row>
    <row r="38" spans="1:22" ht="20.100000000000001" customHeight="1" x14ac:dyDescent="0.25">
      <c r="A38" s="5" t="str">
        <f>HYPERLINK("#'15 Scope 3'!A1", "15 Scope 3")</f>
        <v>15 Scope 3</v>
      </c>
      <c r="D38" s="121" t="s">
        <v>397</v>
      </c>
      <c r="M38"/>
      <c r="O38" s="121" t="s">
        <v>398</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M39"/>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f>INDEX(M1_Table_MN_j_m,2,3)</f>
        <v>468.93940857160464</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468.93940857160464</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f>INDEX(M1_Table_MN_j_m,3,3)</f>
        <v>468.93940857160464</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468.93940857160464</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HYPERLINK("#'4.3.1.5 Atmos deposition'!A1", "4.3.1.5 Atmos deposition")</f>
        <v>4.3.1.5 Atmos deposition</v>
      </c>
      <c r="D42" s="25" t="str">
        <f>INDEX(X_Table_Dairy_ProductionSystems_Method1,3,1)</f>
        <v>Milking shed</v>
      </c>
      <c r="E42" s="25" t="str">
        <f>INDEX(X_Table_Dairy_Stage1MMS_1_DrainsToPaddock,2,1)</f>
        <v>Drains to paddock</v>
      </c>
      <c r="F42" s="25">
        <f>INDEX(M1_Table_MN_j_m,4,3)</f>
        <v>468.93940857160464</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468.93940857160464</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f>INDEX(M1_Table_MN_j_m,5,3)</f>
        <v>937.87881714320918</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81</v>
      </c>
      <c r="Q43" s="25">
        <f>INDEX(M2_Table_MN_j_m,5,3)</f>
        <v>937.87881714320918</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117"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f>INDEX(M1_Table_MN_j_m,6,3)</f>
        <v>1897.073061948764</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1897.073061948764</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f>INDEX(M1_Table_MN_j_m,7,3)</f>
        <v>1517.6584495590114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1517.6584495590114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f>INDEX(M1_Table_MN_j_m,8,3)</f>
        <v>1517.6584495590114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1517.6584495590114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f>INDEX(M1_Table_MN_j_m,9,3)</f>
        <v>2655.9022867282697</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81</v>
      </c>
      <c r="Q47" s="25">
        <f>INDEX(M2_Table_MN_j_m,9,3)</f>
        <v>2655.9022867282697</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HYPERLINK("#'3.3.1.1-2 Enteric Methane'!A1", "3.3.1.1-2 Enteric Methane")</f>
        <v>3.3.1.1-2 Enteric Methane</v>
      </c>
    </row>
    <row r="49" spans="1:22" ht="20.100000000000001" customHeight="1" x14ac:dyDescent="0.25">
      <c r="A49" s="5" t="str">
        <f>HYPERLINK("#'10.1.1-2 Solid waste treatment'!A1", "10.1.1-2 Solid waste treatment")</f>
        <v>10.1.1-2 Solid waste treatment</v>
      </c>
      <c r="D49" s="120" t="s">
        <v>433</v>
      </c>
      <c r="O49" s="120" t="s">
        <v>434</v>
      </c>
    </row>
    <row r="50" spans="1:22" ht="20.100000000000001" customHeight="1" x14ac:dyDescent="0.25">
      <c r="D50" s="121" t="s">
        <v>435</v>
      </c>
      <c r="O50" s="121" t="s">
        <v>436</v>
      </c>
    </row>
    <row r="51" spans="1:22" ht="20.100000000000001" customHeight="1" x14ac:dyDescent="0.25">
      <c r="D51" s="122" t="s">
        <v>182</v>
      </c>
      <c r="E51" s="122" t="s">
        <v>302</v>
      </c>
      <c r="F51" s="122" t="s">
        <v>208</v>
      </c>
      <c r="G51" s="122" t="s">
        <v>209</v>
      </c>
      <c r="H51" s="122" t="s">
        <v>210</v>
      </c>
      <c r="I51" s="122" t="s">
        <v>211</v>
      </c>
      <c r="J51" s="122" t="s">
        <v>212</v>
      </c>
      <c r="O51" s="122" t="s">
        <v>182</v>
      </c>
      <c r="P51" s="122" t="s">
        <v>302</v>
      </c>
      <c r="Q51" s="122" t="s">
        <v>208</v>
      </c>
      <c r="R51" s="122" t="s">
        <v>209</v>
      </c>
      <c r="S51" s="122" t="s">
        <v>210</v>
      </c>
      <c r="T51" s="122" t="s">
        <v>211</v>
      </c>
      <c r="U51" s="122" t="s">
        <v>212</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81</v>
      </c>
      <c r="F55" s="25">
        <f>INDEX(M1_Table_MN_leach_j_m4,2,3)</f>
        <v>18.757576342864184</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81</v>
      </c>
      <c r="Q55" s="25">
        <f>INDEX(M2_Table_MN_leach_j_m4,2,3)</f>
        <v>18.757576342864184</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81</v>
      </c>
      <c r="F59" s="25">
        <f>INDEX(M1_Table_MN_leach_j_m4,3,3)</f>
        <v>53.118045734565392</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81</v>
      </c>
      <c r="Q59" s="25">
        <f>INDEX(M2_Table_MN_leach_j_m4,3,3)</f>
        <v>53.118045734565392</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20" t="s">
        <v>437</v>
      </c>
    </row>
    <row r="62" spans="1:22" ht="20.100000000000001" customHeight="1" x14ac:dyDescent="0.25">
      <c r="A62" s="5" t="str">
        <f>HYPERLINK("#'Constants - Solid Waste'!A1", "Constants - Solid Waste")</f>
        <v>Constants - Solid Waste</v>
      </c>
      <c r="D62" s="121" t="s">
        <v>438</v>
      </c>
    </row>
    <row r="63" spans="1:22" ht="20.100000000000001" customHeight="1" x14ac:dyDescent="0.25">
      <c r="D63" s="96" t="s">
        <v>182</v>
      </c>
      <c r="E63" s="96" t="s">
        <v>302</v>
      </c>
      <c r="F63" s="96" t="s">
        <v>439</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20" t="s">
        <v>440</v>
      </c>
      <c r="O73" s="120" t="s">
        <v>441</v>
      </c>
    </row>
    <row r="74" spans="4:22" ht="20.100000000000001" customHeight="1" x14ac:dyDescent="0.25">
      <c r="D74" s="121" t="s">
        <v>442</v>
      </c>
      <c r="O74" s="121" t="s">
        <v>443</v>
      </c>
    </row>
    <row r="75" spans="4:22" ht="20.100000000000001" customHeight="1" x14ac:dyDescent="0.25">
      <c r="D75" s="122" t="s">
        <v>182</v>
      </c>
      <c r="E75" s="122" t="s">
        <v>302</v>
      </c>
      <c r="F75" s="122" t="s">
        <v>208</v>
      </c>
      <c r="G75" s="122" t="s">
        <v>209</v>
      </c>
      <c r="H75" s="122" t="s">
        <v>210</v>
      </c>
      <c r="I75" s="122" t="s">
        <v>211</v>
      </c>
      <c r="J75" s="122" t="s">
        <v>212</v>
      </c>
      <c r="O75" s="122" t="s">
        <v>182</v>
      </c>
      <c r="P75" s="122" t="s">
        <v>302</v>
      </c>
      <c r="Q75" s="122" t="s">
        <v>208</v>
      </c>
      <c r="R75" s="122" t="s">
        <v>209</v>
      </c>
      <c r="S75" s="122" t="s">
        <v>210</v>
      </c>
      <c r="T75" s="122" t="s">
        <v>211</v>
      </c>
      <c r="U75" s="122" t="s">
        <v>212</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228.60796167865729</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228.60796167865729</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327.08523747869424</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327.08523747869424</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281.36364514296281</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281.36364514296281</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81</v>
      </c>
      <c r="F79" s="25" cm="1">
        <f t="array" aca="1" ref="F79" ca="1">MMS_Dairy_ManureAppliedToSoils_Equations.VEERG_4_3_1_8__1_MassOfNitrogenAppliedToSoilsScope1(F43,_xlfn.XLOOKUP($E79,$D$22:$D$26,$E$22:$E$26),_xlfn.XLOOKUP($E79, $D$31:$D$35,$E$31:$E$35),F55,$F67)</f>
        <v>474.80115117874976</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81</v>
      </c>
      <c r="Q79" s="25" cm="1">
        <f t="array" aca="1" ref="Q79" ca="1">MMS_Dairy_ManureAppliedToSoils_Equations.VEERG_4_3_1_8__1_MassOfNitrogenAppliedToSoilsScope1(Q43,_xlfn.XLOOKUP($P79,$D$22:$D$26,$E$22:$E$26),_xlfn.XLOOKUP($P79, $D$31:$D$35,$E$31:$E$35),Q55,$F67)</f>
        <v>474.80115117874976</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924.82311770002252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924.82311770002252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1058.5667685674102</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1058.5667685674102</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910.59506973540692</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910.59506973540692</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81</v>
      </c>
      <c r="F83" s="25" cm="1">
        <f t="array" aca="1" ref="F83" ca="1">MMS_Dairy_ManureAppliedToSoils_Equations.VEERG_4_3_1_8__1_MassOfNitrogenAppliedToSoilsScope1(F47,_xlfn.XLOOKUP($E83,$D$22:$D$26,$E$22:$E$26),_xlfn.XLOOKUP($E83, $D$31:$D$35,$E$31:$E$35),F59,$F71)</f>
        <v>1344.5505326561865</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81</v>
      </c>
      <c r="Q83" s="25" cm="1">
        <f t="array" aca="1" ref="Q83" ca="1">MMS_Dairy_ManureAppliedToSoils_Equations.VEERG_4_3_1_8__1_MassOfNitrogenAppliedToSoilsScope1(Q47,_xlfn.XLOOKUP($P83,$D$22:$D$26,$E$22:$E$26),_xlfn.XLOOKUP($P83, $D$31:$D$35,$E$31:$E$35),Q59,$F71)</f>
        <v>1344.5505326561865</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3" t="s">
        <v>444</v>
      </c>
      <c r="E85" s="134">
        <f ca="1">SUM(F76:J83)</f>
        <v>12417.473379475077</v>
      </c>
      <c r="F85" s="135" t="str">
        <f>$E$11</f>
        <v>kg N</v>
      </c>
      <c r="O85" s="133" t="s">
        <v>444</v>
      </c>
      <c r="P85" s="134">
        <f ca="1">SUM(Q76:U83)</f>
        <v>12417.473379475077</v>
      </c>
      <c r="Q85" s="135"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6" t="s">
        <v>257</v>
      </c>
      <c r="E91" s="116"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8" t="s">
        <v>258</v>
      </c>
      <c r="E94" s="1" t="str" cm="1">
        <f t="array" ref="E94">MMS_Dairy_ManureAppliedToSoils_Equations.VEERG_4_3_1_8__2_MassOfNitrogenAppliedToSoilsScope3_Variable()</f>
        <v>MNSoil_scope3</v>
      </c>
    </row>
    <row r="95" spans="3:23" ht="20.100000000000001" customHeight="1" x14ac:dyDescent="0.25">
      <c r="D95" s="88" t="s">
        <v>127</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8" t="str" cm="1">
        <f t="array" ref="D97:E101">_xlfn.CHOOSECOLS(MMS_Dairy_ManureAppliedToSoils_Equations.VEERG_4_3_1_8__2_MassOfNitrogenAppliedToSoilsScope3_Arguments(),1,2)</f>
        <v>MN_jm</v>
      </c>
      <c r="E97" s="123" t="str">
        <v>total nitrogen in each MMS for dairy cattle classes</v>
      </c>
      <c r="F97" s="124"/>
      <c r="G97" s="118" t="str" cm="1">
        <f t="array" ref="G97:H101">_xlfn.CHOOSECOLS(MMS_Dairy_ManureAppliedToSoils_Equations.VEERG_4_3_1_8__2_MassOfNitrogenAppliedToSoilsScope3_Arguments(),3,4)</f>
        <v>kg N</v>
      </c>
      <c r="H97" s="126" t="str">
        <v>Calculated from 4.3.1.3 (2)</v>
      </c>
      <c r="I97" s="125" t="str" cm="1">
        <f t="array" aca="1" ref="I97" ca="1">HYPERLINK(Common_InputFunctions.Utility_SourceHyperlink($D$37),$D$37)</f>
        <v>M1_Table_MN_j_m</v>
      </c>
    </row>
    <row r="98" spans="4:22" ht="20.100000000000001" customHeight="1" x14ac:dyDescent="0.25">
      <c r="D98" s="118" t="str">
        <v>EF_m</v>
      </c>
      <c r="E98" s="123" t="str">
        <v>emission factor for nitrous oxide emissions per MMS</v>
      </c>
      <c r="F98" s="124"/>
      <c r="G98" s="118" t="str">
        <v>kg N2O-N/kg N</v>
      </c>
      <c r="H98" s="126" t="str">
        <v>Constant</v>
      </c>
      <c r="I98" s="125" t="str" cm="1">
        <f t="array" aca="1" ref="I98" ca="1">HYPERLINK(Common_InputFunctions.Utility_SourceHyperlink($D$19),$D$19)</f>
        <v>Table_EF_m</v>
      </c>
    </row>
    <row r="99" spans="4:22" ht="20.100000000000001" customHeight="1" x14ac:dyDescent="0.25">
      <c r="D99" s="118" t="str">
        <v>FracGASM_m</v>
      </c>
      <c r="E99" s="123" t="str">
        <v>fraction of N volatilised from MMS</v>
      </c>
      <c r="F99" s="124"/>
      <c r="G99" s="118" t="str">
        <v>fraction</v>
      </c>
      <c r="H99" s="126" t="str">
        <v>Constant</v>
      </c>
      <c r="I99" s="125" t="str" cm="1">
        <f t="array" aca="1" ref="I99" ca="1">HYPERLINK(Common_InputFunctions.Utility_SourceHyperlink($D$28),$D$28)</f>
        <v>Table_FracGASM_m</v>
      </c>
    </row>
    <row r="100" spans="4:22" ht="20.100000000000001" customHeight="1" x14ac:dyDescent="0.25">
      <c r="D100" s="118" t="str">
        <v>MNLeach_jm</v>
      </c>
      <c r="E100" s="123" t="str">
        <v>mass of N lost through leaching and runoff from each MMS</v>
      </c>
      <c r="F100" s="124"/>
      <c r="G100" s="118" t="str">
        <v>kg N</v>
      </c>
      <c r="H100" s="126" t="str">
        <v>Calculated from 4.3.1.6 (2)</v>
      </c>
      <c r="I100" s="125" t="str" cm="1">
        <f t="array" aca="1" ref="I100" ca="1">HYPERLINK(Common_InputFunctions.Utility_SourceHyperlink($D$49),$D$49)</f>
        <v>M1_Table_MN_leach_j_m</v>
      </c>
    </row>
    <row r="101" spans="4:22" ht="20.100000000000001" customHeight="1" x14ac:dyDescent="0.25">
      <c r="D101" s="118" t="str">
        <v>PF</v>
      </c>
      <c r="E101" s="123" t="str">
        <v>fraction of manure applied to soil within farm boundary</v>
      </c>
      <c r="F101" s="124"/>
      <c r="G101" s="118" t="str">
        <v>fraction</v>
      </c>
      <c r="H101" s="119" t="str">
        <v>Input</v>
      </c>
      <c r="I101" s="125" t="str" cm="1">
        <f t="array" aca="1" ref="I101" ca="1">HYPERLINK(Common_InputFunctions.Utility_SourceHyperlink($D$61),$D$61)</f>
        <v>Table_PF_scope</v>
      </c>
    </row>
    <row r="102" spans="4:22" ht="20.100000000000001" customHeight="1" x14ac:dyDescent="0.25"/>
    <row r="103" spans="4:22" ht="20.100000000000001" customHeight="1" x14ac:dyDescent="0.25">
      <c r="D103" s="120" t="s">
        <v>445</v>
      </c>
      <c r="O103" s="120" t="s">
        <v>446</v>
      </c>
    </row>
    <row r="104" spans="4:22" ht="20.100000000000001" customHeight="1" x14ac:dyDescent="0.25">
      <c r="D104" s="121" t="s">
        <v>447</v>
      </c>
      <c r="O104" s="121" t="s">
        <v>448</v>
      </c>
    </row>
    <row r="105" spans="4:22" ht="20.100000000000001" customHeight="1" x14ac:dyDescent="0.25">
      <c r="D105" s="122" t="s">
        <v>182</v>
      </c>
      <c r="E105" s="122" t="s">
        <v>302</v>
      </c>
      <c r="F105" s="122" t="s">
        <v>208</v>
      </c>
      <c r="G105" s="122" t="s">
        <v>209</v>
      </c>
      <c r="H105" s="122" t="s">
        <v>210</v>
      </c>
      <c r="I105" s="122" t="s">
        <v>211</v>
      </c>
      <c r="J105" s="122" t="s">
        <v>212</v>
      </c>
      <c r="O105" s="122" t="s">
        <v>182</v>
      </c>
      <c r="P105" s="122" t="s">
        <v>302</v>
      </c>
      <c r="Q105" s="122" t="s">
        <v>208</v>
      </c>
      <c r="R105" s="122" t="s">
        <v>209</v>
      </c>
      <c r="S105" s="122" t="s">
        <v>210</v>
      </c>
      <c r="T105" s="122" t="s">
        <v>211</v>
      </c>
      <c r="U105" s="122" t="s">
        <v>212</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76.202653892885763</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76.202653892885763</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109.02841249289807</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109.02841249289807</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93.787881714320932</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93.787881714320932</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81</v>
      </c>
      <c r="F109" s="25" cm="1">
        <f t="array" aca="1" ref="F109" ca="1">MMS_Dairy_ManureAppliedToSoils_Equations.VEERG_4_3_1_8__2_MassOfNitrogenAppliedToSoilsScope3(F43, _xlfn.XLOOKUP($E109, $D$22:$D$26,$E$22:$E$26), _xlfn.XLOOKUP($E109,$D$31:$D$35,$E$31:$E$35),F55, $F67)</f>
        <v>158.26705039291659</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81</v>
      </c>
      <c r="Q109" s="25" cm="1">
        <f t="array" aca="1" ref="Q109" ca="1">MMS_Dairy_ManureAppliedToSoils_Equations.VEERG_4_3_1_8__2_MassOfNitrogenAppliedToSoilsScope3(Q43, _xlfn.XLOOKUP($P109, $D$22:$D$26,$E$22:$E$26), _xlfn.XLOOKUP($P109,$D$31:$D$35,$E$31:$E$35),Q55, $F67)</f>
        <v>158.26705039291659</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308.27437256667417</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308.27437256667417</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352.8555895224701</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352.8555895224701</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303.53168991180229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303.53168991180229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81</v>
      </c>
      <c r="F113" s="25" cm="1">
        <f t="array" aca="1" ref="F113" ca="1">MMS_Dairy_ManureAppliedToSoils_Equations.VEERG_4_3_1_8__2_MassOfNitrogenAppliedToSoilsScope3(F47, _xlfn.XLOOKUP($E113, $D$22:$D$26,$E$22:$E$26), _xlfn.XLOOKUP($E113,$D$31:$D$35,$E$31:$E$35),F59, $F71)</f>
        <v>448.18351088539555</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81</v>
      </c>
      <c r="Q113" s="25" cm="1">
        <f t="array" aca="1" ref="Q113" ca="1">MMS_Dairy_ManureAppliedToSoils_Equations.VEERG_4_3_1_8__2_MassOfNitrogenAppliedToSoilsScope3(Q47, _xlfn.XLOOKUP($P113, $D$22:$D$26,$E$22:$E$26), _xlfn.XLOOKUP($P113,$D$31:$D$35,$E$31:$E$35),Q59, $F71)</f>
        <v>448.18351088539555</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3" t="s">
        <v>449</v>
      </c>
      <c r="E115" s="134">
        <f ca="1">SUM(F106:J113)</f>
        <v>4139.1577931583588</v>
      </c>
      <c r="F115" s="135" t="str">
        <f>$E$11</f>
        <v>kg N</v>
      </c>
      <c r="O115" s="133" t="s">
        <v>449</v>
      </c>
      <c r="P115" s="134">
        <f ca="1">SUM(Q106:U113)</f>
        <v>4139.1577931583588</v>
      </c>
      <c r="Q115" s="135"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3" t="str">
        <f>"Below are applications of " &amp; D6 &amp; " that are applied to the following contexts:"</f>
        <v>Below are applications of VEERG 2026: 4.3.1.8, Equation (1) that are applied to the following contexts:</v>
      </c>
      <c r="E119" s="54"/>
      <c r="F119" s="54"/>
      <c r="G119" s="54"/>
      <c r="H119" s="55"/>
    </row>
    <row r="120" spans="3:23" ht="20.100000000000001" customHeight="1" x14ac:dyDescent="0.25">
      <c r="D120" s="56" t="s">
        <v>450</v>
      </c>
      <c r="E120" s="57"/>
      <c r="F120" s="57"/>
      <c r="G120" s="57"/>
      <c r="H120" s="58"/>
    </row>
    <row r="121" spans="3:23" ht="20.100000000000001" customHeight="1" x14ac:dyDescent="0.25"/>
    <row r="122" spans="3:23" ht="20.100000000000001" customHeight="1" x14ac:dyDescent="0.25">
      <c r="D122" s="2" t="s">
        <v>451</v>
      </c>
    </row>
    <row r="123" spans="3:23" ht="20.100000000000001" customHeight="1" x14ac:dyDescent="0.25"/>
    <row r="124" spans="3:23" ht="20.100000000000001" customHeight="1" x14ac:dyDescent="0.25">
      <c r="D124" s="120" t="s">
        <v>452</v>
      </c>
    </row>
    <row r="125" spans="3:23" ht="20.100000000000001" customHeight="1" x14ac:dyDescent="0.25">
      <c r="D125" s="121" t="s">
        <v>453</v>
      </c>
    </row>
    <row r="126" spans="3:23" ht="20.100000000000001" customHeight="1" x14ac:dyDescent="0.25">
      <c r="D126" s="96" t="s">
        <v>182</v>
      </c>
      <c r="E126" s="96" t="s">
        <v>302</v>
      </c>
      <c r="F126" s="96" t="s">
        <v>454</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81</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81</v>
      </c>
      <c r="F134" s="25">
        <f>INDEX(X_Table_Dairy_Stage1MMS_2_SolidStorage_Destinations,2,3)</f>
        <v>0.25</v>
      </c>
      <c r="G134" s="26"/>
    </row>
    <row r="135" spans="4:22" ht="20.100000000000001" customHeight="1" x14ac:dyDescent="0.25"/>
    <row r="136" spans="4:22" ht="20.100000000000001" customHeight="1" x14ac:dyDescent="0.25">
      <c r="D136" s="120" t="s">
        <v>455</v>
      </c>
      <c r="O136" s="120" t="s">
        <v>456</v>
      </c>
    </row>
    <row r="137" spans="4:22" ht="20.100000000000001" customHeight="1" x14ac:dyDescent="0.25">
      <c r="D137" s="121" t="s">
        <v>457</v>
      </c>
      <c r="O137" s="121" t="s">
        <v>458</v>
      </c>
    </row>
    <row r="138" spans="4:22" ht="20.100000000000001" customHeight="1" x14ac:dyDescent="0.25">
      <c r="D138" s="122" t="s">
        <v>182</v>
      </c>
      <c r="E138" s="122" t="s">
        <v>302</v>
      </c>
      <c r="F138" s="122" t="s">
        <v>208</v>
      </c>
      <c r="G138" s="122" t="s">
        <v>209</v>
      </c>
      <c r="H138" s="122" t="s">
        <v>210</v>
      </c>
      <c r="I138" s="122" t="s">
        <v>211</v>
      </c>
      <c r="J138" s="122" t="s">
        <v>212</v>
      </c>
      <c r="O138" s="122" t="s">
        <v>182</v>
      </c>
      <c r="P138" s="122" t="s">
        <v>302</v>
      </c>
      <c r="Q138" s="122" t="s">
        <v>208</v>
      </c>
      <c r="R138" s="122" t="s">
        <v>209</v>
      </c>
      <c r="S138" s="122" t="s">
        <v>210</v>
      </c>
      <c r="T138" s="122" t="s">
        <v>211</v>
      </c>
      <c r="U138" s="122" t="s">
        <v>212</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76.202653892885763</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76.202653892885763</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109.02841249289807</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109.02841249289807</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93.787881714320932</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93.787881714320932</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81</v>
      </c>
      <c r="F142" s="25" cm="1">
        <f t="array" ref="F142">MMS_Dairy_ManureAppliedToSoils_Equations.VEERG_4_3_1_8__1_MassOfNitrogenAppliedToSoilsScope1(F43,_xlfn.XLOOKUP($E142,$D$22:$D$26,$E$22:$E$26),_xlfn.XLOOKUP($E142,$D$31:$D$35,$E$31:$E$35),F55,$F130)</f>
        <v>158.26705039291659</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81</v>
      </c>
      <c r="Q142" s="25" cm="1">
        <f t="array" ref="Q142">MMS_Dairy_ManureAppliedToSoils_Equations.VEERG_4_3_1_8__1_MassOfNitrogenAppliedToSoilsScope1(Q43,_xlfn.XLOOKUP($P142,$D$22:$D$26,$E$22:$E$26),_xlfn.XLOOKUP($P142,$D$31:$D$35,$E$31:$E$35),Q55,$F130)</f>
        <v>158.26705039291659</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308.27437256667417</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308.27437256667417</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352.8555895224701</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352.8555895224701</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303.53168991180229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303.53168991180229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81</v>
      </c>
      <c r="F146" s="25" cm="1">
        <f t="array" ref="F146">MMS_Dairy_ManureAppliedToSoils_Equations.VEERG_4_3_1_8__1_MassOfNitrogenAppliedToSoilsScope1(F47,_xlfn.XLOOKUP($E146,$D$22:$D$26,$E$22:$E$26),_xlfn.XLOOKUP($E146,$D$31:$D$35,$E$31:$E$35),F59,$F134)</f>
        <v>448.18351088539555</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81</v>
      </c>
      <c r="Q146" s="25" cm="1">
        <f t="array" ref="Q146">MMS_Dairy_ManureAppliedToSoils_Equations.VEERG_4_3_1_8__1_MassOfNitrogenAppliedToSoilsScope1(Q47,_xlfn.XLOOKUP($P146,$D$22:$D$26,$E$22:$E$26),_xlfn.XLOOKUP($P146,$D$31:$D$35,$E$31:$E$35),Q59,$F134)</f>
        <v>448.18351088539555</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3" t="s">
        <v>459</v>
      </c>
      <c r="E148" s="134">
        <f>SUM(F139:J146)</f>
        <v>4139.1577931583588</v>
      </c>
      <c r="F148" s="135" t="str">
        <f>$E$95</f>
        <v>kg N</v>
      </c>
      <c r="O148" s="133" t="s">
        <v>459</v>
      </c>
      <c r="P148" s="134">
        <f>SUM(Q139:U146)</f>
        <v>4139.1577931583588</v>
      </c>
      <c r="Q148" s="135"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FF3B24FB-F610-4E14-A880-6888AE4AC7F7}"/>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819CB-4ACA-42A5-8F66-4FE8BCBB7EB3}">
  <dimension ref="A1:W165"/>
  <sheetViews>
    <sheetView showGridLines="0" topLeftCell="B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193</v>
      </c>
      <c r="M1" s="94"/>
    </row>
    <row r="2" spans="1:23" s="3" customFormat="1" ht="20.100000000000001" customHeight="1" x14ac:dyDescent="0.25">
      <c r="A2"/>
      <c r="M2" s="94"/>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6" t="s">
        <v>257</v>
      </c>
      <c r="E7" s="116"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8" t="s">
        <v>258</v>
      </c>
      <c r="E10" s="1" t="str" cm="1">
        <f t="array" ref="E10">MMS_Dairy_N2ODirect_Equations.VEERG_4_3_1_3__2_TotalNitrogenInEachMMS_Variable()</f>
        <v>MN_jm</v>
      </c>
    </row>
    <row r="11" spans="1:23" ht="20.100000000000001" customHeight="1" x14ac:dyDescent="0.25">
      <c r="A11" s="5" t="str">
        <f>HYPERLINK("#'Input - Dairy'!A1", "Dairy")</f>
        <v>Dairy</v>
      </c>
      <c r="D11" s="88" t="s">
        <v>127</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_xlfn.CHOOSECOLS(MMS_Dairy_N2ODirect_Equations.VEERG_4_3_1_3__2_TotalNitrogenInEachMMS_Arguments(),1,2)</f>
        <v>AE_j</v>
      </c>
      <c r="E13" s="123" t="str">
        <v>total nitrogen excreted by each dairy class</v>
      </c>
      <c r="F13" s="124"/>
      <c r="G13" s="118" t="str" cm="1">
        <f t="array" ref="G13:H14">_xlfn.CHOOSECOLS(MMS_Dairy_N2ODirect_Equations.VEERG_4_3_1_3__2_TotalNitrogenInEachMMS_Arguments(),3,4)</f>
        <v>kg N</v>
      </c>
      <c r="H13" s="126" t="str">
        <v>Calculated from 4.3.1.3 (3a) and (3b)</v>
      </c>
      <c r="I13" s="125"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18" t="str">
        <v>MMS_jm</v>
      </c>
      <c r="E14" s="123" t="str">
        <v>manure management system fraction for class j and system m</v>
      </c>
      <c r="F14" s="124"/>
      <c r="G14" s="118" t="str">
        <v>fraction</v>
      </c>
      <c r="H14" s="119" t="str">
        <v>Input</v>
      </c>
      <c r="I14" s="125"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390</v>
      </c>
      <c r="O16" s="120" t="s">
        <v>460</v>
      </c>
    </row>
    <row r="17" spans="1:22" ht="20.100000000000001" customHeight="1" x14ac:dyDescent="0.25">
      <c r="A17" s="5" t="str">
        <f>HYPERLINK("#'Input - Fertiliser'!A1", "Fertiliser")</f>
        <v>Fertiliser</v>
      </c>
      <c r="D17" s="121" t="s">
        <v>461</v>
      </c>
      <c r="O17" s="121" t="s">
        <v>462</v>
      </c>
    </row>
    <row r="18" spans="1:22" ht="20.100000000000001" customHeight="1" x14ac:dyDescent="0.25">
      <c r="A18" s="5" t="str">
        <f>HYPERLINK("#'Input - Fuel'!A1", "Fuel")</f>
        <v>Fuel</v>
      </c>
      <c r="D18" s="122" t="s">
        <v>208</v>
      </c>
      <c r="E18" s="122" t="s">
        <v>209</v>
      </c>
      <c r="F18" s="122" t="s">
        <v>210</v>
      </c>
      <c r="G18" s="122" t="s">
        <v>211</v>
      </c>
      <c r="H18" s="122" t="s">
        <v>212</v>
      </c>
      <c r="O18" s="122" t="s">
        <v>208</v>
      </c>
      <c r="P18" s="122" t="s">
        <v>209</v>
      </c>
      <c r="Q18" s="122" t="s">
        <v>210</v>
      </c>
      <c r="R18" s="122" t="s">
        <v>211</v>
      </c>
      <c r="S18" s="122" t="s">
        <v>212</v>
      </c>
    </row>
    <row r="19" spans="1:22" ht="20.100000000000001" customHeight="1" x14ac:dyDescent="0.25">
      <c r="A19" s="5" t="str">
        <f>HYPERLINK("#'Input - Electricity'!A1", "Electricity")</f>
        <v>Electricity</v>
      </c>
      <c r="D19" s="25">
        <f>INDEX(M1_Table_AE_j124,2,1)</f>
        <v>21315.427662345664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21315.427662345664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20" t="s">
        <v>463</v>
      </c>
      <c r="O22" s="120" t="s">
        <v>464</v>
      </c>
    </row>
    <row r="23" spans="1:22" ht="20.100000000000001" customHeight="1" x14ac:dyDescent="0.25">
      <c r="A23" s="5" t="str">
        <f>HYPERLINK("#'Input - Solid waste'!A1", "Solid waste")</f>
        <v>Solid waste</v>
      </c>
      <c r="D23" s="121" t="s">
        <v>465</v>
      </c>
      <c r="O23" s="121" t="s">
        <v>466</v>
      </c>
    </row>
    <row r="24" spans="1:22" ht="20.100000000000001" customHeight="1" x14ac:dyDescent="0.25">
      <c r="D24" s="96" t="s">
        <v>182</v>
      </c>
      <c r="E24" s="96" t="s">
        <v>302</v>
      </c>
      <c r="F24" s="96" t="s">
        <v>208</v>
      </c>
      <c r="G24" s="96" t="s">
        <v>209</v>
      </c>
      <c r="H24" s="96" t="s">
        <v>210</v>
      </c>
      <c r="I24" s="96" t="s">
        <v>211</v>
      </c>
      <c r="J24" s="96" t="s">
        <v>212</v>
      </c>
      <c r="O24" s="96" t="s">
        <v>182</v>
      </c>
      <c r="P24" s="96" t="s">
        <v>302</v>
      </c>
      <c r="Q24" s="96" t="s">
        <v>208</v>
      </c>
      <c r="R24" s="96" t="s">
        <v>209</v>
      </c>
      <c r="S24" s="96" t="s">
        <v>210</v>
      </c>
      <c r="T24" s="96" t="s">
        <v>211</v>
      </c>
      <c r="U24" s="96" t="s">
        <v>212</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39"/>
    </row>
    <row r="28" spans="1:22" ht="20.100000000000001" customHeight="1" x14ac:dyDescent="0.25">
      <c r="A28" s="5" t="str">
        <f>HYPERLINK("#'5.1.1.3-4 Inorganic fert CO2'!A1", "5.1.1.3-4 Inorganic fert CO2")</f>
        <v>5.1.1.3-4 Inorganic fert CO2</v>
      </c>
      <c r="D28" s="120" t="s">
        <v>467</v>
      </c>
      <c r="O28" s="120" t="s">
        <v>468</v>
      </c>
    </row>
    <row r="29" spans="1:22" ht="20.100000000000001" customHeight="1" x14ac:dyDescent="0.25">
      <c r="A29" s="5" t="str">
        <f>HYPERLINK("#'5.2.1.1-2 Organic Fert N2O'!A1", "5.2.1.1-2 Organic fert N2O")</f>
        <v>5.2.1.1-2 Organic fert N2O</v>
      </c>
      <c r="D29" s="121" t="s">
        <v>469</v>
      </c>
      <c r="O29" s="121" t="s">
        <v>470</v>
      </c>
    </row>
    <row r="30" spans="1:22" ht="20.100000000000001" customHeight="1" x14ac:dyDescent="0.25">
      <c r="A30" s="5" t="str">
        <f>HYPERLINK("#'5.3.1.1-2 Lime CO2'!A1", "5.3.1.1-2 Lime CO2")</f>
        <v>5.3.1.1-2 Lime CO2</v>
      </c>
      <c r="D30" s="122" t="s">
        <v>182</v>
      </c>
      <c r="E30" s="122" t="s">
        <v>302</v>
      </c>
      <c r="F30" s="122" t="s">
        <v>208</v>
      </c>
      <c r="G30" s="122" t="s">
        <v>209</v>
      </c>
      <c r="H30" s="122" t="s">
        <v>210</v>
      </c>
      <c r="I30" s="122" t="s">
        <v>211</v>
      </c>
      <c r="J30" s="122" t="s">
        <v>212</v>
      </c>
      <c r="O30" s="122" t="s">
        <v>182</v>
      </c>
      <c r="P30" s="122" t="s">
        <v>302</v>
      </c>
      <c r="Q30" s="122" t="s">
        <v>208</v>
      </c>
      <c r="R30" s="122" t="s">
        <v>209</v>
      </c>
      <c r="S30" s="122" t="s">
        <v>210</v>
      </c>
      <c r="T30" s="122" t="s">
        <v>211</v>
      </c>
      <c r="U30" s="122" t="s">
        <v>212</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11382.438371692586</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11382.438371692586</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16" t="s">
        <v>471</v>
      </c>
      <c r="E37" s="116"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MMS_Dairy_Soil_N2ODirect_Equations.VEERG_4_3_1_9__1_DirectNitrousOxideEmissionsOnPasture_Variable()</f>
        <v>E_N2Odir</v>
      </c>
    </row>
    <row r="41" spans="1:23" ht="20.100000000000001" customHeight="1" x14ac:dyDescent="0.25">
      <c r="A41" s="5" t="str">
        <f>HYPERLINK("#'4.3.1.3-4 Direct N20'!A1", "4.3.1.3-4 Direct N20")</f>
        <v>4.3.1.3-4 Direct N20</v>
      </c>
      <c r="D41" s="88" t="s">
        <v>127</v>
      </c>
      <c r="E41" s="15" t="str" cm="1">
        <f t="array" ref="E41">MMS_Dairy_Soil_N2ODirect_Equations.VEERG_4_3_1_9__1_DirectNitrousOxideEmissionsOnPasture_Unit()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6">_xlfn.CHOOSECOLS(MMS_Dairy_Soil_N2ODirect_Equations.VEERG_4_3_1_9__1_DirectNitrousOxideEmissionsOnPasture_Arguments(),1,2)</f>
        <v>MN_jm14</v>
      </c>
      <c r="E43" s="123" t="str">
        <v>mass of nitrogen excreted on pasture, range, and paddock for each dairy cattle class</v>
      </c>
      <c r="F43" s="131"/>
      <c r="G43" s="124"/>
      <c r="H43" s="118" t="str" cm="1">
        <f t="array" ref="H43:I46">_xlfn.CHOOSECOLS(MMS_Dairy_Soil_N2ODirect_Equations.VEERG_4_3_1_9__1_DirectNitrousOxideEmissionsOnPasture_Arguments(),3,4)</f>
        <v>kg N</v>
      </c>
      <c r="I43" s="126" t="str">
        <v>Calculated from 4.3.1.3 (2)</v>
      </c>
      <c r="J43" s="125" t="str" cm="1">
        <f t="array" aca="1" ref="J43" ca="1">HYPERLINK(Common_InputFunctions.Utility_SourceHyperlink($D$28),$D$28)</f>
        <v>M1_Table_MN_j_m-14</v>
      </c>
    </row>
    <row r="44" spans="1:23" ht="20.100000000000001" customHeight="1" x14ac:dyDescent="0.25">
      <c r="A44" s="5" t="str">
        <f>HYPERLINK("#'4.3.1.8 Manure applied to soils'!A1", "4.3.1.8 Manure applied to soils")</f>
        <v>4.3.1.8 Manure applied to soils</v>
      </c>
      <c r="D44" s="118" t="str">
        <v>EF_PRP</v>
      </c>
      <c r="E44" s="123" t="str">
        <v>emission factor for nitrous oxide emissions for urine and dung deposited on PRP</v>
      </c>
      <c r="F44" s="131"/>
      <c r="G44" s="124"/>
      <c r="H44" s="118" t="str">
        <v>kg N2O-N/kg N deposited</v>
      </c>
      <c r="I44" s="126" t="str">
        <v>Constant</v>
      </c>
      <c r="J44" s="118">
        <f>Common_InputFunctions.Utility_LookupValueInTable(J46, Table_SourceData_EFPastureRangeAndPaddock[Climate zone],Table_SourceData_EFPastureRangeAndPaddock[EFPRP])</f>
        <v>2E-3</v>
      </c>
    </row>
    <row r="45" spans="1:23" ht="20.100000000000001" customHeight="1" x14ac:dyDescent="0.25">
      <c r="A45" s="117" t="str">
        <f>HYPERLINK("#'4.3.1.9 Soil direct N2O'!A1", "4.3.1.9 Soil direct N2O")</f>
        <v>4.3.1.9 Soil direct N2O</v>
      </c>
      <c r="D45" s="118" t="str">
        <v>C_N2O</v>
      </c>
      <c r="E45" s="123" t="str">
        <v>factor to convert elemental mass of N2O to molecular mass</v>
      </c>
      <c r="F45" s="131"/>
      <c r="G45" s="124"/>
      <c r="H45" s="118" t="str">
        <v/>
      </c>
      <c r="I45" s="126" t="str">
        <v>Constant</v>
      </c>
      <c r="J45" s="118">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HYPERLINK("#'4.3.1.10-11 Soil Atmos Dep'!A1", "4.3.1.10-11 Soil Atmos Dep")</f>
        <v>4.3.1.10-11 Soil Atmos Dep</v>
      </c>
      <c r="D46" s="118" t="str">
        <v>z</v>
      </c>
      <c r="E46" s="123" t="str">
        <v>Wet or dry climate zone</v>
      </c>
      <c r="F46" s="131"/>
      <c r="G46" s="124"/>
      <c r="H46" s="118" t="str">
        <v/>
      </c>
      <c r="I46" s="119" t="str">
        <v>Input</v>
      </c>
      <c r="J46" s="118" t="str">
        <f>X_Cell_Site_WetOrDryClimateZone</f>
        <v>Dry climate zone</v>
      </c>
    </row>
    <row r="47" spans="1:23" ht="20.100000000000001" customHeight="1" x14ac:dyDescent="0.25">
      <c r="A47" s="5" t="str">
        <f>HYPERLINK("#'4.3.1.12-13 Soil leach runoff'!A1", "4.3.1.12-13 Soil leach runoff")</f>
        <v>4.3.1.12-13 Soil leach runoff</v>
      </c>
    </row>
    <row r="48" spans="1:23" ht="20.100000000000001" customHeight="1" x14ac:dyDescent="0.25">
      <c r="A48" s="5" t="str">
        <f>HYPERLINK("#'3.3.1.1-2 Enteric Methane'!A1", "3.3.1.1-2 Enteric Methane")</f>
        <v>3.3.1.1-2 Enteric Methane</v>
      </c>
      <c r="D48" s="120" t="s">
        <v>402</v>
      </c>
      <c r="O48" s="120" t="s">
        <v>403</v>
      </c>
    </row>
    <row r="49" spans="1:22" ht="20.100000000000001" customHeight="1" x14ac:dyDescent="0.25">
      <c r="A49" s="5" t="str">
        <f>HYPERLINK("#'10.1.1-2 Solid waste treatment'!A1", "10.1.1-2 Solid waste treatment")</f>
        <v>10.1.1-2 Solid waste treatment</v>
      </c>
      <c r="D49" s="121" t="s">
        <v>472</v>
      </c>
      <c r="O49" s="121" t="s">
        <v>473</v>
      </c>
    </row>
    <row r="50" spans="1:22" ht="20.100000000000001" customHeight="1" x14ac:dyDescent="0.25">
      <c r="D50" s="122" t="s">
        <v>182</v>
      </c>
      <c r="E50" s="122" t="s">
        <v>302</v>
      </c>
      <c r="F50" s="122" t="s">
        <v>208</v>
      </c>
      <c r="G50" s="122" t="s">
        <v>209</v>
      </c>
      <c r="H50" s="122" t="s">
        <v>210</v>
      </c>
      <c r="I50" s="122" t="s">
        <v>211</v>
      </c>
      <c r="J50" s="122" t="s">
        <v>212</v>
      </c>
      <c r="O50" s="122" t="s">
        <v>182</v>
      </c>
      <c r="P50" s="122" t="s">
        <v>302</v>
      </c>
      <c r="Q50" s="122" t="s">
        <v>208</v>
      </c>
      <c r="R50" s="122" t="s">
        <v>209</v>
      </c>
      <c r="S50" s="122" t="s">
        <v>210</v>
      </c>
      <c r="T50" s="122" t="s">
        <v>211</v>
      </c>
      <c r="U50" s="122" t="s">
        <v>212</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3.5773377739605275E-2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3.5773377739605275E-2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33" t="s">
        <v>406</v>
      </c>
      <c r="E53" s="134">
        <f>SUM(F51:J51)</f>
        <v>8.0033058384947273E-2</v>
      </c>
      <c r="F53" s="135" t="str">
        <f>$E$41</f>
        <v>t N2O</v>
      </c>
      <c r="O53" s="133" t="s">
        <v>406</v>
      </c>
      <c r="P53" s="134">
        <f>SUM(Q51:U51)</f>
        <v>8.0033058384947273E-2</v>
      </c>
      <c r="Q53" s="135"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30" t="str" cm="1">
        <f t="array" ref="D55:E56">Common_Equations.Common_ConvertN2OToCO2e_Arguments()</f>
        <v>EN2O</v>
      </c>
      <c r="E55" s="136" t="str">
        <v>Nitrous oxide emissions (t N2O)</v>
      </c>
      <c r="F55" s="137"/>
      <c r="G55" s="25">
        <f>VEERG_4_3_1_9__1_DirectNitrousOxideEmissionsOnPasture_Result_Method1</f>
        <v>8.0033058384947273E-2</v>
      </c>
      <c r="O55" s="130" t="str" cm="1">
        <f t="array" ref="O55:P56">Common_Equations.Common_ConvertN2OToCO2e_Arguments()</f>
        <v>EN2O</v>
      </c>
      <c r="P55" s="136" t="str">
        <v>Nitrous oxide emissions (t N2O)</v>
      </c>
      <c r="Q55" s="137"/>
      <c r="R55" s="25">
        <f>VEERG_4_3_1_9__1_DirectNitrousOxideEmissionsOnPasture_Result_Method2</f>
        <v>8.0033058384947273E-2</v>
      </c>
    </row>
    <row r="56" spans="1:22" ht="20.100000000000001" customHeight="1" x14ac:dyDescent="0.25">
      <c r="A56" s="5" t="str">
        <f>HYPERLINK("#'Constants - Electricity'!A1", "Constants - Electricity")</f>
        <v>Constants - Electricity</v>
      </c>
      <c r="D56" s="130" t="str">
        <v>GWPN2O</v>
      </c>
      <c r="E56" s="136" t="str">
        <v>Global warming potential for nitrous oxide (t CO2-e / t N2O)</v>
      </c>
      <c r="F56" s="137"/>
      <c r="G56" s="25">
        <f>Common_InputFunctions.Utility_LookupValueInTableNumber("N2O",Table_GWPData[Gas],Table_GWPData[CO2-e factor])</f>
        <v>265</v>
      </c>
      <c r="O56" s="130" t="str">
        <v>GWPN2O</v>
      </c>
      <c r="P56" s="136" t="str">
        <v>Global warming potential for nitrous oxide (t CO2-e / t N2O)</v>
      </c>
      <c r="Q56" s="137"/>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407</v>
      </c>
      <c r="E58" s="100" cm="1">
        <f t="array" ref="E58">Common_Equations.Common_ConvertN2OToCO2e(G55,G56)</f>
        <v>21.208760472011026</v>
      </c>
      <c r="F58" s="138" t="str" cm="1">
        <f t="array" ref="F58">Common_Equations.Common_ConvertN2OToCO2e_Unit()</f>
        <v>t CO2e</v>
      </c>
      <c r="O58" s="100" t="s">
        <v>407</v>
      </c>
      <c r="P58" s="100" cm="1">
        <f t="array" ref="P58">Common_Equations.Common_ConvertN2OToCO2e(R55,R56)</f>
        <v>21.208760472011026</v>
      </c>
      <c r="Q58" s="138"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4A51CD9A-DB8D-4D77-9DA2-3A7BB8EA3C9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A563D-AA6B-4C73-A82F-BC8CD6A99C67}">
  <dimension ref="A1:W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474</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6" t="s">
        <v>257</v>
      </c>
      <c r="E7" s="116"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8" t="s">
        <v>127</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_xlfn.CHOOSECOLS(MMS_Dairy_Soil_AtmosphericDeposition_Equations.VEERG_4_3_1_10__2_MassOfNitrogenVolatilisedOnPasture_Arguments(),1,2)</f>
        <v>MN_jm14</v>
      </c>
      <c r="E13" s="118" t="str">
        <v>mass of nitrogen excreted on pasture, range and paddock for each dairy class</v>
      </c>
      <c r="F13" s="118"/>
      <c r="G13" s="118" t="str" cm="1">
        <f t="array" ref="G13:H14">_xlfn.CHOOSECOLS(MMS_Dairy_Soil_AtmosphericDeposition_Equations.VEERG_4_3_1_10__2_MassOfNitrogenVolatilisedOnPasture_Arguments(),3,4)</f>
        <v>kg N</v>
      </c>
      <c r="H13" s="126" t="str">
        <v>Calculated from 4.3.1.3 (2)</v>
      </c>
      <c r="I13" s="125"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18" t="str">
        <v>FracGASMsoil</v>
      </c>
      <c r="E14" s="118" t="str">
        <v>fraction of nitrogen volatilised from urine and faeces deposited on pasture</v>
      </c>
      <c r="F14" s="118"/>
      <c r="G14" s="118" t="str">
        <v>(kg NH3-N + NOx-N)/kg N)</v>
      </c>
      <c r="H14" s="126" t="str">
        <v>Constant</v>
      </c>
      <c r="I14" s="118">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467</v>
      </c>
      <c r="M16" s="94"/>
      <c r="O16" s="120" t="s">
        <v>468</v>
      </c>
    </row>
    <row r="17" spans="1:23" ht="20.100000000000001" customHeight="1" x14ac:dyDescent="0.25">
      <c r="A17" s="5" t="str">
        <f>HYPERLINK("#'Input - Fertiliser'!A1", "Fertiliser")</f>
        <v>Fertiliser</v>
      </c>
      <c r="D17" s="121" t="s">
        <v>469</v>
      </c>
      <c r="M17" s="94"/>
      <c r="O17" s="121" t="s">
        <v>470</v>
      </c>
    </row>
    <row r="18" spans="1:23" ht="20.100000000000001" customHeight="1" x14ac:dyDescent="0.25">
      <c r="A18" s="5" t="str">
        <f>HYPERLINK("#'Input - Fuel'!A1", "Fuel")</f>
        <v>Fuel</v>
      </c>
      <c r="D18" s="122" t="s">
        <v>182</v>
      </c>
      <c r="E18" s="122" t="s">
        <v>302</v>
      </c>
      <c r="F18" s="122" t="s">
        <v>208</v>
      </c>
      <c r="G18" s="122" t="s">
        <v>209</v>
      </c>
      <c r="H18" s="122" t="s">
        <v>210</v>
      </c>
      <c r="I18" s="122" t="s">
        <v>211</v>
      </c>
      <c r="J18" s="122" t="s">
        <v>212</v>
      </c>
      <c r="M18" s="94"/>
      <c r="O18" s="122" t="s">
        <v>182</v>
      </c>
      <c r="P18" s="122" t="s">
        <v>302</v>
      </c>
      <c r="Q18" s="122" t="s">
        <v>208</v>
      </c>
      <c r="R18" s="122" t="s">
        <v>209</v>
      </c>
      <c r="S18" s="122" t="s">
        <v>210</v>
      </c>
      <c r="T18" s="122" t="s">
        <v>211</v>
      </c>
      <c r="U18" s="122" t="s">
        <v>212</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11382.438371692586</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11382.438371692586</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475</v>
      </c>
      <c r="O21" s="120" t="s">
        <v>476</v>
      </c>
    </row>
    <row r="22" spans="1:23" ht="20.100000000000001" customHeight="1" x14ac:dyDescent="0.25">
      <c r="A22" s="5" t="str">
        <f>HYPERLINK("#'Input - Manure sent off-site'!A1", "Manure sent off-site")</f>
        <v>Manure sent off-site</v>
      </c>
      <c r="D22" s="121" t="s">
        <v>477</v>
      </c>
      <c r="O22" s="121" t="s">
        <v>478</v>
      </c>
    </row>
    <row r="23" spans="1:23" ht="20.100000000000001" customHeight="1" x14ac:dyDescent="0.25">
      <c r="A23" s="5" t="str">
        <f>HYPERLINK("#'Input - Solid waste'!A1", "Solid waste")</f>
        <v>Solid waste</v>
      </c>
      <c r="D23" s="122" t="s">
        <v>182</v>
      </c>
      <c r="E23" s="122" t="s">
        <v>302</v>
      </c>
      <c r="F23" s="122" t="s">
        <v>208</v>
      </c>
      <c r="G23" s="122" t="s">
        <v>209</v>
      </c>
      <c r="H23" s="122" t="s">
        <v>210</v>
      </c>
      <c r="I23" s="122" t="s">
        <v>211</v>
      </c>
      <c r="J23" s="122" t="s">
        <v>212</v>
      </c>
      <c r="O23" s="122" t="s">
        <v>182</v>
      </c>
      <c r="P23" s="122" t="s">
        <v>302</v>
      </c>
      <c r="Q23" s="122" t="s">
        <v>208</v>
      </c>
      <c r="R23" s="122" t="s">
        <v>209</v>
      </c>
      <c r="S23" s="122" t="s">
        <v>210</v>
      </c>
      <c r="T23" s="122" t="s">
        <v>211</v>
      </c>
      <c r="U23" s="122" t="s">
        <v>212</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2390.3120580554428</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2390.3120580554428</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row r="26" spans="1:23" ht="20.100000000000001" customHeight="1" x14ac:dyDescent="0.25">
      <c r="A26" s="6" t="s">
        <v>2</v>
      </c>
      <c r="D26" s="140" t="s">
        <v>479</v>
      </c>
      <c r="E26" s="100">
        <f>SUM(F24:J24)</f>
        <v>5347.6634466305668</v>
      </c>
      <c r="F26" s="138" t="str">
        <f>$E$11</f>
        <v>kg N</v>
      </c>
      <c r="O26" s="140" t="s">
        <v>479</v>
      </c>
      <c r="P26" s="100">
        <f>SUM(Q24:U24)</f>
        <v>5347.6634466305668</v>
      </c>
      <c r="Q26" s="138"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16" t="s">
        <v>257</v>
      </c>
      <c r="E32" s="116"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8" t="s">
        <v>258</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8" t="s">
        <v>127</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18" t="str" cm="1">
        <f t="array" ref="D38:E43">_xlfn.CHOOSECOLS(MMS_Dairy_Soil_AtmosphericDeposition_Equations.VEERG_4_3_1_10__1_AtmosphericDepositionEmissionsFromUrineAndDungOnPasture_Arguments(),1,2)</f>
        <v>M_vol_m14</v>
      </c>
      <c r="E38" s="123" t="str">
        <v>mass of nitrogen volatilised from urine and faeces deposited on pasture</v>
      </c>
      <c r="F38" s="124"/>
      <c r="G38" s="118" t="str" cm="1">
        <f t="array" ref="G38:H43">_xlfn.CHOOSECOLS(MMS_Dairy_Soil_AtmosphericDeposition_Equations.VEERG_4_3_1_10__1_AtmosphericDepositionEmissionsFromUrineAndDungOnPasture_Arguments(),3,4)</f>
        <v>kg N</v>
      </c>
      <c r="H38" s="126" t="str">
        <v>Calculated from 4.3.1.10 (2)</v>
      </c>
      <c r="I38" s="118">
        <f>$E$26</f>
        <v>5347.6634466305668</v>
      </c>
      <c r="O38" s="130" t="str">
        <f>D38</f>
        <v>M_vol_m14</v>
      </c>
      <c r="P38" s="130" t="str">
        <f>E38</f>
        <v>mass of nitrogen volatilised from urine and faeces deposited on pasture</v>
      </c>
      <c r="Q38" s="136"/>
      <c r="R38" s="141"/>
      <c r="S38" s="130">
        <f>$P$26</f>
        <v>5347.6634466305668</v>
      </c>
    </row>
    <row r="39" spans="1:19" ht="20.100000000000001" customHeight="1" x14ac:dyDescent="0.25">
      <c r="A39" s="5" t="str">
        <f>HYPERLINK("#'Calcs - Manure sent off-site'!A1", "Calcs - Manure sent off-site")</f>
        <v>Calcs - Manure sent off-site</v>
      </c>
      <c r="D39" s="118" t="str">
        <v>EF_N2O</v>
      </c>
      <c r="E39" s="123" t="str">
        <v>nitrous oxide emission factor for atmospheric deposition</v>
      </c>
      <c r="F39" s="124"/>
      <c r="G39" s="118" t="str">
        <v>kg N2O-N/kg N</v>
      </c>
      <c r="H39" s="126" t="str">
        <v>Constant</v>
      </c>
      <c r="I39" s="118">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0"/>
      <c r="P39" s="136"/>
      <c r="Q39" s="144"/>
      <c r="R39" s="141"/>
      <c r="S39" s="130"/>
    </row>
    <row r="40" spans="1:19" ht="20.100000000000001" customHeight="1" x14ac:dyDescent="0.25">
      <c r="A40" s="5" t="str">
        <f>HYPERLINK("#'4.3.1.1-2 Methane'!A1", "4.3.1.1-2 Methane")</f>
        <v>4.3.1.1-2 Methane</v>
      </c>
      <c r="D40" s="118" t="str">
        <v>C_N2O</v>
      </c>
      <c r="E40" s="123" t="str">
        <v>factor to convert elemental mass of N2O to molecular mass</v>
      </c>
      <c r="F40" s="124"/>
      <c r="G40" s="118" t="str">
        <v/>
      </c>
      <c r="H40" s="126" t="str">
        <v>Constant</v>
      </c>
      <c r="I40" s="118">
        <f>Common_InputFunctions.Utility_LookupValueInTableNumber("N2O",Table_GasToMolecularConversionFactor[Gas],Table_GasToMolecularConversionFactor[Conversion factor combined])</f>
        <v>1.5714285714285714</v>
      </c>
      <c r="O40" s="130"/>
      <c r="P40" s="136"/>
      <c r="Q40" s="144"/>
      <c r="R40" s="141"/>
      <c r="S40" s="130"/>
    </row>
    <row r="41" spans="1:19" ht="20.100000000000001" customHeight="1" x14ac:dyDescent="0.25">
      <c r="A41" s="5" t="str">
        <f>HYPERLINK("#'4.3.1.3-4 Direct N20'!A1", "4.3.1.3-4 Direct N20")</f>
        <v>4.3.1.3-4 Direct N20</v>
      </c>
      <c r="D41" s="118" t="str">
        <v>j</v>
      </c>
      <c r="E41" s="123" t="str">
        <v>production system</v>
      </c>
      <c r="F41" s="124"/>
      <c r="G41" s="118" t="str">
        <v/>
      </c>
      <c r="H41" s="119" t="str">
        <v>Input</v>
      </c>
      <c r="I41" s="118" t="str">
        <f>X_Cell_Dairy_ManureAppliedProductionSystem</f>
        <v>Pasture</v>
      </c>
      <c r="O41" s="130"/>
      <c r="P41" s="136"/>
      <c r="Q41" s="144"/>
      <c r="R41" s="141"/>
      <c r="S41" s="130"/>
    </row>
    <row r="42" spans="1:19" ht="20.100000000000001" customHeight="1" x14ac:dyDescent="0.25">
      <c r="A42" s="5" t="str">
        <f>HYPERLINK("#'4.3.1.5 Atmos deposition'!A1", "4.3.1.5 Atmos deposition")</f>
        <v>4.3.1.5 Atmos deposition</v>
      </c>
      <c r="D42" s="118" t="str">
        <v>ir</v>
      </c>
      <c r="E42" s="123" t="str">
        <v>irrigation method</v>
      </c>
      <c r="F42" s="124"/>
      <c r="G42" s="118" t="str">
        <v/>
      </c>
      <c r="H42" s="119" t="str">
        <v>Input</v>
      </c>
      <c r="I42" s="118" t="str">
        <f>X_Cell_Dairy_ManureAppliedIrrigationMethod</f>
        <v>Sprinkler irrigation</v>
      </c>
      <c r="O42" s="130"/>
      <c r="P42" s="136"/>
      <c r="Q42" s="144"/>
      <c r="R42" s="141"/>
      <c r="S42" s="130"/>
    </row>
    <row r="43" spans="1:19" ht="20.100000000000001" customHeight="1" x14ac:dyDescent="0.25">
      <c r="A43" s="5" t="str">
        <f>HYPERLINK("#'4.3.1.6-7 Leaching and runoff'!A1", "4.3.1.6-7 Leaching and runoff")</f>
        <v>4.3.1.6-7 Leaching and runoff</v>
      </c>
      <c r="D43" s="118" t="str">
        <v>r</v>
      </c>
      <c r="E43" s="123" t="str">
        <v>rainfall region</v>
      </c>
      <c r="F43" s="124"/>
      <c r="G43" s="118" t="str">
        <v/>
      </c>
      <c r="H43" s="119" t="str">
        <v>Input</v>
      </c>
      <c r="I43" s="118" t="str">
        <f>X_Cell_Site_RainfallZone</f>
        <v>High rainfall</v>
      </c>
      <c r="O43" s="130"/>
      <c r="P43" s="136"/>
      <c r="Q43" s="144"/>
      <c r="R43" s="141"/>
      <c r="S43" s="130"/>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133" t="s">
        <v>480</v>
      </c>
      <c r="E45" s="134" cm="1">
        <f t="array" ref="E45">MMS_Dairy_Soil_AtmosphericDeposition_Equations.VEERG_4_3_1_10__1_AtmosphericDepositionEmissionsFromUrineAndDungOnPasture($I$38,$I$39,$I$40)</f>
        <v>4.958047966947482E-2</v>
      </c>
      <c r="F45" s="135" t="str">
        <f>$E$36</f>
        <v>t N2O</v>
      </c>
      <c r="O45" s="133" t="s">
        <v>480</v>
      </c>
      <c r="P45" s="134" cm="1">
        <f t="array" ref="P45">MMS_Dairy_Soil_AtmosphericDeposition_Equations.VEERG_4_3_1_10__1_AtmosphericDepositionEmissionsFromUrineAndDungOnPasture($S$38,$I$39,$I$40)</f>
        <v>4.958047966947482E-2</v>
      </c>
      <c r="Q45" s="135" t="str">
        <f>$E$36</f>
        <v>t N2O</v>
      </c>
    </row>
    <row r="46" spans="1:19" ht="20.100000000000001" customHeight="1" x14ac:dyDescent="0.25">
      <c r="A46" s="117" t="str">
        <f>HYPERLINK("#'4.3.1.10-11 Soil Atmos Dep'!A1", "4.3.1.10-11 Soil Atmos Dep")</f>
        <v>4.3.1.10-11 Soil Atmos Dep</v>
      </c>
    </row>
    <row r="47" spans="1:19" ht="20.100000000000001" customHeight="1" x14ac:dyDescent="0.25">
      <c r="A47" s="5" t="str">
        <f>HYPERLINK("#'4.3.1.12-13 Soil leach runoff'!A1", "4.3.1.12-13 Soil leach runoff")</f>
        <v>4.3.1.12-13 Soil leach runoff</v>
      </c>
      <c r="D47" s="130" t="str" cm="1">
        <f t="array" ref="D47:E48">Common_Equations.Common_ConvertN2OToCO2e_Arguments()</f>
        <v>EN2O</v>
      </c>
      <c r="E47" s="136" t="str">
        <v>Nitrous oxide emissions (t N2O)</v>
      </c>
      <c r="F47" s="137"/>
      <c r="G47" s="25">
        <f>VEERG_4_3_1_10__1_AtmosphericDepositionEmissionsFromUrineAndDungOnPasture_Result_Method1</f>
        <v>4.958047966947482E-2</v>
      </c>
      <c r="O47" s="130" t="str" cm="1">
        <f t="array" ref="O47:P48">Common_Equations.Common_ConvertN2OToCO2e_Arguments()</f>
        <v>EN2O</v>
      </c>
      <c r="P47" s="136" t="str">
        <v>Nitrous oxide emissions (t N2O)</v>
      </c>
      <c r="Q47" s="137"/>
      <c r="R47" s="25">
        <f>VEERG_4_3_1_10__1_AtmosphericDepositionEmissionsFromUrineAndDungOnPasture_Result_Method2</f>
        <v>4.958047966947482E-2</v>
      </c>
    </row>
    <row r="48" spans="1:19" ht="20.100000000000001" customHeight="1" x14ac:dyDescent="0.25">
      <c r="A48" s="5" t="str">
        <f>HYPERLINK("#'3.3.1.1-2 Enteric Methane'!A1", "3.3.1.1-2 Enteric Methane")</f>
        <v>3.3.1.1-2 Enteric Methane</v>
      </c>
      <c r="D48" s="130" t="str">
        <v>GWPN2O</v>
      </c>
      <c r="E48" s="136" t="str">
        <v>Global warming potential for nitrous oxide (t CO2-e / t N2O)</v>
      </c>
      <c r="F48" s="137"/>
      <c r="G48" s="25">
        <f>Common_InputFunctions.Utility_LookupValueInTableNumber("N2O",Table_GWPData[Gas],Table_GWPData[CO2-e factor])</f>
        <v>265</v>
      </c>
      <c r="O48" s="130" t="str">
        <v>GWPN2O</v>
      </c>
      <c r="P48" s="136" t="str">
        <v>Global warming potential for nitrous oxide (t CO2-e / t N2O)</v>
      </c>
      <c r="Q48" s="137"/>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407</v>
      </c>
      <c r="E50" s="100" cm="1">
        <f t="array" ref="E50">Common_Equations.Common_ConvertN2OToCO2e(G47,G48)</f>
        <v>13.138827112410826</v>
      </c>
      <c r="F50" s="138" t="str" cm="1">
        <f t="array" ref="F50">Common_Equations.Common_ConvertN2OToCO2e_Unit()</f>
        <v>t CO2e</v>
      </c>
      <c r="O50" s="100" t="s">
        <v>407</v>
      </c>
      <c r="P50" s="100" cm="1">
        <f t="array" ref="P50">Common_Equations.Common_ConvertN2OToCO2e(R47,R48)</f>
        <v>13.138827112410826</v>
      </c>
      <c r="Q50" s="138"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D7ACF9B1-CD9C-4BA9-91A0-7BCFE5A60D60}"/>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16D9E-AF6D-4C75-8FA4-279C1E402F41}">
  <dimension ref="A1:W16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481</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6" t="s">
        <v>257</v>
      </c>
      <c r="E7" s="116"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482</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8" t="s">
        <v>127</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_xlfn.CHOOSECOLS(MMS_Dairy_Soil_LeachingAndRunoff.VEERG_4_3_1_12__2_MassOfNitrogenLostToLeachingAndRunoffOnPasture_Arguments(),1,2)</f>
        <v>MN_jm14</v>
      </c>
      <c r="E13" s="123" t="str">
        <v>mass of nitrogen excreted on pasture, range and paddock for each dairy class</v>
      </c>
      <c r="F13" s="124"/>
      <c r="G13" s="118" t="str" cm="1">
        <f t="array" ref="G13:H18">_xlfn.CHOOSECOLS(MMS_Dairy_Soil_LeachingAndRunoff.VEERG_4_3_1_12__2_MassOfNitrogenLostToLeachingAndRunoffOnPasture_Arguments(),3,4)</f>
        <v>kg N</v>
      </c>
      <c r="H13" s="126" t="str">
        <v>Calculated from 4.3.1.3 (2)</v>
      </c>
      <c r="I13" s="125"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18" t="str">
        <v>FracWet</v>
      </c>
      <c r="E14" s="123" t="str">
        <v>fraction of N available for leaching and runoff</v>
      </c>
      <c r="F14" s="124"/>
      <c r="G14" s="118" t="str">
        <v/>
      </c>
      <c r="H14" s="126" t="str">
        <v>Constant</v>
      </c>
      <c r="I14" s="118">
        <f>Common_InputFunctions.CommonCropping_GetFracWET(I16,I18,#REF!,#REF!,Table_SourceData_FracWETIrrigation[Irrigation type i],Table_SourceData_FracWETIrrigation[FracWET])</f>
        <v>1</v>
      </c>
    </row>
    <row r="15" spans="1:23" ht="20.100000000000001" customHeight="1" x14ac:dyDescent="0.25">
      <c r="A15" s="5" t="str">
        <f>HYPERLINK("#'Input - Pasture'!A1", "Pasture")</f>
        <v>Pasture</v>
      </c>
      <c r="D15" s="118" t="str">
        <v>FracLEACH</v>
      </c>
      <c r="E15" s="123" t="str">
        <v>fraction of N lost through leaching and runoff</v>
      </c>
      <c r="F15" s="124"/>
      <c r="G15" s="118" t="str">
        <v/>
      </c>
      <c r="H15" s="126" t="str">
        <v>Constant</v>
      </c>
      <c r="I15" s="118">
        <f>SourceData_Dairy_FractionOfNitrogenLostThroughLeachingAndRunoff_Data</f>
        <v>0.24</v>
      </c>
    </row>
    <row r="16" spans="1:23"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24"/>
      <c r="G17" s="118" t="str">
        <v/>
      </c>
      <c r="H17" s="119" t="str">
        <v>Input</v>
      </c>
      <c r="I17" s="118" t="str">
        <f>X_Cell_Dairy_ManureAppliedProductionSystem</f>
        <v>Pasture</v>
      </c>
    </row>
    <row r="18" spans="1:22" ht="20.100000000000001" customHeight="1" x14ac:dyDescent="0.25">
      <c r="A18" s="5" t="str">
        <f>HYPERLINK("#'Input - Fuel'!A1", "Fuel")</f>
        <v>Fuel</v>
      </c>
      <c r="D18" s="118" t="str">
        <v>ir</v>
      </c>
      <c r="E18" s="123" t="str">
        <v>irrigation method</v>
      </c>
      <c r="F18" s="124"/>
      <c r="G18" s="118" t="str">
        <v/>
      </c>
      <c r="H18" s="119" t="str">
        <v>Input</v>
      </c>
      <c r="I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467</v>
      </c>
      <c r="M20" s="94"/>
      <c r="O20" s="120" t="s">
        <v>468</v>
      </c>
    </row>
    <row r="21" spans="1:22" ht="20.100000000000001" customHeight="1" x14ac:dyDescent="0.25">
      <c r="A21" s="5" t="str">
        <f>HYPERLINK("#'Input - Freight'!A1", "Freight")</f>
        <v>Freight</v>
      </c>
      <c r="D21" s="121" t="s">
        <v>469</v>
      </c>
      <c r="M21" s="94"/>
      <c r="O21" s="121" t="s">
        <v>470</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M22" s="94"/>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11382.438371692586</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11382.438371692586</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20" t="s">
        <v>483</v>
      </c>
      <c r="O25" s="120" t="s">
        <v>484</v>
      </c>
    </row>
    <row r="26" spans="1:22" ht="20.100000000000001" customHeight="1" x14ac:dyDescent="0.25">
      <c r="A26" s="6" t="s">
        <v>2</v>
      </c>
      <c r="D26" s="121" t="s">
        <v>485</v>
      </c>
      <c r="O26" s="121" t="s">
        <v>486</v>
      </c>
    </row>
    <row r="27" spans="1:22" ht="20.100000000000001" customHeight="1" x14ac:dyDescent="0.25">
      <c r="A27" s="5" t="str">
        <f>HYPERLINK("#'5.1.1.1-2 Inorganic fert N2O'!A1", "5.1.1.1-2 Inorganic fert N2O")</f>
        <v>5.1.1.1-2 Inorganic fert N2O</v>
      </c>
      <c r="D27" s="122" t="s">
        <v>182</v>
      </c>
      <c r="E27" s="122" t="s">
        <v>302</v>
      </c>
      <c r="F27" s="122" t="s">
        <v>208</v>
      </c>
      <c r="G27" s="122" t="s">
        <v>209</v>
      </c>
      <c r="H27" s="122" t="s">
        <v>210</v>
      </c>
      <c r="I27" s="122" t="s">
        <v>211</v>
      </c>
      <c r="J27" s="122" t="s">
        <v>212</v>
      </c>
      <c r="O27" s="122" t="s">
        <v>182</v>
      </c>
      <c r="P27" s="122" t="s">
        <v>302</v>
      </c>
      <c r="Q27" s="122" t="s">
        <v>208</v>
      </c>
      <c r="R27" s="122" t="s">
        <v>209</v>
      </c>
      <c r="S27" s="122" t="s">
        <v>210</v>
      </c>
      <c r="T27" s="122" t="s">
        <v>211</v>
      </c>
      <c r="U27" s="122" t="s">
        <v>212</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2731.7852092062203</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2731.7852092062203</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0" t="s">
        <v>487</v>
      </c>
      <c r="E30" s="100">
        <f>SUM(F28:J28)</f>
        <v>6111.6153675777914</v>
      </c>
      <c r="F30" s="138" t="str">
        <f>$E$11</f>
        <v>kg N</v>
      </c>
      <c r="O30" s="140" t="s">
        <v>487</v>
      </c>
      <c r="P30" s="100">
        <f>SUM(Q28:U28)</f>
        <v>6111.6153675777914</v>
      </c>
      <c r="Q30" s="138"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16" t="s">
        <v>257</v>
      </c>
      <c r="E37" s="116"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MMS_Dairy_Soil_LeachingAndRunoff.VEERG_4_3_1_12__1_LeachingAndRunoffEmissionsFromUrineAndDungOnPasture_Variable()</f>
        <v>E_N2Oleach</v>
      </c>
    </row>
    <row r="41" spans="1:23" ht="20.100000000000001" customHeight="1" x14ac:dyDescent="0.25">
      <c r="A41" s="5" t="str">
        <f>HYPERLINK("#'4.3.1.3-4 Direct N20'!A1", "4.3.1.3-4 Direct N20")</f>
        <v>4.3.1.3-4 Direct N20</v>
      </c>
      <c r="D41" s="88" t="s">
        <v>127</v>
      </c>
      <c r="E41" s="15" t="str" cm="1">
        <f t="array" ref="E41">MMS_Dairy_Soil_LeachingAndRunoff.VEERG_4_3_1_12__1_LeachingAndRunoffEmissionsFromUrineAndDungOnPasture_Unit()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5">_xlfn.CHOOSECOLS(MMS_Dairy_Soil_LeachingAndRunoff.VEERG_4_3_1_12__1_LeachingAndRunoffEmissionsFromUrineAndDungOnPasture_Arguments(),1,2)</f>
        <v>M_leach_m14</v>
      </c>
      <c r="E43" s="118" t="str">
        <v>mass of nitrogen lost to leaching and runoff from urine and faeces deposited on pasture</v>
      </c>
      <c r="F43" s="123"/>
      <c r="G43" s="124"/>
      <c r="H43" s="118" t="str" cm="1">
        <f t="array" ref="H43:I45">_xlfn.CHOOSECOLS(MMS_Dairy_Soil_LeachingAndRunoff.VEERG_4_3_1_12__1_LeachingAndRunoffEmissionsFromUrineAndDungOnPasture_Arguments(),3,4)</f>
        <v>kg N</v>
      </c>
      <c r="I43" s="126" t="str">
        <v>Calculated from 4.3.1.12 (2)</v>
      </c>
      <c r="J43" s="118">
        <f>$E$30</f>
        <v>6111.6153675777914</v>
      </c>
      <c r="O43" s="118" t="str" cm="1">
        <f t="array" ref="O43:P45">_xlfn.CHOOSECOLS(MMS_Dairy_Soil_LeachingAndRunoff.VEERG_4_3_1_12__1_LeachingAndRunoffEmissionsFromUrineAndDungOnPasture_Arguments(),1,2)</f>
        <v>M_leach_m14</v>
      </c>
      <c r="P43" s="118" t="str">
        <v>mass of nitrogen lost to leaching and runoff from urine and faeces deposited on pasture</v>
      </c>
      <c r="Q43" s="123"/>
      <c r="R43" s="124"/>
      <c r="S43" s="118" t="str" cm="1">
        <f t="array" ref="S43:T45">_xlfn.CHOOSECOLS(MMS_Dairy_Soil_LeachingAndRunoff.VEERG_4_3_1_12__1_LeachingAndRunoffEmissionsFromUrineAndDungOnPasture_Arguments(),3,4)</f>
        <v>kg N</v>
      </c>
      <c r="T43" s="126" t="str">
        <v>Calculated from 4.3.1.12 (2)</v>
      </c>
      <c r="U43" s="130">
        <f>$P$30</f>
        <v>6111.6153675777914</v>
      </c>
    </row>
    <row r="44" spans="1:23" ht="20.100000000000001" customHeight="1" x14ac:dyDescent="0.25">
      <c r="A44" s="5" t="str">
        <f>HYPERLINK("#'4.3.1.8 Manure applied to soils'!A1", "4.3.1.8 Manure applied to soils")</f>
        <v>4.3.1.8 Manure applied to soils</v>
      </c>
      <c r="D44" s="118" t="str">
        <v>EF_leach</v>
      </c>
      <c r="E44" s="118" t="str">
        <v>nitrous oxide emission factor for leaching and runoff</v>
      </c>
      <c r="F44" s="123"/>
      <c r="G44" s="124"/>
      <c r="H44" s="118" t="str">
        <v>kg N2O-N/kg N</v>
      </c>
      <c r="I44" s="126" t="str">
        <v>Constant</v>
      </c>
      <c r="J44" s="118">
        <f>SourceData_Dairy_EmissionFactorForLeachingAndRunoff_Data</f>
        <v>1.0999999999999999E-2</v>
      </c>
      <c r="O44" s="118" t="str">
        <v>EF_leach</v>
      </c>
      <c r="P44" s="118" t="str">
        <v>nitrous oxide emission factor for leaching and runoff</v>
      </c>
      <c r="Q44" s="123"/>
      <c r="R44" s="124"/>
      <c r="S44" s="118" t="str">
        <v>kg N2O-N/kg N</v>
      </c>
      <c r="T44" s="126" t="str">
        <v>Constant</v>
      </c>
      <c r="U44" s="130"/>
    </row>
    <row r="45" spans="1:23" ht="20.100000000000001" customHeight="1" x14ac:dyDescent="0.25">
      <c r="A45" s="5" t="str">
        <f>HYPERLINK("#'4.3.1.9 Soil direct N2O'!A1", "4.3.1.9 Soil direct N2O")</f>
        <v>4.3.1.9 Soil direct N2O</v>
      </c>
      <c r="D45" s="118" t="str">
        <v>C_N2O</v>
      </c>
      <c r="E45" s="118" t="str">
        <v>factor to convert elemental mass of N2O to molecular mass</v>
      </c>
      <c r="F45" s="123"/>
      <c r="G45" s="124"/>
      <c r="H45" s="118" t="str">
        <v/>
      </c>
      <c r="I45" s="126" t="str">
        <v>Constant</v>
      </c>
      <c r="J45" s="118">
        <f>Common_InputFunctions.Utility_LookupValueInTableNumber("N2O",Table_GasToMolecularConversionFactor[Gas],Table_GasToMolecularConversionFactor[Conversion factor combined])</f>
        <v>1.5714285714285714</v>
      </c>
      <c r="O45" s="118" t="str">
        <v>C_N2O</v>
      </c>
      <c r="P45" s="118" t="str">
        <v>factor to convert elemental mass of N2O to molecular mass</v>
      </c>
      <c r="Q45" s="123"/>
      <c r="R45" s="124"/>
      <c r="S45" s="118" t="str">
        <v/>
      </c>
      <c r="T45" s="126" t="str">
        <v>Constant</v>
      </c>
      <c r="U45" s="130"/>
    </row>
    <row r="46" spans="1:23" ht="20.100000000000001" customHeight="1" x14ac:dyDescent="0.25">
      <c r="A46" s="5" t="str">
        <f>HYPERLINK("#'4.3.1.10-11 Soil Atmos Dep'!A1", "4.3.1.10-11 Soil Atmos Dep")</f>
        <v>4.3.1.10-11 Soil Atmos Dep</v>
      </c>
    </row>
    <row r="47" spans="1:23" ht="20.100000000000001" customHeight="1" x14ac:dyDescent="0.25">
      <c r="A47" s="117" t="str">
        <f>HYPERLINK("#'4.3.1.12-13 Soil leach runoff'!A1", "4.3.1.12-13 Soil leach runoff")</f>
        <v>4.3.1.12-13 Soil leach runoff</v>
      </c>
      <c r="D47" s="133" t="s">
        <v>488</v>
      </c>
      <c r="E47" s="134" cm="1">
        <f t="array" ref="E47">MMS_Dairy_Soil_LeachingAndRunoff.VEERG_4_3_1_12__1_LeachingAndRunoffEmissionsFromUrineAndDungOnPasture($J$43,$J$44,$J$45)</f>
        <v>0.10564363706813039</v>
      </c>
      <c r="F47" s="135" t="str">
        <f>$E$41</f>
        <v>t N2O</v>
      </c>
      <c r="O47" s="133" t="s">
        <v>488</v>
      </c>
      <c r="P47" s="134" cm="1">
        <f t="array" ref="P47">MMS_Dairy_Soil_LeachingAndRunoff.VEERG_4_3_1_12__1_LeachingAndRunoffEmissionsFromUrineAndDungOnPasture($U$43,$J$44,$J$45)</f>
        <v>0.10564363706813039</v>
      </c>
      <c r="Q47" s="135" t="str">
        <f>$E$41</f>
        <v>t N2O</v>
      </c>
    </row>
    <row r="48" spans="1:23" ht="20.100000000000001" customHeight="1" x14ac:dyDescent="0.25">
      <c r="A48" s="5" t="str">
        <f>HYPERLINK("#'3.3.1.1-2 Enteric Methane'!A1", "3.3.1.1-2 Enteric Methane")</f>
        <v>3.3.1.1-2 Enteric Methane</v>
      </c>
    </row>
    <row r="49" spans="1:18" ht="20.100000000000001" customHeight="1" x14ac:dyDescent="0.25">
      <c r="A49" s="5" t="str">
        <f>HYPERLINK("#'10.1.1-2 Solid waste treatment'!A1", "10.1.1-2 Solid waste treatment")</f>
        <v>10.1.1-2 Solid waste treatment</v>
      </c>
      <c r="D49" s="130" t="str" cm="1">
        <f t="array" ref="D49:E50">Common_Equations.Common_ConvertN2OToCO2e_Arguments()</f>
        <v>EN2O</v>
      </c>
      <c r="E49" s="136" t="str">
        <v>Nitrous oxide emissions (t N2O)</v>
      </c>
      <c r="F49" s="137"/>
      <c r="G49" s="25">
        <f>VEERG_4_3_1_12__1_LeachingAndRunoffEmissionsFromUrineAndDungOnPasture_Result_Method1</f>
        <v>0.10564363706813039</v>
      </c>
      <c r="O49" s="130" t="str" cm="1">
        <f t="array" ref="O49:P50">Common_Equations.Common_ConvertN2OToCO2e_Arguments()</f>
        <v>EN2O</v>
      </c>
      <c r="P49" s="136" t="str">
        <v>Nitrous oxide emissions (t N2O)</v>
      </c>
      <c r="Q49" s="137"/>
      <c r="R49" s="25">
        <f>VEERG_4_3_1_12__1_LeachingAndRunoffEmissionsFromUrineAndDungOnPasture_Result_Method2</f>
        <v>0.10564363706813039</v>
      </c>
    </row>
    <row r="50" spans="1:18" ht="20.100000000000001" customHeight="1" x14ac:dyDescent="0.25">
      <c r="D50" s="130" t="str">
        <v>GWPN2O</v>
      </c>
      <c r="E50" s="136" t="str">
        <v>Global warming potential for nitrous oxide (t CO2-e / t N2O)</v>
      </c>
      <c r="F50" s="137"/>
      <c r="G50" s="25">
        <f>Common_InputFunctions.Utility_LookupValueInTableNumber("N2O",Table_GWPData[Gas],Table_GWPData[CO2-e factor])</f>
        <v>265</v>
      </c>
      <c r="O50" s="130" t="str">
        <v>GWPN2O</v>
      </c>
      <c r="P50" s="136" t="str">
        <v>Global warming potential for nitrous oxide (t CO2-e / t N2O)</v>
      </c>
      <c r="Q50" s="137"/>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407</v>
      </c>
      <c r="E52" s="100" cm="1">
        <f t="array" ref="E52">Common_Equations.Common_ConvertN2OToCO2e(G49,G50)</f>
        <v>27.995563823054553</v>
      </c>
      <c r="F52" s="138" t="str" cm="1">
        <f t="array" ref="F52">Common_Equations.Common_ConvertN2OToCO2e_Unit()</f>
        <v>t CO2e</v>
      </c>
      <c r="O52" s="100" t="s">
        <v>407</v>
      </c>
      <c r="P52" s="100" cm="1">
        <f t="array" ref="P52">Common_Equations.Common_ConvertN2OToCO2e(R49,R50)</f>
        <v>27.995563823054553</v>
      </c>
      <c r="Q52" s="138"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B5A36A16-E92F-4571-BCF2-366464A50FA4}"/>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2395E-353D-4AC0-A9B8-74F17FAFF459}">
  <dimension ref="A1:S27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528</v>
      </c>
      <c r="K1"/>
    </row>
    <row r="2" spans="1:19" s="3" customFormat="1" ht="20.100000000000001" customHeight="1" x14ac:dyDescent="0.25">
      <c r="A2"/>
      <c r="K2"/>
    </row>
    <row r="3" spans="1:19"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6"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8" t="s">
        <v>258</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0" t="s">
        <v>259</v>
      </c>
      <c r="M16" s="120" t="s">
        <v>260</v>
      </c>
    </row>
    <row r="17" spans="1:19" ht="20.100000000000001" customHeight="1" x14ac:dyDescent="0.25">
      <c r="A17" s="5" t="str">
        <f>HYPERLINK("#'Input - Fertiliser'!A1", "Fertiliser")</f>
        <v>Fertiliser</v>
      </c>
      <c r="D17" s="121" t="s">
        <v>261</v>
      </c>
      <c r="M17" s="121" t="s">
        <v>262</v>
      </c>
    </row>
    <row r="18" spans="1:19" ht="20.100000000000001" customHeight="1" x14ac:dyDescent="0.25">
      <c r="A18" s="5" t="str">
        <f>HYPERLINK("#'Input - Fuel'!A1", "Fuel")</f>
        <v>Fuel</v>
      </c>
      <c r="D18" s="96" t="s">
        <v>208</v>
      </c>
      <c r="E18" s="96" t="s">
        <v>209</v>
      </c>
      <c r="F18" s="96" t="s">
        <v>210</v>
      </c>
      <c r="G18" s="96" t="s">
        <v>211</v>
      </c>
      <c r="H18" s="96" t="s">
        <v>212</v>
      </c>
      <c r="M18" s="96" t="s">
        <v>208</v>
      </c>
      <c r="N18" s="96" t="s">
        <v>209</v>
      </c>
      <c r="O18" s="96" t="s">
        <v>210</v>
      </c>
      <c r="P18" s="96" t="s">
        <v>211</v>
      </c>
      <c r="Q18" s="96" t="s">
        <v>212</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263</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20" t="s">
        <v>264</v>
      </c>
      <c r="M21" s="120" t="s">
        <v>265</v>
      </c>
    </row>
    <row r="22" spans="1:19" ht="20.100000000000001" customHeight="1" x14ac:dyDescent="0.25">
      <c r="A22" s="5" t="str">
        <f>HYPERLINK("#'Input - Manure sent off-site'!A1", "Manure sent off-site")</f>
        <v>Manure sent off-site</v>
      </c>
      <c r="D22" s="121" t="s">
        <v>266</v>
      </c>
      <c r="M22" s="121" t="s">
        <v>267</v>
      </c>
    </row>
    <row r="23" spans="1:19" ht="20.100000000000001" customHeight="1" x14ac:dyDescent="0.25">
      <c r="A23" s="5" t="str">
        <f>HYPERLINK("#'Input - Solid waste'!A1", "Solid waste")</f>
        <v>Solid waste</v>
      </c>
      <c r="D23" s="122" t="s">
        <v>208</v>
      </c>
      <c r="E23" s="122" t="s">
        <v>209</v>
      </c>
      <c r="F23" s="122" t="s">
        <v>210</v>
      </c>
      <c r="G23" s="122" t="s">
        <v>211</v>
      </c>
      <c r="H23" s="122" t="s">
        <v>212</v>
      </c>
      <c r="M23" s="122" t="s">
        <v>208</v>
      </c>
      <c r="N23" s="122" t="s">
        <v>209</v>
      </c>
      <c r="O23" s="122" t="s">
        <v>210</v>
      </c>
      <c r="P23" s="122" t="s">
        <v>211</v>
      </c>
      <c r="Q23" s="122" t="s">
        <v>212</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M37" s="118" t="str" cm="1">
        <f t="array" ref="M37:N40">_xlfn.CHOOSECOLS(EntericMethane_Dairy_Equations.VEERG_3_3_1_1__5_MilkProductionFromMilkSolids_Arguments_Method2(),1,2)</f>
        <v>MPU</v>
      </c>
      <c r="N37" s="123" t="str">
        <v>milk production unit</v>
      </c>
      <c r="O37" s="124"/>
      <c r="P37" s="118" t="str" cm="1">
        <f t="array" ref="P37:Q40">_xlfn.CHOOSECOLS(EntericMethane_Dairy_Equations.VEERG_3_3_1_1__5_MilkProductionFromMilkSolids_Arguments_Method2(),3,4)</f>
        <v/>
      </c>
      <c r="Q37" s="119" t="str">
        <v>Input</v>
      </c>
      <c r="R37" s="118"/>
    </row>
    <row r="38" spans="1:18"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M38" s="118" t="str">
        <v>MS_j</v>
      </c>
      <c r="N38" s="123" t="str">
        <v>daily production of milk solids</v>
      </c>
      <c r="O38" s="124"/>
      <c r="P38" s="118" t="str">
        <v>kg MS/head/day</v>
      </c>
      <c r="Q38" s="119" t="str">
        <v>Input</v>
      </c>
      <c r="R38" s="125"/>
    </row>
    <row r="39" spans="1:18"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M39" s="118" t="str">
        <v>FC_j</v>
      </c>
      <c r="N39" s="123" t="str">
        <v>fat content in fat and protein corrected milk</v>
      </c>
      <c r="O39" s="124"/>
      <c r="P39" s="118" t="str">
        <v>per cent</v>
      </c>
      <c r="Q39" s="119" t="str">
        <v>Input</v>
      </c>
      <c r="R39" s="118">
        <f>INDEX(X_Table_Dairy_MilkSolidAttributes,2,3)*100</f>
        <v>4</v>
      </c>
    </row>
    <row r="40" spans="1:18" ht="20.100000000000001" customHeight="1" x14ac:dyDescent="0.25">
      <c r="A40" s="5"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M40" s="118" t="str">
        <v>PC_j</v>
      </c>
      <c r="N40" s="118" t="str">
        <v>protein content in fat and protein corrected milk</v>
      </c>
      <c r="O40" s="118"/>
      <c r="P40" s="118" t="str">
        <v>per cent</v>
      </c>
      <c r="Q40" s="119" t="str">
        <v>Input</v>
      </c>
      <c r="R40" s="118">
        <f>INDEX(X_Table_Dairy_MilkSolidAttributes,3,3)*100</f>
        <v>3.3000000000000003</v>
      </c>
    </row>
    <row r="41" spans="1:18" ht="20.100000000000001" customHeight="1" x14ac:dyDescent="0.25">
      <c r="A41" s="5" t="str">
        <f>HYPERLINK("#'4.3.1.3-4 Direct N20'!A1", "4.3.1.3-4 Direct N20")</f>
        <v>4.3.1.3-4 Direct N20</v>
      </c>
    </row>
    <row r="42" spans="1:18" ht="20.100000000000001" customHeight="1" x14ac:dyDescent="0.25">
      <c r="A42" s="5" t="str">
        <f>HYPERLINK("#'4.3.1.5 Atmos deposition'!A1", "4.3.1.5 Atmos deposition")</f>
        <v>4.3.1.5 Atmos deposition</v>
      </c>
      <c r="D42" s="120" t="s">
        <v>268</v>
      </c>
    </row>
    <row r="43" spans="1:18" ht="20.100000000000001" customHeight="1" x14ac:dyDescent="0.25">
      <c r="A43" s="5" t="str">
        <f>HYPERLINK("#'4.3.1.6-7 Leaching and runoff'!A1", "4.3.1.6-7 Leaching and runoff")</f>
        <v>4.3.1.6-7 Leaching and runoff</v>
      </c>
      <c r="D43" s="121" t="s">
        <v>269</v>
      </c>
    </row>
    <row r="44" spans="1:18"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18"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
        <v>274</v>
      </c>
    </row>
    <row r="46" spans="1:18" ht="20.100000000000001" customHeight="1" x14ac:dyDescent="0.25">
      <c r="A46" s="5" t="str">
        <f>HYPERLINK("#'4.3.1.10-11 Soil Atmos Dep'!A1", "4.3.1.10-11 Soil Atmos Dep")</f>
        <v>4.3.1.10-11 Soil Atmos Dep</v>
      </c>
    </row>
    <row r="47" spans="1:18" ht="20.100000000000001" customHeight="1" x14ac:dyDescent="0.25">
      <c r="A47" s="5" t="str">
        <f>HYPERLINK("#'4.3.1.12-13 Soil leach runoff'!A1", "4.3.1.12-13 Soil leach runoff")</f>
        <v>4.3.1.12-13 Soil leach runoff</v>
      </c>
      <c r="D47" s="120" t="s">
        <v>270</v>
      </c>
      <c r="M47" s="120" t="s">
        <v>271</v>
      </c>
    </row>
    <row r="48" spans="1:18" ht="20.100000000000001" customHeight="1" x14ac:dyDescent="0.25">
      <c r="A48" s="117" t="str">
        <f>HYPERLINK("#'3.3.1.1-2 Enteric Methane'!A1", "3.3.1.1-2 Enteric Methane")</f>
        <v>3.3.1.1-2 Enteric Methane</v>
      </c>
      <c r="D48" s="121" t="s">
        <v>272</v>
      </c>
      <c r="M48" s="121" t="s">
        <v>273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M49" s="122" t="s">
        <v>208</v>
      </c>
      <c r="N49" s="122" t="s">
        <v>209</v>
      </c>
      <c r="O49" s="122" t="s">
        <v>210</v>
      </c>
      <c r="P49" s="122" t="s">
        <v>211</v>
      </c>
      <c r="Q49" s="122" t="s">
        <v>212</v>
      </c>
    </row>
    <row r="50" spans="1:19" ht="20.100000000000001" customHeight="1" x14ac:dyDescent="0.25">
      <c r="D50" s="25" cm="1">
        <f t="array" ref="D50">EntericMethane_Dairy_Equations.VEERG_3_3_1_1__5_MilkProductionFromMilkSolids(D45,I39,I40)</f>
        <v>0</v>
      </c>
      <c r="E50" s="25">
        <v>0</v>
      </c>
      <c r="F50" s="25">
        <v>0</v>
      </c>
      <c r="G50" s="25">
        <v>0</v>
      </c>
      <c r="H50" s="25">
        <v>0</v>
      </c>
      <c r="I50" s="26" t="s">
        <v>274</v>
      </c>
      <c r="M50" s="25" cm="1">
        <f t="array" ref="M50">EntericMethane_Dairy_Equations.VEERG_3_3_1_1__5_MilkProductionFromMilkSolids(D45,R39,R40)</f>
        <v>0</v>
      </c>
      <c r="N50" s="25">
        <v>0</v>
      </c>
      <c r="O50" s="25">
        <v>0</v>
      </c>
      <c r="P50" s="25">
        <v>0</v>
      </c>
      <c r="Q50" s="25">
        <v>0</v>
      </c>
      <c r="R50" s="26" t="s">
        <v>274</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6"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16" t="s">
        <v>257</v>
      </c>
      <c r="E57" s="116"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8" t="s">
        <v>258</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8" t="s">
        <v>127</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18" t="str" cm="1">
        <f t="array" ref="D64:E70">_xlfn.CHOOSECOLS(EntericMethane_Dairy_Equations.VEERG_3_3_1_1__4_AdditionalIntakeForMilkProduction_Arguments(), 1,2)</f>
        <v>MPU</v>
      </c>
      <c r="E64" s="123" t="str">
        <v>input milk production unit</v>
      </c>
      <c r="F64" s="124"/>
      <c r="G64" s="118" t="str" cm="1">
        <f t="array" ref="G64:H70">_xlfn.CHOOSECOLS(EntericMethane_Dairy_Equations.VEERG_3_3_1_1__4_AdditionalIntakeForMilkProduction_Arguments(), 3,4)</f>
        <v/>
      </c>
      <c r="H64" s="119" t="str">
        <v>Input</v>
      </c>
      <c r="I64" s="118" t="str">
        <f>X_Cell_Dairy_MilkProductionUnit</f>
        <v>Litres of milk</v>
      </c>
    </row>
    <row r="65" spans="4:18" ht="20.100000000000001" customHeight="1" x14ac:dyDescent="0.25">
      <c r="D65" s="118" t="str">
        <v>MP_j</v>
      </c>
      <c r="E65" s="123" t="str">
        <v>milk production (if input as litres of milk)</v>
      </c>
      <c r="F65" s="124"/>
      <c r="G65" s="118" t="str">
        <v>L/head/day</v>
      </c>
      <c r="H65" s="119" t="str">
        <v>Input</v>
      </c>
      <c r="I65" s="125" t="str" cm="1">
        <f t="array" aca="1" ref="I65" ca="1">HYPERLINK(Common_InputFunctions.Utility_SourceHyperlink($D$72), $D$72)</f>
        <v>Table_MP_j</v>
      </c>
    </row>
    <row r="66" spans="4:18" ht="20.100000000000001" customHeight="1" x14ac:dyDescent="0.25">
      <c r="D66" s="118" t="str">
        <v>MP_j</v>
      </c>
      <c r="E66" s="123" t="str">
        <v>milk production (if input as milk solids)</v>
      </c>
      <c r="F66" s="124"/>
      <c r="G66" s="118" t="str">
        <v>L/head/day</v>
      </c>
      <c r="H66" s="126" t="str">
        <v>Calculated from 3.3.1.1 (5)</v>
      </c>
      <c r="I66" s="125" t="str" cm="1">
        <f t="array" aca="1" ref="I66" ca="1">HYPERLINK(Common_InputFunctions.Utility_SourceHyperlink($D$47),$D$47)</f>
        <v>M1_Table_MP_j_from_solids</v>
      </c>
    </row>
    <row r="67" spans="4:18" ht="20.100000000000001" customHeight="1" x14ac:dyDescent="0.25">
      <c r="D67" s="118" t="str">
        <v>NE</v>
      </c>
      <c r="E67" s="123" t="str">
        <v>net energy</v>
      </c>
      <c r="F67" s="124"/>
      <c r="G67" s="118" t="str">
        <v>MJ net energy/kg milk</v>
      </c>
      <c r="H67" s="126" t="str">
        <v>Constant</v>
      </c>
      <c r="I67" s="118">
        <f>SourceData_Dairy_NetEnergy_Data</f>
        <v>3.0539999999999998</v>
      </c>
    </row>
    <row r="68" spans="4:18" ht="20.100000000000001" customHeight="1" x14ac:dyDescent="0.25">
      <c r="D68" s="118" t="str">
        <v>GEC</v>
      </c>
      <c r="E68" s="123" t="str">
        <v>gross energy content</v>
      </c>
      <c r="F68" s="124"/>
      <c r="G68" s="118" t="str">
        <v>MJ/kgDM</v>
      </c>
      <c r="H68" s="126" t="str">
        <v>Constant</v>
      </c>
      <c r="I68" s="118">
        <f>SourceData_Dairy_GrossEnergyContent_Data</f>
        <v>18.399999999999999</v>
      </c>
    </row>
    <row r="69" spans="4:18" ht="20.100000000000001" customHeight="1" x14ac:dyDescent="0.25">
      <c r="D69" s="118" t="str">
        <v>k</v>
      </c>
      <c r="E69" s="123" t="str">
        <v>efficiency of metabolizable energy use for milk production</v>
      </c>
      <c r="F69" s="124"/>
      <c r="G69" s="118" t="str">
        <v>fraction</v>
      </c>
      <c r="H69" s="126" t="str">
        <v>Constant</v>
      </c>
      <c r="I69" s="118">
        <f>SourceData_Dairy_EfficiencyOfUseOfMetabolizableEnergy_Data</f>
        <v>0.6</v>
      </c>
    </row>
    <row r="70" spans="4:18" ht="20.100000000000001" customHeight="1" x14ac:dyDescent="0.25">
      <c r="D70" s="118" t="str">
        <v>qm_j</v>
      </c>
      <c r="E70" s="123" t="str">
        <v>metabolisability of the diet</v>
      </c>
      <c r="F70" s="124"/>
      <c r="G70" s="118" t="str">
        <v>fraction</v>
      </c>
      <c r="H70" s="126" t="str">
        <v>Calculated from 3.3.1.1 (6)</v>
      </c>
      <c r="I70" s="125" t="str" cm="1">
        <f t="array" aca="1" ref="I70" ca="1">HYPERLINK(Common_InputFunctions.Utility_SourceHyperlink($D$21), $D$21)</f>
        <v>M1_Table_qm_j</v>
      </c>
    </row>
    <row r="71" spans="4:18" ht="20.100000000000001" customHeight="1" x14ac:dyDescent="0.25"/>
    <row r="72" spans="4:18" ht="20.100000000000001" customHeight="1" x14ac:dyDescent="0.25">
      <c r="D72" s="120" t="s">
        <v>275</v>
      </c>
    </row>
    <row r="73" spans="4:18" ht="20.100000000000001" customHeight="1" x14ac:dyDescent="0.25">
      <c r="D73" s="121" t="s">
        <v>226</v>
      </c>
    </row>
    <row r="74" spans="4:18" ht="20.100000000000001" customHeight="1" x14ac:dyDescent="0.25">
      <c r="D74" s="96" t="s">
        <v>208</v>
      </c>
      <c r="E74" s="96" t="s">
        <v>209</v>
      </c>
      <c r="F74" s="96" t="s">
        <v>210</v>
      </c>
      <c r="G74" s="96" t="s">
        <v>211</v>
      </c>
      <c r="H74" s="96" t="s">
        <v>212</v>
      </c>
    </row>
    <row r="75" spans="4:18" ht="20.100000000000001" customHeight="1" x14ac:dyDescent="0.25">
      <c r="D75" s="25">
        <f>IF(I64="Milk solids", 0, X_Cell_Dairy_MilkProductionAmount)</f>
        <v>20</v>
      </c>
      <c r="E75" s="25">
        <v>0</v>
      </c>
      <c r="F75" s="25">
        <v>0</v>
      </c>
      <c r="G75" s="25">
        <v>0</v>
      </c>
      <c r="H75" s="25">
        <v>0</v>
      </c>
      <c r="I75" s="26" t="s">
        <v>274</v>
      </c>
    </row>
    <row r="76" spans="4:18" ht="20.100000000000001" customHeight="1" x14ac:dyDescent="0.25"/>
    <row r="77" spans="4:18" ht="20.100000000000001" customHeight="1" x14ac:dyDescent="0.25">
      <c r="D77" s="120" t="s">
        <v>276</v>
      </c>
      <c r="M77" s="120" t="s">
        <v>277</v>
      </c>
    </row>
    <row r="78" spans="4:18" ht="20.100000000000001" customHeight="1" x14ac:dyDescent="0.25">
      <c r="D78" s="121" t="s">
        <v>278</v>
      </c>
      <c r="M78" s="121" t="s">
        <v>279</v>
      </c>
    </row>
    <row r="79" spans="4:18" ht="20.100000000000001" customHeight="1" x14ac:dyDescent="0.25">
      <c r="D79" s="122" t="s">
        <v>208</v>
      </c>
      <c r="E79" s="122" t="s">
        <v>209</v>
      </c>
      <c r="F79" s="122" t="s">
        <v>210</v>
      </c>
      <c r="G79" s="122" t="s">
        <v>211</v>
      </c>
      <c r="H79" s="122" t="s">
        <v>212</v>
      </c>
      <c r="M79" s="122" t="s">
        <v>208</v>
      </c>
      <c r="N79" s="122" t="s">
        <v>209</v>
      </c>
      <c r="O79" s="122" t="s">
        <v>210</v>
      </c>
      <c r="P79" s="122" t="s">
        <v>211</v>
      </c>
      <c r="Q79" s="122" t="s">
        <v>212</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6" t="s">
        <v>257</v>
      </c>
      <c r="E86" s="116"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8" t="s">
        <v>258</v>
      </c>
      <c r="E89" s="1" t="str" cm="1">
        <f t="array" ref="E89">EntericMethane_Dairy_Equations.VEERG_3_3_1_1__3_DryMatterFeedIntake_Variable()</f>
        <v>I_j</v>
      </c>
    </row>
    <row r="90" spans="3:19" ht="20.100000000000001" customHeight="1" x14ac:dyDescent="0.25">
      <c r="D90" s="88" t="s">
        <v>127</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23" t="str">
        <v>liveweight</v>
      </c>
      <c r="F92" s="124"/>
      <c r="G92" s="118" t="str" cm="1">
        <f t="array" ref="G92:H95">_xlfn.CHOOSECOLS(EntericMethane_Dairy_Equations.VEERG_3_3_1_1__3_DryMatterFeedIntake_Arguments(),3,4)</f>
        <v>kg</v>
      </c>
      <c r="H92" s="119" t="str">
        <v>Input</v>
      </c>
      <c r="I92" s="125" t="str" cm="1">
        <f t="array" aca="1" ref="I92" ca="1">HYPERLINK(Common_InputFunctions.Utility_SourceHyperlink($D$97), $D$97)</f>
        <v>M1_Table_W_j</v>
      </c>
    </row>
    <row r="93" spans="3:19" ht="20.100000000000001" customHeight="1" x14ac:dyDescent="0.25">
      <c r="D93" s="118" t="str">
        <v>LWG_j</v>
      </c>
      <c r="E93" s="123" t="str">
        <v>liveweight gain</v>
      </c>
      <c r="F93" s="124"/>
      <c r="G93" s="118" t="str">
        <v>kg/head/day</v>
      </c>
      <c r="H93" s="119" t="str">
        <v>Input</v>
      </c>
      <c r="I93" s="125" t="str" cm="1">
        <f t="array" aca="1" ref="I93" ca="1">HYPERLINK(Common_InputFunctions.Utility_SourceHyperlink($D$102), $D$102)</f>
        <v>M1_Table_LWG_j</v>
      </c>
    </row>
    <row r="94" spans="3:19" ht="20.100000000000001" customHeight="1" x14ac:dyDescent="0.25">
      <c r="D94" s="118" t="str">
        <v>MR_j</v>
      </c>
      <c r="E94" s="123" t="str">
        <v>increase in metabolic rate when producing milk</v>
      </c>
      <c r="F94" s="124"/>
      <c r="G94" s="118" t="str">
        <v>fraction</v>
      </c>
      <c r="H94" s="126" t="str">
        <v>Constant</v>
      </c>
      <c r="I94" s="125" t="str" cm="1">
        <f t="array" aca="1" ref="I94" ca="1">HYPERLINK(Common_InputFunctions.Utility_SourceHyperlink($D$107), $D$107)</f>
        <v>Table_MR_j</v>
      </c>
    </row>
    <row r="95" spans="3:19" ht="20.100000000000001" customHeight="1" x14ac:dyDescent="0.25">
      <c r="D95" s="118" t="str">
        <v>MI_j</v>
      </c>
      <c r="E95" s="123" t="str">
        <v>additional intake required for milk production</v>
      </c>
      <c r="F95" s="124"/>
      <c r="G95" s="118" t="str">
        <v>kg DM/head/day</v>
      </c>
      <c r="H95" s="126" t="str">
        <v>Calculated from 3.3.1.1 (4)</v>
      </c>
      <c r="I95" s="125" t="str" cm="1">
        <f t="array" aca="1" ref="I95" ca="1">HYPERLINK(Common_InputFunctions.Utility_SourceHyperlink($D$77), $D$77)</f>
        <v>M1_Table_MI_j</v>
      </c>
    </row>
    <row r="96" spans="3:19" ht="20.100000000000001" customHeight="1" x14ac:dyDescent="0.25"/>
    <row r="97" spans="4:18" ht="20.100000000000001" customHeight="1" x14ac:dyDescent="0.25">
      <c r="D97" s="120" t="s">
        <v>280</v>
      </c>
      <c r="M97" s="120" t="s">
        <v>281</v>
      </c>
    </row>
    <row r="98" spans="4:18" ht="20.100000000000001" customHeight="1" x14ac:dyDescent="0.25">
      <c r="D98" s="121" t="s">
        <v>282</v>
      </c>
      <c r="M98" s="121" t="s">
        <v>283</v>
      </c>
    </row>
    <row r="99" spans="4:18" ht="20.100000000000001" customHeight="1" x14ac:dyDescent="0.25">
      <c r="D99" s="96" t="s">
        <v>208</v>
      </c>
      <c r="E99" s="96" t="s">
        <v>209</v>
      </c>
      <c r="F99" s="96" t="s">
        <v>210</v>
      </c>
      <c r="G99" s="96" t="s">
        <v>211</v>
      </c>
      <c r="H99" s="96" t="s">
        <v>212</v>
      </c>
      <c r="M99" s="96" t="s">
        <v>208</v>
      </c>
      <c r="N99" s="96" t="s">
        <v>209</v>
      </c>
      <c r="O99" s="96" t="s">
        <v>210</v>
      </c>
      <c r="P99" s="96" t="s">
        <v>211</v>
      </c>
      <c r="Q99" s="96" t="s">
        <v>212</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217</v>
      </c>
      <c r="M100" s="25">
        <f>'Input - Dairy (Enteric)'!$E$18</f>
        <v>550</v>
      </c>
      <c r="N100" s="25">
        <f>'Input - Dairy (Enteric)'!$F$18</f>
        <v>380</v>
      </c>
      <c r="O100" s="25">
        <f>'Input - Dairy (Enteric)'!$G$18</f>
        <v>155</v>
      </c>
      <c r="P100" s="25">
        <f>'Input - Dairy (Enteric)'!$H$18</f>
        <v>600</v>
      </c>
      <c r="Q100" s="25">
        <f>'Input - Dairy (Enteric)'!$I$18</f>
        <v>225</v>
      </c>
      <c r="R100" s="26" t="s">
        <v>217</v>
      </c>
    </row>
    <row r="101" spans="4:18" ht="20.100000000000001" customHeight="1" x14ac:dyDescent="0.25"/>
    <row r="102" spans="4:18" ht="20.100000000000001" customHeight="1" x14ac:dyDescent="0.25">
      <c r="D102" s="120" t="s">
        <v>284</v>
      </c>
      <c r="M102" s="120" t="s">
        <v>285</v>
      </c>
    </row>
    <row r="103" spans="4:18" ht="20.100000000000001" customHeight="1" x14ac:dyDescent="0.25">
      <c r="D103" s="121" t="s">
        <v>286</v>
      </c>
      <c r="M103" s="121" t="s">
        <v>287</v>
      </c>
    </row>
    <row r="104" spans="4:18" ht="20.100000000000001" customHeight="1" x14ac:dyDescent="0.25">
      <c r="D104" s="96" t="s">
        <v>208</v>
      </c>
      <c r="E104" s="96" t="s">
        <v>209</v>
      </c>
      <c r="F104" s="96" t="s">
        <v>210</v>
      </c>
      <c r="G104" s="96" t="s">
        <v>211</v>
      </c>
      <c r="H104" s="96" t="s">
        <v>212</v>
      </c>
      <c r="M104" s="96" t="s">
        <v>208</v>
      </c>
      <c r="N104" s="96" t="s">
        <v>209</v>
      </c>
      <c r="O104" s="96" t="s">
        <v>210</v>
      </c>
      <c r="P104" s="96" t="s">
        <v>211</v>
      </c>
      <c r="Q104" s="96" t="s">
        <v>212</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219</v>
      </c>
      <c r="M105" s="25">
        <f>'Input - Dairy (Enteric)'!$E$19</f>
        <v>1.6E-2</v>
      </c>
      <c r="N105" s="25">
        <f>'Input - Dairy (Enteric)'!$F$19</f>
        <v>0.6</v>
      </c>
      <c r="O105" s="25">
        <f>'Input - Dairy (Enteric)'!$G$19</f>
        <v>0.56999999999999995</v>
      </c>
      <c r="P105" s="25">
        <f>'Input - Dairy (Enteric)'!$H$19</f>
        <v>0.1</v>
      </c>
      <c r="Q105" s="25">
        <f>'Input - Dairy (Enteric)'!$I$19</f>
        <v>0.8</v>
      </c>
      <c r="R105" s="26" t="s">
        <v>219</v>
      </c>
    </row>
    <row r="106" spans="4:18" ht="20.100000000000001" customHeight="1" x14ac:dyDescent="0.25"/>
    <row r="107" spans="4:18" ht="20.100000000000001" customHeight="1" x14ac:dyDescent="0.25">
      <c r="D107" s="120" t="s">
        <v>288</v>
      </c>
    </row>
    <row r="108" spans="4:18" ht="20.100000000000001" customHeight="1" x14ac:dyDescent="0.25">
      <c r="D108" s="121" t="s">
        <v>289</v>
      </c>
    </row>
    <row r="109" spans="4:18" ht="20.100000000000001" customHeight="1" x14ac:dyDescent="0.25">
      <c r="D109" s="122" t="s">
        <v>208</v>
      </c>
      <c r="E109" s="122" t="s">
        <v>209</v>
      </c>
      <c r="F109" s="122" t="s">
        <v>210</v>
      </c>
      <c r="G109" s="122" t="s">
        <v>211</v>
      </c>
      <c r="H109" s="122" t="s">
        <v>212</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224</v>
      </c>
    </row>
    <row r="111" spans="4:18" ht="20.100000000000001" customHeight="1" x14ac:dyDescent="0.25"/>
    <row r="112" spans="4:18" ht="20.100000000000001" customHeight="1" x14ac:dyDescent="0.25">
      <c r="D112" s="120" t="s">
        <v>290</v>
      </c>
      <c r="M112" s="120" t="s">
        <v>291</v>
      </c>
    </row>
    <row r="113" spans="3:19" ht="20.100000000000001" customHeight="1" x14ac:dyDescent="0.25">
      <c r="D113" s="121" t="s">
        <v>292</v>
      </c>
      <c r="M113" s="121" t="s">
        <v>293</v>
      </c>
    </row>
    <row r="114" spans="3:19" ht="20.100000000000001" customHeight="1" x14ac:dyDescent="0.25">
      <c r="D114" s="122" t="s">
        <v>208</v>
      </c>
      <c r="E114" s="122" t="s">
        <v>209</v>
      </c>
      <c r="F114" s="122" t="s">
        <v>210</v>
      </c>
      <c r="G114" s="122" t="s">
        <v>211</v>
      </c>
      <c r="H114" s="122" t="s">
        <v>212</v>
      </c>
      <c r="M114" s="122" t="s">
        <v>208</v>
      </c>
      <c r="N114" s="122" t="s">
        <v>209</v>
      </c>
      <c r="O114" s="122" t="s">
        <v>210</v>
      </c>
      <c r="P114" s="122" t="s">
        <v>211</v>
      </c>
      <c r="Q114" s="122" t="s">
        <v>212</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1"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6" t="s">
        <v>257</v>
      </c>
      <c r="E121" s="116"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8" t="s">
        <v>258</v>
      </c>
      <c r="E124" s="1" t="str" cm="1">
        <f t="array" ref="E124">EntericMethane_Dairy_Equations.VEERG_3_3_1_1__2_DailyEntericMethaneProduction_Variable()</f>
        <v>M_j</v>
      </c>
    </row>
    <row r="125" spans="3:19" ht="20.100000000000001" customHeight="1" x14ac:dyDescent="0.25">
      <c r="D125" s="88" t="s">
        <v>127</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26" t="str">
        <v>Calculated from 3.3.1.1 (3)</v>
      </c>
      <c r="H127" s="125" t="str" cm="1">
        <f t="array" aca="1" ref="H127" ca="1">HYPERLINK(Common_InputFunctions.Utility_SourceHyperlink($D$112),$D$112)</f>
        <v>M1_Table_I_j</v>
      </c>
    </row>
    <row r="128" spans="3:19" ht="20.100000000000001" customHeight="1" x14ac:dyDescent="0.25"/>
    <row r="129" spans="3:19" ht="20.100000000000001" customHeight="1" x14ac:dyDescent="0.25">
      <c r="D129" s="120" t="s">
        <v>529</v>
      </c>
      <c r="M129" s="120" t="s">
        <v>530</v>
      </c>
    </row>
    <row r="130" spans="3:19" ht="20.100000000000001" customHeight="1" x14ac:dyDescent="0.25">
      <c r="D130" s="121" t="s">
        <v>531</v>
      </c>
      <c r="M130" s="121" t="s">
        <v>532</v>
      </c>
    </row>
    <row r="131" spans="3:19" ht="20.100000000000001" customHeight="1" x14ac:dyDescent="0.25">
      <c r="D131" s="122" t="s">
        <v>208</v>
      </c>
      <c r="E131" s="122" t="s">
        <v>209</v>
      </c>
      <c r="F131" s="122" t="s">
        <v>210</v>
      </c>
      <c r="G131" s="122" t="s">
        <v>211</v>
      </c>
      <c r="H131" s="122" t="s">
        <v>212</v>
      </c>
      <c r="M131" s="122" t="s">
        <v>208</v>
      </c>
      <c r="N131" s="122" t="s">
        <v>209</v>
      </c>
      <c r="O131" s="122" t="s">
        <v>210</v>
      </c>
      <c r="P131" s="122" t="s">
        <v>211</v>
      </c>
      <c r="Q131" s="122" t="s">
        <v>212</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1"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6"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6" t="s">
        <v>257</v>
      </c>
      <c r="E139" s="116"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8" t="s">
        <v>258</v>
      </c>
      <c r="E145" s="1" t="str" cm="1">
        <f t="array" ref="E145">EntericMethane_Dairy_Equations.VEERG_3_3_1_1__1_TotalAnnualMethaneFromEntericFermentation_Variable()</f>
        <v>E_enteric</v>
      </c>
    </row>
    <row r="146" spans="4:9" ht="20.100000000000001" customHeight="1" x14ac:dyDescent="0.25">
      <c r="D146" s="88" t="s">
        <v>127</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23" t="str">
        <v>number of dairy cattle in classes j=1,2,4</v>
      </c>
      <c r="F148" s="124"/>
      <c r="G148" s="118" t="str" cm="1">
        <f t="array" ref="G148:H155">_xlfn.CHOOSECOLS(EntericMethane_Dairy_Equations.VEERG_3_3_1_1__1_TotalAnnualMethaneFromEntericFermentation_Arguments(),3,4)</f>
        <v>head</v>
      </c>
      <c r="H148" s="119" t="str">
        <v>Input</v>
      </c>
      <c r="I148" s="125" t="str" cm="1">
        <f t="array" aca="1" ref="I148" ca="1">HYPERLINK(Common_InputFunctions.Utility_SourceHyperlink($D$157),$D$157)</f>
        <v>Table_N_j</v>
      </c>
    </row>
    <row r="149" spans="4:9" ht="20.100000000000001" customHeight="1" x14ac:dyDescent="0.25">
      <c r="D149" s="118" t="str">
        <v>M_j124</v>
      </c>
      <c r="E149" s="123" t="str">
        <v>daily enteric methane production for classes j=1,2,4</v>
      </c>
      <c r="F149" s="124"/>
      <c r="G149" s="118" t="str">
        <v>kg CH4/head/day</v>
      </c>
      <c r="H149" s="126" t="str">
        <v>Calculated from 3.3.1.1 (2)</v>
      </c>
      <c r="I149" s="125" t="str" cm="1">
        <f t="array" aca="1" ref="I149" ca="1">HYPERLINK(Common_InputFunctions.Utility_SourceHyperlink($D$129),$D$129)</f>
        <v>M1_Table_M_j</v>
      </c>
    </row>
    <row r="150" spans="4:9" ht="20.100000000000001" customHeight="1" x14ac:dyDescent="0.25">
      <c r="D150" s="118" t="str">
        <v>D_j124</v>
      </c>
      <c r="E150" s="123" t="str">
        <v>duration of stay on the farm for classes j=1,2,4</v>
      </c>
      <c r="F150" s="124"/>
      <c r="G150" s="118" t="str">
        <v>days</v>
      </c>
      <c r="H150" s="119" t="str">
        <v>Input</v>
      </c>
      <c r="I150" s="125" t="str" cm="1">
        <f t="array" aca="1" ref="I150" ca="1">HYPERLINK(Common_InputFunctions.Utility_SourceHyperlink($D$162),$D$162)</f>
        <v>M1_Table_D_j</v>
      </c>
    </row>
    <row r="151" spans="4:9" ht="20.100000000000001" customHeight="1" x14ac:dyDescent="0.25">
      <c r="D151" s="118" t="str">
        <v>N_j35</v>
      </c>
      <c r="E151" s="123" t="str">
        <v>number of dairy cattle in classes j=3,5</v>
      </c>
      <c r="F151" s="124"/>
      <c r="G151" s="118" t="str">
        <v>head</v>
      </c>
      <c r="H151" s="119" t="str">
        <v>Input</v>
      </c>
      <c r="I151" s="125" t="str" cm="1">
        <f t="array" aca="1" ref="I151" ca="1">HYPERLINK(Common_InputFunctions.Utility_SourceHyperlink($D$157),$D$157)</f>
        <v>Table_N_j</v>
      </c>
    </row>
    <row r="152" spans="4:9" ht="20.100000000000001" customHeight="1" x14ac:dyDescent="0.25">
      <c r="D152" s="118" t="str">
        <v>M_j35</v>
      </c>
      <c r="E152" s="123" t="str">
        <v>daily enteric methane production for weaned classes j=3,5</v>
      </c>
      <c r="F152" s="124"/>
      <c r="G152" s="118" t="str">
        <v>kg CH4/head/day</v>
      </c>
      <c r="H152" s="126" t="str">
        <v>Calculated from 3.3.1.1 (2)</v>
      </c>
      <c r="I152" s="125" t="str" cm="1">
        <f t="array" aca="1" ref="I152" ca="1">HYPERLINK(Common_InputFunctions.Utility_SourceHyperlink($D$129),$D$129)</f>
        <v>M1_Table_M_j</v>
      </c>
    </row>
    <row r="153" spans="4:9" ht="20.100000000000001" customHeight="1" x14ac:dyDescent="0.25">
      <c r="D153" s="118" t="str">
        <v>D_j35</v>
      </c>
      <c r="E153" s="123" t="str">
        <v>duration of stay on the farm for weaned classes j=3,5</v>
      </c>
      <c r="F153" s="124"/>
      <c r="G153" s="118" t="str">
        <v>days</v>
      </c>
      <c r="H153" s="119" t="str">
        <v>Input</v>
      </c>
      <c r="I153" s="125" t="str" cm="1">
        <f t="array" aca="1" ref="I153" ca="1">HYPERLINK(Common_InputFunctions.Utility_SourceHyperlink($D$162),$D$162)</f>
        <v>M1_Table_D_j</v>
      </c>
    </row>
    <row r="154" spans="4:9" ht="20.100000000000001" customHeight="1" x14ac:dyDescent="0.25">
      <c r="D154" s="118" t="str">
        <v>DPW_j35</v>
      </c>
      <c r="E154" s="123" t="str">
        <v>duration of stay on the farm for pre-weaned heifer and bull calves</v>
      </c>
      <c r="F154" s="124"/>
      <c r="G154" s="118" t="str">
        <v>days</v>
      </c>
      <c r="H154" s="119" t="str">
        <v>Input</v>
      </c>
      <c r="I154" s="12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26" t="str">
        <v>Constant</v>
      </c>
      <c r="I155" s="125" t="str" cm="1">
        <f t="array" aca="1" ref="I155" ca="1">HYPERLINK(Common_InputFunctions.Utility_SourceHyperlink($D$172),$D$172)</f>
        <v>M1_Table_MPW_j-3-5</v>
      </c>
    </row>
    <row r="156" spans="4:9" ht="20.100000000000001" customHeight="1" x14ac:dyDescent="0.25"/>
    <row r="157" spans="4:9" ht="20.100000000000001" customHeight="1" x14ac:dyDescent="0.25">
      <c r="D157" s="120" t="s">
        <v>331</v>
      </c>
    </row>
    <row r="158" spans="4:9" ht="20.100000000000001" customHeight="1" x14ac:dyDescent="0.25">
      <c r="D158" s="121" t="s">
        <v>533</v>
      </c>
    </row>
    <row r="159" spans="4:9" ht="20.100000000000001" customHeight="1" x14ac:dyDescent="0.25">
      <c r="D159" s="96" t="s">
        <v>208</v>
      </c>
      <c r="E159" s="96" t="s">
        <v>209</v>
      </c>
      <c r="F159" s="96" t="s">
        <v>210</v>
      </c>
      <c r="G159" s="96" t="s">
        <v>211</v>
      </c>
      <c r="H159" s="96" t="s">
        <v>212</v>
      </c>
    </row>
    <row r="160" spans="4:9" ht="20.100000000000001" customHeight="1" x14ac:dyDescent="0.25">
      <c r="D160" s="132">
        <f>'Input - Dairy (Enteric)'!E10</f>
        <v>100</v>
      </c>
      <c r="E160" s="132">
        <f>'Input - Dairy (Enteric)'!F10</f>
        <v>100</v>
      </c>
      <c r="F160" s="132">
        <f>'Input - Dairy (Enteric)'!G10</f>
        <v>100</v>
      </c>
      <c r="G160" s="132">
        <f>'Input - Dairy (Enteric)'!H10</f>
        <v>100</v>
      </c>
      <c r="H160" s="132">
        <f>'Input - Dairy (Enteric)'!I10</f>
        <v>100</v>
      </c>
      <c r="I160" s="15" t="str">
        <f>$G$148</f>
        <v>head</v>
      </c>
    </row>
    <row r="161" spans="4:18" ht="20.100000000000001" customHeight="1" x14ac:dyDescent="0.25"/>
    <row r="162" spans="4:18" ht="20.100000000000001" customHeight="1" x14ac:dyDescent="0.25">
      <c r="D162" s="120" t="s">
        <v>334</v>
      </c>
      <c r="M162" s="120" t="s">
        <v>335</v>
      </c>
    </row>
    <row r="163" spans="4:18" ht="20.100000000000001" customHeight="1" x14ac:dyDescent="0.25">
      <c r="D163" s="121" t="s">
        <v>534</v>
      </c>
      <c r="M163" s="121" t="s">
        <v>535</v>
      </c>
    </row>
    <row r="164" spans="4:18" ht="20.100000000000001" customHeight="1" x14ac:dyDescent="0.25">
      <c r="D164" s="96" t="s">
        <v>208</v>
      </c>
      <c r="E164" s="96" t="s">
        <v>209</v>
      </c>
      <c r="F164" s="96" t="s">
        <v>210</v>
      </c>
      <c r="G164" s="96" t="s">
        <v>211</v>
      </c>
      <c r="H164" s="96" t="s">
        <v>212</v>
      </c>
      <c r="M164" s="96" t="s">
        <v>208</v>
      </c>
      <c r="N164" s="96" t="s">
        <v>209</v>
      </c>
      <c r="O164" s="96" t="s">
        <v>210</v>
      </c>
      <c r="P164" s="96" t="s">
        <v>211</v>
      </c>
      <c r="Q164" s="96" t="s">
        <v>212</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0" t="s">
        <v>536</v>
      </c>
      <c r="M167" s="120" t="s">
        <v>537</v>
      </c>
    </row>
    <row r="168" spans="4:18" ht="20.100000000000001" customHeight="1" x14ac:dyDescent="0.25">
      <c r="D168" s="121" t="s">
        <v>538</v>
      </c>
      <c r="M168" s="121" t="s">
        <v>539</v>
      </c>
    </row>
    <row r="169" spans="4:18" ht="20.100000000000001" customHeight="1" x14ac:dyDescent="0.25">
      <c r="D169" s="96" t="s">
        <v>208</v>
      </c>
      <c r="E169" s="96" t="s">
        <v>209</v>
      </c>
      <c r="F169" s="96" t="s">
        <v>210</v>
      </c>
      <c r="G169" s="96" t="s">
        <v>211</v>
      </c>
      <c r="H169" s="96" t="s">
        <v>212</v>
      </c>
      <c r="M169" s="96" t="s">
        <v>208</v>
      </c>
      <c r="N169" s="96" t="s">
        <v>209</v>
      </c>
      <c r="O169" s="96" t="s">
        <v>210</v>
      </c>
      <c r="P169" s="96" t="s">
        <v>211</v>
      </c>
      <c r="Q169" s="96" t="s">
        <v>212</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0" t="s">
        <v>540</v>
      </c>
    </row>
    <row r="173" spans="4:18" ht="20.100000000000001" customHeight="1" x14ac:dyDescent="0.25">
      <c r="D173" s="121" t="s">
        <v>538</v>
      </c>
    </row>
    <row r="174" spans="4:18" ht="20.100000000000001" customHeight="1" x14ac:dyDescent="0.25">
      <c r="D174" s="122" t="s">
        <v>210</v>
      </c>
      <c r="E174" s="122" t="s">
        <v>212</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0" t="s">
        <v>541</v>
      </c>
      <c r="M177" s="120" t="s">
        <v>541</v>
      </c>
    </row>
    <row r="178" spans="1:18" ht="20.100000000000001" customHeight="1" x14ac:dyDescent="0.25">
      <c r="A178" s="127" t="str">
        <f>HYPERLINK("#A1", "▲ Back to top")</f>
        <v>▲ Back to top</v>
      </c>
      <c r="D178" s="121" t="s">
        <v>542</v>
      </c>
      <c r="M178" s="121" t="s">
        <v>542</v>
      </c>
    </row>
    <row r="179" spans="1:18" ht="20.100000000000001" customHeight="1" x14ac:dyDescent="0.25">
      <c r="D179" s="122" t="s">
        <v>208</v>
      </c>
      <c r="E179" s="122" t="s">
        <v>209</v>
      </c>
      <c r="F179" s="122" t="s">
        <v>210</v>
      </c>
      <c r="G179" s="122" t="s">
        <v>211</v>
      </c>
      <c r="H179" s="122" t="s">
        <v>212</v>
      </c>
      <c r="M179" s="122" t="s">
        <v>208</v>
      </c>
      <c r="N179" s="122" t="s">
        <v>209</v>
      </c>
      <c r="O179" s="122" t="s">
        <v>210</v>
      </c>
      <c r="P179" s="122" t="s">
        <v>211</v>
      </c>
      <c r="Q179" s="122" t="s">
        <v>212</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3" t="s">
        <v>543</v>
      </c>
      <c r="E182" s="134">
        <f>SUM(D180:H180)</f>
        <v>32.464682683989999</v>
      </c>
      <c r="F182" s="135" t="str">
        <f>$E$146</f>
        <v>t CH4</v>
      </c>
      <c r="M182" s="133" t="s">
        <v>543</v>
      </c>
      <c r="N182" s="134">
        <f>SUM(M180:Q180)</f>
        <v>32.464682683989999</v>
      </c>
      <c r="O182" s="135" t="str">
        <f>$E$146</f>
        <v>t CH4</v>
      </c>
    </row>
    <row r="183" spans="1:18" ht="20.100000000000001" customHeight="1" x14ac:dyDescent="0.25"/>
    <row r="184" spans="1:18" ht="20.100000000000001" customHeight="1" x14ac:dyDescent="0.25">
      <c r="D184" s="130" t="str" cm="1">
        <f t="array" ref="D184:E185">Common_Equations.Common_ConvertCH4ToCO2e_Arguments()</f>
        <v>ECH4</v>
      </c>
      <c r="E184" s="136" t="str">
        <v>Methane emissions (t CH4)</v>
      </c>
      <c r="F184" s="137"/>
      <c r="G184" s="25">
        <f>VEERG_3_3_1_1__1_TotalAnnualMethaneFromEntericFermentationVariation_Result_Method1</f>
        <v>32.464682683989999</v>
      </c>
      <c r="M184" s="130" t="str" cm="1">
        <f t="array" ref="M184:N185">Common_Equations.Common_ConvertCH4ToCO2e_Arguments()</f>
        <v>ECH4</v>
      </c>
      <c r="N184" s="136" t="str">
        <v>Methane emissions (t CH4)</v>
      </c>
      <c r="O184" s="137"/>
      <c r="P184" s="25">
        <f>VEERG_3_3_1_1__1_TotalAnnualMethaneFromEntericFermentationVariation_Result_Method2</f>
        <v>32.464682683989999</v>
      </c>
    </row>
    <row r="185" spans="1:18" ht="20.100000000000001" customHeight="1" x14ac:dyDescent="0.25">
      <c r="D185" s="130" t="str">
        <v>GWPCH4</v>
      </c>
      <c r="E185" s="136" t="str">
        <v>Global warming potential for methane (t CO2-e / t CH4)</v>
      </c>
      <c r="F185" s="137"/>
      <c r="G185" s="25">
        <f>Common_InputFunctions.Utility_LookupValueInTableNumber("CH4",Table_GWPData[Gas],Table_GWPData[CO2-e factor])</f>
        <v>28</v>
      </c>
      <c r="M185" s="130" t="str">
        <v>GWPCH4</v>
      </c>
      <c r="N185" s="136" t="str">
        <v>Global warming potential for methane (t CO2-e / t CH4)</v>
      </c>
      <c r="O185" s="137"/>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407</v>
      </c>
      <c r="E187" s="100" cm="1">
        <f t="array" ref="E187">Common_Equations.Common_ConvertN2OToCO2e(G184,G185)</f>
        <v>909.01111515171999</v>
      </c>
      <c r="F187" s="138" t="str" cm="1">
        <f t="array" ref="F187">Common_Equations.Common_ConvertN2OToCO2e_Unit()</f>
        <v>t CO2e</v>
      </c>
      <c r="M187" s="100" t="s">
        <v>407</v>
      </c>
      <c r="N187" s="100" cm="1">
        <f t="array" ref="N187">Common_Equations.Common_ConvertN2OToCO2e(P184,P185)</f>
        <v>909.01111515171999</v>
      </c>
      <c r="O187" s="138"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7"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7"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76F6450-2533-4412-A8AC-9EF4D40F93B3}"/>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6B4DD-A4CE-4D67-A035-126014250F95}">
  <sheetPr>
    <tabColor rgb="FF008000"/>
  </sheetPr>
  <dimension ref="A1:L342"/>
  <sheetViews>
    <sheetView showGridLines="0" topLeftCell="A17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910</v>
      </c>
    </row>
    <row r="2" spans="1:12" s="3" customFormat="1" ht="20.100000000000001" customHeight="1" x14ac:dyDescent="0.25">
      <c r="A2"/>
    </row>
    <row r="3" spans="1:12" ht="20.100000000000001" customHeight="1" x14ac:dyDescent="0.25">
      <c r="A3" s="5" t="str">
        <f>HYPERLINK("#'Home'!A1", "Home")</f>
        <v>Home</v>
      </c>
      <c r="C3" s="33"/>
      <c r="D3" s="33" t="s">
        <v>144</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6" t="s">
        <v>257</v>
      </c>
      <c r="E7" s="116"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258</v>
      </c>
      <c r="E10" s="1" t="str" cm="1">
        <f t="array" ref="E10">WasteSolid_Equations.VEERG_10_1_1_1__2_MassOfWasteFromVolume_Variable()</f>
        <v>Q_wt</v>
      </c>
    </row>
    <row r="11" spans="1:12" ht="20.100000000000001" customHeight="1" x14ac:dyDescent="0.25">
      <c r="A11" s="5" t="str">
        <f>HYPERLINK("#'Input - Dairy'!A1", "Dairy")</f>
        <v>Dairy</v>
      </c>
      <c r="D11" s="88" t="s">
        <v>127</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18" t="str" cm="1">
        <f t="array" ref="D13:E16">_xlfn.CHOOSECOLS(WasteSolid_Equations.VEERG_10_1_1_1__2_MassOfWasteFromVolume_Arguments(),1,2)</f>
        <v>V_wt</v>
      </c>
      <c r="E13" s="123" t="str">
        <v>volume of solid waste type w being sent to treatment facility t</v>
      </c>
      <c r="F13" s="124"/>
      <c r="G13" s="118" t="str" cm="1">
        <f t="array" ref="G13:H16">_xlfn.CHOOSECOLS(WasteSolid_Equations.VEERG_10_1_1_1__2_MassOfWasteFromVolume_Arguments(),3,4)</f>
        <v>m3</v>
      </c>
      <c r="H13" s="119" t="str">
        <v>Input</v>
      </c>
      <c r="I13" s="125" t="str" cm="1">
        <f t="array" aca="1" ref="I13" ca="1">HYPERLINK(Common_InputFunctions.Utility_SourceHyperlink($D$18),$D$18)</f>
        <v>Table_V_w_t_onsite</v>
      </c>
      <c r="J13" s="125"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18" t="str">
        <v>VTM_w</v>
      </c>
      <c r="E14" s="123" t="str">
        <v>conversion factor of volume to mass for waste type w</v>
      </c>
      <c r="F14" s="124"/>
      <c r="G14" s="118" t="str">
        <v>t/m3</v>
      </c>
      <c r="H14" s="126" t="str">
        <v>Constant</v>
      </c>
      <c r="I14" s="125" t="str" cm="1">
        <f t="array" aca="1" ref="I14" ca="1">HYPERLINK(Common_InputFunctions.Utility_SourceHyperlink($D$18),$D$18)</f>
        <v>Table_V_w_t_onsite</v>
      </c>
      <c r="J14" s="125" t="str" cm="1">
        <f t="array" aca="1" ref="J14" ca="1">HYPERLINK(Common_InputFunctions.Utility_SourceHyperlink($D$56),$D$56)</f>
        <v>Table_V_w_t_offsite</v>
      </c>
    </row>
    <row r="15" spans="1:12" ht="20.100000000000001" customHeight="1" x14ac:dyDescent="0.25">
      <c r="A15" s="5" t="str">
        <f>HYPERLINK("#'Input - Pasture'!A1", "Pasture")</f>
        <v>Pasture</v>
      </c>
      <c r="D15" s="118" t="str">
        <v>w</v>
      </c>
      <c r="E15" s="123" t="str">
        <v>waste type</v>
      </c>
      <c r="F15" s="124"/>
      <c r="G15" s="118" t="str">
        <v/>
      </c>
      <c r="H15" s="119" t="str">
        <v>Input</v>
      </c>
      <c r="I15" s="125" t="str" cm="1">
        <f t="array" aca="1" ref="I15" ca="1">HYPERLINK(Common_InputFunctions.Utility_SourceHyperlink($D$18),$D$18)</f>
        <v>Table_V_w_t_onsite</v>
      </c>
      <c r="J15" s="125"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18" t="str">
        <v>t</v>
      </c>
      <c r="E16" s="123" t="str">
        <v>treatment facility</v>
      </c>
      <c r="F16" s="124"/>
      <c r="G16" s="118" t="str">
        <v/>
      </c>
      <c r="H16" s="119" t="str">
        <v>Input</v>
      </c>
      <c r="I16" s="125" t="str" cm="1">
        <f t="array" aca="1" ref="I16" ca="1">HYPERLINK(Common_InputFunctions.Utility_SourceHyperlink($D$18),$D$18)</f>
        <v>Table_V_w_t_onsite</v>
      </c>
      <c r="J16" s="125"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0" t="s">
        <v>911</v>
      </c>
    </row>
    <row r="19" spans="1:9" ht="20.100000000000001" customHeight="1" x14ac:dyDescent="0.25">
      <c r="A19" s="5" t="str">
        <f>HYPERLINK("#'Input - Electricity'!A1", "Electricity")</f>
        <v>Electricity</v>
      </c>
      <c r="D19" s="121" t="s">
        <v>912</v>
      </c>
    </row>
    <row r="20" spans="1:9" ht="20.100000000000001" customHeight="1" x14ac:dyDescent="0.25">
      <c r="A20" s="5" t="str">
        <f>HYPERLINK("#'Input - Farm Inputs'!A1", "Farm Inputs")</f>
        <v>Farm Inputs</v>
      </c>
      <c r="D20" s="96" t="s">
        <v>913</v>
      </c>
      <c r="E20" s="96" t="s">
        <v>914</v>
      </c>
      <c r="F20" s="96"/>
      <c r="G20" s="96" t="s">
        <v>915</v>
      </c>
      <c r="H20" s="122" t="s">
        <v>916</v>
      </c>
      <c r="I20" s="122" t="s">
        <v>917</v>
      </c>
    </row>
    <row r="21" spans="1:9" ht="20.100000000000001" customHeight="1" x14ac:dyDescent="0.25">
      <c r="A21" s="5" t="str">
        <f>HYPERLINK("#'Input - Freight'!A1", "Freight")</f>
        <v>Freight</v>
      </c>
      <c r="D21" s="118" t="str" cm="1">
        <f t="array" ref="D21:D54">Table_SourceData_WasteSolid_WasteTreatmentEFs[Treatment type t]</f>
        <v>Landfill</v>
      </c>
      <c r="E21" s="123" t="str" cm="1">
        <f t="array" ref="E21:E54">Table_SourceData_WasteSolid_WasteTreatmentEFs[Waste type w]</f>
        <v>Food waste (including animal carcasses, spoiled animal feed or crop)</v>
      </c>
      <c r="F21" s="184"/>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18" t="str">
        <v>Landfill</v>
      </c>
      <c r="E22" s="123" t="str">
        <v>Paper and cardboard</v>
      </c>
      <c r="F22" s="184"/>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18" t="str">
        <v>Landfill</v>
      </c>
      <c r="E23" s="123" t="str">
        <v>Green waste (including crop residues or prunings)</v>
      </c>
      <c r="F23" s="184"/>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18" t="str">
        <v>Landfill</v>
      </c>
      <c r="E24" s="123" t="str">
        <v>Wood</v>
      </c>
      <c r="F24" s="184"/>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18" t="str">
        <v>Landfill</v>
      </c>
      <c r="E25" s="123" t="str">
        <v>Textiles</v>
      </c>
      <c r="F25" s="184"/>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18" t="str">
        <v>Landfill</v>
      </c>
      <c r="E26" s="123" t="str">
        <v>Sludge</v>
      </c>
      <c r="F26" s="184"/>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18" t="str">
        <v>Landfill</v>
      </c>
      <c r="E27" s="123" t="str">
        <v>Rubber and leather</v>
      </c>
      <c r="F27" s="184"/>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18" t="str">
        <v>Landfill</v>
      </c>
      <c r="E28" s="123" t="str">
        <v>Inert waste (including concrete, metal, plastic or glass)</v>
      </c>
      <c r="F28" s="184"/>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18" t="str">
        <v>Landfill</v>
      </c>
      <c r="E29" s="123" t="str">
        <v>Municipal solid waste</v>
      </c>
      <c r="F29" s="184"/>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18" t="str">
        <v>Landfill</v>
      </c>
      <c r="E30" s="123" t="str">
        <v>Commercial and industrial waste</v>
      </c>
      <c r="F30" s="184"/>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18" t="str">
        <v>Landfill</v>
      </c>
      <c r="E31" s="123" t="str">
        <v>Construction and demolition waste</v>
      </c>
      <c r="F31" s="184"/>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18" t="str">
        <v>Incineration</v>
      </c>
      <c r="E32" s="123" t="str">
        <v>Food waste, green waste, wood, sludge</v>
      </c>
      <c r="F32" s="184"/>
      <c r="G32" s="25" t="s">
        <v>638</v>
      </c>
      <c r="H32" s="25" t="s">
        <v>638</v>
      </c>
      <c r="I32" s="25" t="s">
        <v>638</v>
      </c>
    </row>
    <row r="33" spans="1:9" ht="20.100000000000001" customHeight="1" x14ac:dyDescent="0.25">
      <c r="A33" s="5" t="str">
        <f>HYPERLINK("#'6.2.1.1-2 Pasture residue N2O'!A1", "6.2.1.1-2 Pasture residue N2O")</f>
        <v>6.2.1.1-2 Pasture residue N2O</v>
      </c>
      <c r="D33" s="118" t="str">
        <v>Incineration</v>
      </c>
      <c r="E33" s="123" t="str">
        <v>Food waste (including animal carcasses, spoiled animal feed or crop)</v>
      </c>
      <c r="F33" s="184"/>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18" t="str">
        <v>Incineration</v>
      </c>
      <c r="E34" s="123" t="str">
        <v>Green waste (including crop residues or prunings)</v>
      </c>
      <c r="F34" s="184"/>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18" t="str">
        <v>Incineration</v>
      </c>
      <c r="E35" s="123" t="str">
        <v>Wood</v>
      </c>
      <c r="F35" s="184"/>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18" t="str">
        <v>Incineration</v>
      </c>
      <c r="E36" s="123" t="str">
        <v>Sludge</v>
      </c>
      <c r="F36" s="184"/>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18" t="str">
        <v>Incineration</v>
      </c>
      <c r="E37" s="123" t="str">
        <v>Paper and cardboard</v>
      </c>
      <c r="F37" s="184"/>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18" t="str">
        <v>Incineration</v>
      </c>
      <c r="E38" s="123" t="str">
        <v>Textiles</v>
      </c>
      <c r="F38" s="184"/>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18" t="str">
        <v>Incineration</v>
      </c>
      <c r="E39" s="123" t="str">
        <v>Rubber and leather</v>
      </c>
      <c r="F39" s="184"/>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HYPERLINK("#'4.3.1.1-2 Methane'!A1", "4.3.1.1-2 Methane")</f>
        <v>4.3.1.1-2 Methane</v>
      </c>
      <c r="D40" s="118" t="str">
        <v>Incineration</v>
      </c>
      <c r="E40" s="118" t="str">
        <v>Inert waste (including concrete, metal, plastic or glass)</v>
      </c>
      <c r="F40" s="118"/>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HYPERLINK("#'4.3.1.3-4 Direct N20'!A1", "4.3.1.3-4 Direct N20")</f>
        <v>4.3.1.3-4 Direct N20</v>
      </c>
      <c r="D41" s="118" t="str">
        <v>Incineration</v>
      </c>
      <c r="E41" s="123" t="str">
        <v>Municipal solid waste</v>
      </c>
      <c r="F41" s="124"/>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HYPERLINK("#'4.3.1.5 Atmos deposition'!A1", "4.3.1.5 Atmos deposition")</f>
        <v>4.3.1.5 Atmos deposition</v>
      </c>
      <c r="D42" s="118" t="str">
        <v>Incineration</v>
      </c>
      <c r="E42" s="123" t="str">
        <v>Commercial and industrial waste</v>
      </c>
      <c r="F42" s="124"/>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HYPERLINK("#'4.3.1.6-7 Leaching and runoff'!A1", "4.3.1.6-7 Leaching and runoff")</f>
        <v>4.3.1.6-7 Leaching and runoff</v>
      </c>
      <c r="D43" s="118" t="str">
        <v>Composting</v>
      </c>
      <c r="E43" s="123" t="str">
        <v>All organic waste</v>
      </c>
      <c r="F43" s="124"/>
      <c r="G43" s="25" t="s">
        <v>638</v>
      </c>
      <c r="H43" s="25" t="s">
        <v>638</v>
      </c>
      <c r="I43" s="25" t="s">
        <v>638</v>
      </c>
    </row>
    <row r="44" spans="1:9" ht="20.100000000000001" customHeight="1" x14ac:dyDescent="0.25">
      <c r="A44" s="5" t="str">
        <f>HYPERLINK("#'4.3.1.8 Manure applied to soils'!A1", "4.3.1.8 Manure applied to soils")</f>
        <v>4.3.1.8 Manure applied to soils</v>
      </c>
      <c r="D44" s="118" t="str">
        <v>Composting</v>
      </c>
      <c r="E44" s="123" t="str">
        <v>Food waste (including animal carcasses, spoiled animal feed or crop)</v>
      </c>
      <c r="F44" s="124"/>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HYPERLINK("#'4.3.1.9 Soil direct N2O'!A1", "4.3.1.9 Soil direct N2O")</f>
        <v>4.3.1.9 Soil direct N2O</v>
      </c>
      <c r="D45" s="118" t="str">
        <v>Composting</v>
      </c>
      <c r="E45" s="123" t="str">
        <v>Green waste (including crop residues or prunings)</v>
      </c>
      <c r="F45" s="124"/>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HYPERLINK("#'4.3.1.10-11 Soil Atmos Dep'!A1", "4.3.1.10-11 Soil Atmos Dep")</f>
        <v>4.3.1.10-11 Soil Atmos Dep</v>
      </c>
      <c r="D46" s="118" t="str">
        <v>Composting</v>
      </c>
      <c r="E46" s="123" t="str">
        <v>Wood</v>
      </c>
      <c r="F46" s="124"/>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HYPERLINK("#'4.3.1.12-13 Soil leach runoff'!A1", "4.3.1.12-13 Soil leach runoff")</f>
        <v>4.3.1.12-13 Soil leach runoff</v>
      </c>
      <c r="D47" s="118" t="str">
        <v>Composting</v>
      </c>
      <c r="E47" s="123" t="str">
        <v>Sludge</v>
      </c>
      <c r="F47" s="124"/>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HYPERLINK("#'3.3.1.1-2 Enteric Methane'!A1", "3.3.1.1-2 Enteric Methane")</f>
        <v>3.3.1.1-2 Enteric Methane</v>
      </c>
      <c r="D48" s="118" t="str">
        <v>Composting</v>
      </c>
      <c r="E48" s="123" t="str">
        <v>Paper and cardboard</v>
      </c>
      <c r="F48" s="124"/>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17" t="str">
        <f>HYPERLINK("#'10.1.1-2 Solid waste treatment'!A1", "10.1.1-2 Solid waste treatment")</f>
        <v>10.1.1-2 Solid waste treatment</v>
      </c>
      <c r="D49" s="118" t="str">
        <v>Anaerobic digestion</v>
      </c>
      <c r="E49" s="123" t="str">
        <v>All organic waste</v>
      </c>
      <c r="F49" s="124"/>
      <c r="G49" s="25" t="s">
        <v>638</v>
      </c>
      <c r="H49" s="25" t="s">
        <v>638</v>
      </c>
      <c r="I49" s="25" t="s">
        <v>638</v>
      </c>
    </row>
    <row r="50" spans="1:9" ht="20.100000000000001" customHeight="1" x14ac:dyDescent="0.25">
      <c r="D50" s="118" t="str">
        <v>Anaerobic digestion</v>
      </c>
      <c r="E50" s="123" t="str">
        <v>Food waste (including animal carcasses, spoiled animal feed or crop)</v>
      </c>
      <c r="F50" s="124"/>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18" t="str">
        <v>Anaerobic digestion</v>
      </c>
      <c r="E51" s="123" t="str">
        <v>Green waste (including crop residues or prunings)</v>
      </c>
      <c r="F51" s="124"/>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18" t="str">
        <v>Anaerobic digestion</v>
      </c>
      <c r="E52" s="123" t="str">
        <v>Wood</v>
      </c>
      <c r="F52" s="124"/>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18" t="str">
        <v>Anaerobic digestion</v>
      </c>
      <c r="E53" s="123" t="str">
        <v>Sludge</v>
      </c>
      <c r="F53" s="124"/>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18" t="str">
        <v>Anaerobic digestion</v>
      </c>
      <c r="E54" s="123" t="str">
        <v>Paper and cardboard</v>
      </c>
      <c r="F54" s="124"/>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20" t="s">
        <v>918</v>
      </c>
    </row>
    <row r="57" spans="1:9" ht="20.100000000000001" customHeight="1" x14ac:dyDescent="0.25">
      <c r="A57" s="5" t="str">
        <f>HYPERLINK("#'Constants - Fertiliser'!A1", "Constants - Fertiliser")</f>
        <v>Constants - Fertiliser</v>
      </c>
      <c r="D57" s="121" t="s">
        <v>919</v>
      </c>
    </row>
    <row r="58" spans="1:9" ht="20.100000000000001" customHeight="1" x14ac:dyDescent="0.25">
      <c r="A58" s="5" t="str">
        <f>HYPERLINK("#'Constants - Fuel'!A1", "Constants - Fuel")</f>
        <v>Constants - Fuel</v>
      </c>
      <c r="D58" s="96" t="s">
        <v>913</v>
      </c>
      <c r="E58" s="96" t="s">
        <v>914</v>
      </c>
      <c r="F58" s="96"/>
      <c r="G58" s="96" t="s">
        <v>915</v>
      </c>
      <c r="H58" s="122" t="s">
        <v>916</v>
      </c>
      <c r="I58" s="122" t="s">
        <v>917</v>
      </c>
    </row>
    <row r="59" spans="1:9" ht="20.100000000000001" customHeight="1" x14ac:dyDescent="0.25">
      <c r="A59" s="5" t="str">
        <f>HYPERLINK("#'Constants - Scope 3'!A1", "Constants - Scope 3")</f>
        <v>Constants - Scope 3</v>
      </c>
      <c r="D59" s="118" t="str" cm="1">
        <f t="array" ref="D59:D92">Table_SourceData_WasteSolid_WasteTreatmentEFs[Treatment type t]</f>
        <v>Landfill</v>
      </c>
      <c r="E59" s="123" t="str" cm="1">
        <f t="array" ref="E59:E92">Table_SourceData_WasteSolid_WasteTreatmentEFs[Waste type w]</f>
        <v>Food waste (including animal carcasses, spoiled animal feed or crop)</v>
      </c>
      <c r="F59" s="184"/>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18" t="str">
        <v>Landfill</v>
      </c>
      <c r="E60" s="123" t="str">
        <v>Paper and cardboard</v>
      </c>
      <c r="F60" s="184"/>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18" t="str">
        <v>Landfill</v>
      </c>
      <c r="E61" s="123" t="str">
        <v>Green waste (including crop residues or prunings)</v>
      </c>
      <c r="F61" s="184"/>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18" t="str">
        <v>Landfill</v>
      </c>
      <c r="E62" s="123" t="str">
        <v>Wood</v>
      </c>
      <c r="F62" s="184"/>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18" t="str">
        <v>Landfill</v>
      </c>
      <c r="E63" s="123" t="str">
        <v>Textiles</v>
      </c>
      <c r="F63" s="184"/>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18" t="str">
        <v>Landfill</v>
      </c>
      <c r="E64" s="123" t="str">
        <v>Sludge</v>
      </c>
      <c r="F64" s="184"/>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18" t="str">
        <v>Landfill</v>
      </c>
      <c r="E65" s="123" t="str">
        <v>Rubber and leather</v>
      </c>
      <c r="F65" s="184"/>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18" t="str">
        <v>Landfill</v>
      </c>
      <c r="E66" s="123" t="str">
        <v>Inert waste (including concrete, metal, plastic or glass)</v>
      </c>
      <c r="F66" s="184"/>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18" t="str">
        <v>Landfill</v>
      </c>
      <c r="E67" s="123" t="str">
        <v>Municipal solid waste</v>
      </c>
      <c r="F67" s="184"/>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18" t="str">
        <v>Landfill</v>
      </c>
      <c r="E68" s="123" t="str">
        <v>Commercial and industrial waste</v>
      </c>
      <c r="F68" s="184"/>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18" t="str">
        <v>Landfill</v>
      </c>
      <c r="E69" s="123" t="str">
        <v>Construction and demolition waste</v>
      </c>
      <c r="F69" s="184"/>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18" t="str">
        <v>Incineration</v>
      </c>
      <c r="E70" s="123" t="str">
        <v>Food waste, green waste, wood, sludge</v>
      </c>
      <c r="F70" s="184"/>
      <c r="G70" s="25" t="s">
        <v>638</v>
      </c>
      <c r="H70" s="25" t="s">
        <v>638</v>
      </c>
      <c r="I70" s="25" t="s">
        <v>638</v>
      </c>
    </row>
    <row r="71" spans="4:9" ht="20.100000000000001" customHeight="1" x14ac:dyDescent="0.25">
      <c r="D71" s="118" t="str">
        <v>Incineration</v>
      </c>
      <c r="E71" s="123" t="str">
        <v>Food waste (including animal carcasses, spoiled animal feed or crop)</v>
      </c>
      <c r="F71" s="184"/>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18" t="str">
        <v>Incineration</v>
      </c>
      <c r="E72" s="123" t="str">
        <v>Green waste (including crop residues or prunings)</v>
      </c>
      <c r="F72" s="184"/>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18" t="str">
        <v>Incineration</v>
      </c>
      <c r="E73" s="123" t="str">
        <v>Wood</v>
      </c>
      <c r="F73" s="184"/>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18" t="str">
        <v>Incineration</v>
      </c>
      <c r="E74" s="123" t="str">
        <v>Sludge</v>
      </c>
      <c r="F74" s="184"/>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18" t="str">
        <v>Incineration</v>
      </c>
      <c r="E75" s="123" t="str">
        <v>Paper and cardboard</v>
      </c>
      <c r="F75" s="184"/>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18" t="str">
        <v>Incineration</v>
      </c>
      <c r="E76" s="123" t="str">
        <v>Textiles</v>
      </c>
      <c r="F76" s="184"/>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18" t="str">
        <v>Incineration</v>
      </c>
      <c r="E77" s="123" t="str">
        <v>Rubber and leather</v>
      </c>
      <c r="F77" s="184"/>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18" t="str">
        <v>Incineration</v>
      </c>
      <c r="E78" s="123" t="str">
        <v>Inert waste (including concrete, metal, plastic or glass)</v>
      </c>
      <c r="F78" s="184"/>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18" t="str">
        <v>Incineration</v>
      </c>
      <c r="E79" s="123" t="str">
        <v>Municipal solid waste</v>
      </c>
      <c r="F79" s="124"/>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18" t="str">
        <v>Incineration</v>
      </c>
      <c r="E80" s="123" t="str">
        <v>Commercial and industrial waste</v>
      </c>
      <c r="F80" s="124"/>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18" t="str">
        <v>Composting</v>
      </c>
      <c r="E81" s="123" t="str">
        <v>All organic waste</v>
      </c>
      <c r="F81" s="124"/>
      <c r="G81" s="25" t="s">
        <v>638</v>
      </c>
      <c r="H81" s="25" t="s">
        <v>638</v>
      </c>
      <c r="I81" s="25" t="s">
        <v>638</v>
      </c>
    </row>
    <row r="82" spans="3:12" ht="20.100000000000001" customHeight="1" x14ac:dyDescent="0.25">
      <c r="D82" s="118" t="str">
        <v>Composting</v>
      </c>
      <c r="E82" s="123" t="str">
        <v>Food waste (including animal carcasses, spoiled animal feed or crop)</v>
      </c>
      <c r="F82" s="124"/>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18" t="str">
        <v>Composting</v>
      </c>
      <c r="E83" s="123" t="str">
        <v>Green waste (including crop residues or prunings)</v>
      </c>
      <c r="F83" s="124"/>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18" t="str">
        <v>Composting</v>
      </c>
      <c r="E84" s="123" t="str">
        <v>Wood</v>
      </c>
      <c r="F84" s="124"/>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18" t="str">
        <v>Composting</v>
      </c>
      <c r="E85" s="123" t="str">
        <v>Sludge</v>
      </c>
      <c r="F85" s="124"/>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18" t="str">
        <v>Composting</v>
      </c>
      <c r="E86" s="123" t="str">
        <v>Paper and cardboard</v>
      </c>
      <c r="F86" s="124"/>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18" t="str">
        <v>Anaerobic digestion</v>
      </c>
      <c r="E87" s="123" t="str">
        <v>All organic waste</v>
      </c>
      <c r="F87" s="124"/>
      <c r="G87" s="25" t="s">
        <v>638</v>
      </c>
      <c r="H87" s="25" t="s">
        <v>638</v>
      </c>
      <c r="I87" s="25" t="s">
        <v>638</v>
      </c>
    </row>
    <row r="88" spans="3:12" ht="20.100000000000001" customHeight="1" x14ac:dyDescent="0.25">
      <c r="D88" s="118" t="str">
        <v>Anaerobic digestion</v>
      </c>
      <c r="E88" s="123" t="str">
        <v>Food waste (including animal carcasses, spoiled animal feed or crop)</v>
      </c>
      <c r="F88" s="124"/>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18" t="str">
        <v>Anaerobic digestion</v>
      </c>
      <c r="E89" s="123" t="str">
        <v>Green waste (including crop residues or prunings)</v>
      </c>
      <c r="F89" s="124"/>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18" t="str">
        <v>Anaerobic digestion</v>
      </c>
      <c r="E90" s="123" t="str">
        <v>Wood</v>
      </c>
      <c r="F90" s="124"/>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18" t="str">
        <v>Anaerobic digestion</v>
      </c>
      <c r="E91" s="123" t="str">
        <v>Sludge</v>
      </c>
      <c r="F91" s="124"/>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18" t="str">
        <v>Anaerobic digestion</v>
      </c>
      <c r="E92" s="123" t="str">
        <v>Paper and cardboard</v>
      </c>
      <c r="F92" s="124"/>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6" t="s">
        <v>257</v>
      </c>
      <c r="E99" s="116"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258</v>
      </c>
      <c r="E102" s="1" t="str" cm="1">
        <f t="array" ref="E102">WasteSolid_Equations.VEERG_10_1_1_1__1_EmissionsFromWasteManagement_Variable()</f>
        <v>E_g</v>
      </c>
    </row>
    <row r="103" spans="4:9" ht="20.100000000000001" customHeight="1" x14ac:dyDescent="0.25">
      <c r="D103" s="88" t="s">
        <v>127</v>
      </c>
      <c r="E103" s="15" t="str" cm="1">
        <f t="array" ref="E103">WasteSolid_Equations.VEERG_10_1_1_1__1_EmissionsFromWasteManagement_Unit()</f>
        <v>t CO2e</v>
      </c>
    </row>
    <row r="104" spans="4:9" ht="20.100000000000001" customHeight="1" x14ac:dyDescent="0.25"/>
    <row r="105" spans="4:9" ht="20.100000000000001" customHeight="1" x14ac:dyDescent="0.25">
      <c r="D105" s="118" t="str" cm="1">
        <f t="array" ref="D105:E111">_xlfn.CHOOSECOLS(WasteSolid_Equations.VEERG_10_1_1_1__1_EmissionsFromWasteManagement_Arguments(),1,2)</f>
        <v>Q_wt</v>
      </c>
      <c r="E105" s="123" t="str">
        <v>quantity of solid waste of type w being sent to treatment facility t, on a wet weight basis</v>
      </c>
      <c r="F105" s="131"/>
      <c r="G105" s="124"/>
      <c r="H105" s="118" t="str" cm="1">
        <f t="array" ref="H105:I111">_xlfn.CHOOSECOLS(WasteSolid_Equations.VEERG_10_1_1_1__1_EmissionsFromWasteManagement_Arguments(),3,4)</f>
        <v>t</v>
      </c>
      <c r="I105" s="126" t="str">
        <v>Sum of Q_volwt and Q_masswt</v>
      </c>
    </row>
    <row r="106" spans="4:9" ht="20.100000000000001" customHeight="1" x14ac:dyDescent="0.25">
      <c r="D106" s="118" t="str">
        <v>EF_wtg</v>
      </c>
      <c r="E106" s="123" t="str">
        <v>emission factor for greenhouse gas g for the management of waste at treatment facility t</v>
      </c>
      <c r="F106" s="131"/>
      <c r="G106" s="124"/>
      <c r="H106" s="118" t="str">
        <v>t CO2e/t</v>
      </c>
      <c r="I106" s="126" t="str">
        <v>Constant</v>
      </c>
    </row>
    <row r="107" spans="4:9" ht="20.100000000000001" customHeight="1" x14ac:dyDescent="0.25">
      <c r="D107" s="118" t="str">
        <v>w</v>
      </c>
      <c r="E107" s="123" t="str">
        <v>waste type</v>
      </c>
      <c r="F107" s="131"/>
      <c r="G107" s="124"/>
      <c r="H107" s="118" t="str">
        <v/>
      </c>
      <c r="I107" s="119" t="str">
        <v>Input</v>
      </c>
    </row>
    <row r="108" spans="4:9" ht="20.100000000000001" customHeight="1" x14ac:dyDescent="0.25">
      <c r="D108" s="118" t="str">
        <v>t</v>
      </c>
      <c r="E108" s="123" t="str">
        <v>treatment facility</v>
      </c>
      <c r="F108" s="131"/>
      <c r="G108" s="124"/>
      <c r="H108" s="118" t="str">
        <v/>
      </c>
      <c r="I108" s="119" t="str">
        <v>Input</v>
      </c>
    </row>
    <row r="109" spans="4:9" ht="20.100000000000001" customHeight="1" x14ac:dyDescent="0.25">
      <c r="D109" s="118" t="str">
        <v>g</v>
      </c>
      <c r="E109" s="123" t="str">
        <v>greenhouse gas</v>
      </c>
      <c r="F109" s="131"/>
      <c r="G109" s="124"/>
      <c r="H109" s="118" t="str">
        <v/>
      </c>
      <c r="I109" s="119" t="str">
        <v>Input</v>
      </c>
    </row>
    <row r="110" spans="4:9" ht="20.100000000000001" customHeight="1" x14ac:dyDescent="0.25">
      <c r="D110" s="118" t="str">
        <v>Q_volwt</v>
      </c>
      <c r="E110" s="123" t="str">
        <v>quantity of sold waste input as volume and converted to tonnes</v>
      </c>
      <c r="F110" s="131"/>
      <c r="G110" s="124"/>
      <c r="H110" s="118" t="str">
        <v>tonnes</v>
      </c>
      <c r="I110" s="126" t="str">
        <v>Calculated from 10.1.1.1 (2)</v>
      </c>
    </row>
    <row r="111" spans="4:9" ht="20.100000000000001" customHeight="1" x14ac:dyDescent="0.25">
      <c r="D111" s="118" t="str">
        <v>Q_masswt</v>
      </c>
      <c r="E111" s="123" t="str">
        <v>quantity of solid waste input as mass</v>
      </c>
      <c r="F111" s="131"/>
      <c r="G111" s="124"/>
      <c r="H111" s="118" t="str">
        <v>tonnes</v>
      </c>
      <c r="I111" s="119" t="str">
        <v>Input</v>
      </c>
    </row>
    <row r="112" spans="4:9" ht="20.100000000000001" customHeight="1" x14ac:dyDescent="0.25"/>
    <row r="113" spans="4:11" ht="20.100000000000001" customHeight="1" x14ac:dyDescent="0.25">
      <c r="D113" s="120" t="s">
        <v>920</v>
      </c>
    </row>
    <row r="114" spans="4:11" ht="20.100000000000001" customHeight="1" x14ac:dyDescent="0.25">
      <c r="D114" s="121" t="s">
        <v>921</v>
      </c>
    </row>
    <row r="115" spans="4:11" ht="20.100000000000001" customHeight="1" x14ac:dyDescent="0.25">
      <c r="D115" s="96" t="s">
        <v>913</v>
      </c>
      <c r="E115" s="96" t="s">
        <v>914</v>
      </c>
      <c r="F115" s="96"/>
      <c r="G115" s="96" t="s">
        <v>922</v>
      </c>
      <c r="H115" s="122" t="s">
        <v>923</v>
      </c>
      <c r="I115" s="122" t="s">
        <v>917</v>
      </c>
      <c r="J115" s="122" t="s">
        <v>924</v>
      </c>
      <c r="K115" s="122" t="s">
        <v>925</v>
      </c>
    </row>
    <row r="116" spans="4:11" ht="20.100000000000001" customHeight="1" x14ac:dyDescent="0.25">
      <c r="D116" s="118" t="str" cm="1">
        <f t="array" ref="D116:D149">Table_SourceData_WasteSolid_WasteTreatmentEFs[Treatment type t]</f>
        <v>Landfill</v>
      </c>
      <c r="E116" s="123" t="str" cm="1">
        <f t="array" ref="E116:E149">Table_SourceData_WasteSolid_WasteTreatmentEFs[Waste type w]</f>
        <v>Food waste (including animal carcasses, spoiled animal feed or crop)</v>
      </c>
      <c r="F116" s="184"/>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18" t="str">
        <v>Landfill</v>
      </c>
      <c r="E117" s="123" t="str">
        <v>Paper and cardboard</v>
      </c>
      <c r="F117" s="184"/>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18" t="str">
        <v>Landfill</v>
      </c>
      <c r="E118" s="123" t="str">
        <v>Green waste (including crop residues or prunings)</v>
      </c>
      <c r="F118" s="184"/>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18" t="str">
        <v>Landfill</v>
      </c>
      <c r="E119" s="123" t="str">
        <v>Wood</v>
      </c>
      <c r="F119" s="184"/>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18" t="str">
        <v>Landfill</v>
      </c>
      <c r="E120" s="123" t="str">
        <v>Textiles</v>
      </c>
      <c r="F120" s="184"/>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18" t="str">
        <v>Landfill</v>
      </c>
      <c r="E121" s="123" t="str">
        <v>Sludge</v>
      </c>
      <c r="F121" s="184"/>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18" t="str">
        <v>Landfill</v>
      </c>
      <c r="E122" s="123" t="str">
        <v>Rubber and leather</v>
      </c>
      <c r="F122" s="184"/>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18" t="str">
        <v>Landfill</v>
      </c>
      <c r="E123" s="123" t="str">
        <v>Inert waste (including concrete, metal, plastic or glass)</v>
      </c>
      <c r="F123" s="184"/>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18" t="str">
        <v>Landfill</v>
      </c>
      <c r="E124" s="123" t="str">
        <v>Municipal solid waste</v>
      </c>
      <c r="F124" s="184"/>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18" t="str">
        <v>Landfill</v>
      </c>
      <c r="E125" s="123" t="str">
        <v>Commercial and industrial waste</v>
      </c>
      <c r="F125" s="184"/>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18" t="str">
        <v>Landfill</v>
      </c>
      <c r="E126" s="123" t="str">
        <v>Construction and demolition waste</v>
      </c>
      <c r="F126" s="184"/>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18" t="str">
        <v>Incineration</v>
      </c>
      <c r="E127" s="123" t="str">
        <v>Food waste, green waste, wood, sludge</v>
      </c>
      <c r="F127" s="184"/>
      <c r="G127" s="25" t="s">
        <v>638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18" t="str">
        <v>Incineration</v>
      </c>
      <c r="E128" s="123" t="str">
        <v>Food waste (including animal carcasses, spoiled animal feed or crop)</v>
      </c>
      <c r="F128" s="184"/>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926</v>
      </c>
      <c r="J128" s="25" t="s">
        <v>638</v>
      </c>
      <c r="K128" s="25" t="s">
        <v>638</v>
      </c>
    </row>
    <row r="129" spans="4:11" ht="20.100000000000001" customHeight="1" x14ac:dyDescent="0.25">
      <c r="D129" s="118" t="str">
        <v>Incineration</v>
      </c>
      <c r="E129" s="123" t="str">
        <v>Green waste (including crop residues or prunings)</v>
      </c>
      <c r="F129" s="184"/>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926</v>
      </c>
      <c r="J129" s="25" t="s">
        <v>638</v>
      </c>
      <c r="K129" s="25" t="s">
        <v>638</v>
      </c>
    </row>
    <row r="130" spans="4:11" ht="20.100000000000001" customHeight="1" x14ac:dyDescent="0.25">
      <c r="D130" s="118" t="str">
        <v>Incineration</v>
      </c>
      <c r="E130" s="123" t="str">
        <v>Wood</v>
      </c>
      <c r="F130" s="184"/>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926</v>
      </c>
      <c r="J130" s="25" t="s">
        <v>638</v>
      </c>
      <c r="K130" s="25" t="s">
        <v>638</v>
      </c>
    </row>
    <row r="131" spans="4:11" ht="20.100000000000001" customHeight="1" x14ac:dyDescent="0.25">
      <c r="D131" s="118" t="str">
        <v>Incineration</v>
      </c>
      <c r="E131" s="123" t="str">
        <v>Sludge</v>
      </c>
      <c r="F131" s="184"/>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926</v>
      </c>
      <c r="J131" s="25" t="s">
        <v>638</v>
      </c>
      <c r="K131" s="25" t="s">
        <v>638</v>
      </c>
    </row>
    <row r="132" spans="4:11" ht="20.100000000000001" customHeight="1" x14ac:dyDescent="0.25">
      <c r="D132" s="118" t="str">
        <v>Incineration</v>
      </c>
      <c r="E132" s="123" t="str">
        <v>Paper and cardboard</v>
      </c>
      <c r="F132" s="184"/>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18" t="str">
        <v>Incineration</v>
      </c>
      <c r="E133" s="123" t="str">
        <v>Textiles</v>
      </c>
      <c r="F133" s="184"/>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18" t="str">
        <v>Incineration</v>
      </c>
      <c r="E134" s="123" t="str">
        <v>Rubber and leather</v>
      </c>
      <c r="F134" s="184"/>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18" t="str">
        <v>Incineration</v>
      </c>
      <c r="E135" s="123" t="str">
        <v>Inert waste (including concrete, metal, plastic or glass)</v>
      </c>
      <c r="F135" s="184"/>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18" t="str">
        <v>Incineration</v>
      </c>
      <c r="E136" s="123" t="str">
        <v>Municipal solid waste</v>
      </c>
      <c r="F136" s="124"/>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18" t="str">
        <v>Incineration</v>
      </c>
      <c r="E137" s="123" t="str">
        <v>Commercial and industrial waste</v>
      </c>
      <c r="F137" s="124"/>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18" t="str">
        <v>Composting</v>
      </c>
      <c r="E138" s="123" t="str">
        <v>All organic waste</v>
      </c>
      <c r="F138" s="124"/>
      <c r="G138" s="25" t="s">
        <v>638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18" t="str">
        <v>Composting</v>
      </c>
      <c r="E139" s="123" t="str">
        <v>Food waste (including animal carcasses, spoiled animal feed or crop)</v>
      </c>
      <c r="F139" s="124"/>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926</v>
      </c>
      <c r="J139" s="25" t="s">
        <v>638</v>
      </c>
      <c r="K139" s="25" t="s">
        <v>638</v>
      </c>
    </row>
    <row r="140" spans="4:11" ht="20.100000000000001" customHeight="1" x14ac:dyDescent="0.25">
      <c r="D140" s="118" t="str">
        <v>Composting</v>
      </c>
      <c r="E140" s="123" t="str">
        <v>Green waste (including crop residues or prunings)</v>
      </c>
      <c r="F140" s="124"/>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926</v>
      </c>
      <c r="J140" s="25" t="s">
        <v>638</v>
      </c>
      <c r="K140" s="25" t="s">
        <v>638</v>
      </c>
    </row>
    <row r="141" spans="4:11" ht="20.100000000000001" customHeight="1" x14ac:dyDescent="0.25">
      <c r="D141" s="118" t="str">
        <v>Composting</v>
      </c>
      <c r="E141" s="123" t="str">
        <v>Wood</v>
      </c>
      <c r="F141" s="124"/>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926</v>
      </c>
      <c r="J141" s="25" t="s">
        <v>638</v>
      </c>
      <c r="K141" s="25" t="s">
        <v>638</v>
      </c>
    </row>
    <row r="142" spans="4:11" ht="20.100000000000001" customHeight="1" x14ac:dyDescent="0.25">
      <c r="D142" s="118" t="str">
        <v>Composting</v>
      </c>
      <c r="E142" s="123" t="str">
        <v>Sludge</v>
      </c>
      <c r="F142" s="124"/>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926</v>
      </c>
      <c r="J142" s="25" t="s">
        <v>638</v>
      </c>
      <c r="K142" s="25" t="s">
        <v>638</v>
      </c>
    </row>
    <row r="143" spans="4:11" ht="20.100000000000001" customHeight="1" x14ac:dyDescent="0.25">
      <c r="D143" s="118" t="str">
        <v>Composting</v>
      </c>
      <c r="E143" s="123" t="str">
        <v>Paper and cardboard</v>
      </c>
      <c r="F143" s="124"/>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926</v>
      </c>
      <c r="J143" s="25" t="s">
        <v>638</v>
      </c>
      <c r="K143" s="25" t="s">
        <v>638</v>
      </c>
    </row>
    <row r="144" spans="4:11" ht="20.100000000000001" customHeight="1" x14ac:dyDescent="0.25">
      <c r="D144" s="118" t="str">
        <v>Anaerobic digestion</v>
      </c>
      <c r="E144" s="123" t="str">
        <v>All organic waste</v>
      </c>
      <c r="F144" s="124"/>
      <c r="G144" s="25" t="s">
        <v>638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18" t="str">
        <v>Anaerobic digestion</v>
      </c>
      <c r="E145" s="123" t="str">
        <v>Food waste (including animal carcasses, spoiled animal feed or crop)</v>
      </c>
      <c r="F145" s="124"/>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926</v>
      </c>
      <c r="J145" s="25" t="s">
        <v>638</v>
      </c>
      <c r="K145" s="25" t="s">
        <v>638</v>
      </c>
    </row>
    <row r="146" spans="4:11" ht="20.100000000000001" customHeight="1" x14ac:dyDescent="0.25">
      <c r="D146" s="118" t="str">
        <v>Anaerobic digestion</v>
      </c>
      <c r="E146" s="123" t="str">
        <v>Green waste (including crop residues or prunings)</v>
      </c>
      <c r="F146" s="124"/>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926</v>
      </c>
      <c r="J146" s="25" t="s">
        <v>638</v>
      </c>
      <c r="K146" s="25" t="s">
        <v>638</v>
      </c>
    </row>
    <row r="147" spans="4:11" ht="20.100000000000001" customHeight="1" x14ac:dyDescent="0.25">
      <c r="D147" s="118" t="str">
        <v>Anaerobic digestion</v>
      </c>
      <c r="E147" s="123" t="str">
        <v>Wood</v>
      </c>
      <c r="F147" s="124"/>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926</v>
      </c>
      <c r="J147" s="25" t="s">
        <v>638</v>
      </c>
      <c r="K147" s="25" t="s">
        <v>638</v>
      </c>
    </row>
    <row r="148" spans="4:11" ht="20.100000000000001" customHeight="1" x14ac:dyDescent="0.25">
      <c r="D148" s="118" t="str">
        <v>Anaerobic digestion</v>
      </c>
      <c r="E148" s="123" t="str">
        <v>Sludge</v>
      </c>
      <c r="F148" s="124"/>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926</v>
      </c>
      <c r="J148" s="25" t="s">
        <v>638</v>
      </c>
      <c r="K148" s="25" t="s">
        <v>638</v>
      </c>
    </row>
    <row r="149" spans="4:11" ht="20.100000000000001" customHeight="1" x14ac:dyDescent="0.25">
      <c r="D149" s="118" t="str">
        <v>Anaerobic digestion</v>
      </c>
      <c r="E149" s="123" t="str">
        <v>Paper and cardboard</v>
      </c>
      <c r="F149" s="124"/>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926</v>
      </c>
      <c r="J149" s="25" t="s">
        <v>638</v>
      </c>
      <c r="K149" s="25" t="s">
        <v>638</v>
      </c>
    </row>
    <row r="150" spans="4:11" ht="20.100000000000001" customHeight="1" x14ac:dyDescent="0.25"/>
    <row r="151" spans="4:11" ht="20.100000000000001" customHeight="1" x14ac:dyDescent="0.25">
      <c r="D151" s="133" t="s">
        <v>927</v>
      </c>
      <c r="E151" s="134">
        <f>SUM(K116:K149)</f>
        <v>438.82805000000002</v>
      </c>
      <c r="F151" s="135" t="str">
        <f>$E$103</f>
        <v>t CO2e</v>
      </c>
    </row>
    <row r="152" spans="4:11" ht="20.100000000000001" customHeight="1" x14ac:dyDescent="0.25"/>
    <row r="153" spans="4:11" ht="20.100000000000001" customHeight="1" x14ac:dyDescent="0.25"/>
    <row r="154" spans="4:11" ht="20.100000000000001" customHeight="1" x14ac:dyDescent="0.25">
      <c r="D154" s="120" t="s">
        <v>928</v>
      </c>
    </row>
    <row r="155" spans="4:11" ht="20.100000000000001" customHeight="1" x14ac:dyDescent="0.25">
      <c r="D155" s="121" t="s">
        <v>929</v>
      </c>
    </row>
    <row r="156" spans="4:11" ht="20.100000000000001" customHeight="1" x14ac:dyDescent="0.25">
      <c r="D156" s="96" t="s">
        <v>913</v>
      </c>
      <c r="E156" s="96" t="s">
        <v>914</v>
      </c>
      <c r="F156" s="96"/>
      <c r="G156" s="96" t="s">
        <v>922</v>
      </c>
      <c r="H156" s="122" t="s">
        <v>923</v>
      </c>
      <c r="I156" s="122" t="s">
        <v>917</v>
      </c>
      <c r="J156" s="122" t="s">
        <v>924</v>
      </c>
      <c r="K156" s="122" t="s">
        <v>925</v>
      </c>
    </row>
    <row r="157" spans="4:11" ht="20.100000000000001" customHeight="1" x14ac:dyDescent="0.25">
      <c r="D157" s="118" t="str" cm="1">
        <f t="array" ref="D157:D190">Table_SourceData_WasteSolid_WasteTreatmentEFs[Treatment type t]</f>
        <v>Landfill</v>
      </c>
      <c r="E157" s="123" t="str" cm="1">
        <f t="array" ref="E157:E190">Table_SourceData_WasteSolid_WasteTreatmentEFs[Waste type w]</f>
        <v>Food waste (including animal carcasses, spoiled animal feed or crop)</v>
      </c>
      <c r="F157" s="184"/>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18" t="str">
        <v>Landfill</v>
      </c>
      <c r="E158" s="123" t="str">
        <v>Paper and cardboard</v>
      </c>
      <c r="F158" s="184"/>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18" t="str">
        <v>Landfill</v>
      </c>
      <c r="E159" s="123" t="str">
        <v>Green waste (including crop residues or prunings)</v>
      </c>
      <c r="F159" s="184"/>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18" t="str">
        <v>Landfill</v>
      </c>
      <c r="E160" s="123" t="str">
        <v>Wood</v>
      </c>
      <c r="F160" s="184"/>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18" t="str">
        <v>Landfill</v>
      </c>
      <c r="E161" s="123" t="str">
        <v>Textiles</v>
      </c>
      <c r="F161" s="184"/>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18" t="str">
        <v>Landfill</v>
      </c>
      <c r="E162" s="123" t="str">
        <v>Sludge</v>
      </c>
      <c r="F162" s="184"/>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18" t="str">
        <v>Landfill</v>
      </c>
      <c r="E163" s="123" t="str">
        <v>Rubber and leather</v>
      </c>
      <c r="F163" s="184"/>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18" t="str">
        <v>Landfill</v>
      </c>
      <c r="E164" s="123" t="str">
        <v>Inert waste (including concrete, metal, plastic or glass)</v>
      </c>
      <c r="F164" s="184"/>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18" t="str">
        <v>Landfill</v>
      </c>
      <c r="E165" s="123" t="str">
        <v>Municipal solid waste</v>
      </c>
      <c r="F165" s="184"/>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18" t="str">
        <v>Landfill</v>
      </c>
      <c r="E166" s="123" t="str">
        <v>Commercial and industrial waste</v>
      </c>
      <c r="F166" s="184"/>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18" t="str">
        <v>Landfill</v>
      </c>
      <c r="E167" s="123" t="str">
        <v>Construction and demolition waste</v>
      </c>
      <c r="F167" s="184"/>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18" t="str">
        <v>Incineration</v>
      </c>
      <c r="E168" s="123" t="str">
        <v>Food waste, green waste, wood, sludge</v>
      </c>
      <c r="F168" s="184"/>
      <c r="G168" s="25" t="s">
        <v>638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18" t="str">
        <v>Incineration</v>
      </c>
      <c r="E169" s="123" t="str">
        <v>Food waste (including animal carcasses, spoiled animal feed or crop)</v>
      </c>
      <c r="F169" s="184"/>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926</v>
      </c>
      <c r="J169" s="25" t="s">
        <v>638</v>
      </c>
      <c r="K169" s="25" t="s">
        <v>638</v>
      </c>
    </row>
    <row r="170" spans="4:11" ht="20.100000000000001" customHeight="1" x14ac:dyDescent="0.25">
      <c r="D170" s="118" t="str">
        <v>Incineration</v>
      </c>
      <c r="E170" s="123" t="str">
        <v>Green waste (including crop residues or prunings)</v>
      </c>
      <c r="F170" s="184"/>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926</v>
      </c>
      <c r="J170" s="25" t="s">
        <v>638</v>
      </c>
      <c r="K170" s="25" t="s">
        <v>638</v>
      </c>
    </row>
    <row r="171" spans="4:11" ht="20.100000000000001" customHeight="1" x14ac:dyDescent="0.25">
      <c r="D171" s="118" t="str">
        <v>Incineration</v>
      </c>
      <c r="E171" s="123" t="str">
        <v>Wood</v>
      </c>
      <c r="F171" s="184"/>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926</v>
      </c>
      <c r="J171" s="25" t="s">
        <v>638</v>
      </c>
      <c r="K171" s="25" t="s">
        <v>638</v>
      </c>
    </row>
    <row r="172" spans="4:11" ht="20.100000000000001" customHeight="1" x14ac:dyDescent="0.25">
      <c r="D172" s="118" t="str">
        <v>Incineration</v>
      </c>
      <c r="E172" s="123" t="str">
        <v>Sludge</v>
      </c>
      <c r="F172" s="184"/>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926</v>
      </c>
      <c r="J172" s="25" t="s">
        <v>638</v>
      </c>
      <c r="K172" s="25" t="s">
        <v>638</v>
      </c>
    </row>
    <row r="173" spans="4:11" ht="20.100000000000001" customHeight="1" x14ac:dyDescent="0.25">
      <c r="D173" s="118" t="str">
        <v>Incineration</v>
      </c>
      <c r="E173" s="123" t="str">
        <v>Paper and cardboard</v>
      </c>
      <c r="F173" s="184"/>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18" t="str">
        <v>Incineration</v>
      </c>
      <c r="E174" s="123" t="str">
        <v>Textiles</v>
      </c>
      <c r="F174" s="184"/>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18" t="str">
        <v>Incineration</v>
      </c>
      <c r="E175" s="123" t="str">
        <v>Rubber and leather</v>
      </c>
      <c r="F175" s="184"/>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18" t="str">
        <v>Incineration</v>
      </c>
      <c r="E176" s="123" t="str">
        <v>Inert waste (including concrete, metal, plastic or glass)</v>
      </c>
      <c r="F176" s="184"/>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18" t="str">
        <v>Incineration</v>
      </c>
      <c r="E177" s="123" t="str">
        <v>Municipal solid waste</v>
      </c>
      <c r="F177" s="124"/>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18" t="str">
        <v>Incineration</v>
      </c>
      <c r="E178" s="123" t="str">
        <v>Commercial and industrial waste</v>
      </c>
      <c r="F178" s="124"/>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18" t="str">
        <v>Composting</v>
      </c>
      <c r="E179" s="123" t="str">
        <v>All organic waste</v>
      </c>
      <c r="F179" s="124"/>
      <c r="G179" s="25" t="s">
        <v>638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18" t="str">
        <v>Composting</v>
      </c>
      <c r="E180" s="123" t="str">
        <v>Food waste (including animal carcasses, spoiled animal feed or crop)</v>
      </c>
      <c r="F180" s="124"/>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926</v>
      </c>
      <c r="J180" s="25" t="s">
        <v>638</v>
      </c>
      <c r="K180" s="25" t="s">
        <v>638</v>
      </c>
    </row>
    <row r="181" spans="4:11" ht="20.100000000000001" customHeight="1" x14ac:dyDescent="0.25">
      <c r="D181" s="118" t="str">
        <v>Composting</v>
      </c>
      <c r="E181" s="123" t="str">
        <v>Green waste (including crop residues or prunings)</v>
      </c>
      <c r="F181" s="124"/>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926</v>
      </c>
      <c r="J181" s="25" t="s">
        <v>638</v>
      </c>
      <c r="K181" s="25" t="s">
        <v>638</v>
      </c>
    </row>
    <row r="182" spans="4:11" ht="20.100000000000001" customHeight="1" x14ac:dyDescent="0.25">
      <c r="D182" s="118" t="str">
        <v>Composting</v>
      </c>
      <c r="E182" s="123" t="str">
        <v>Wood</v>
      </c>
      <c r="F182" s="124"/>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926</v>
      </c>
      <c r="J182" s="25" t="s">
        <v>638</v>
      </c>
      <c r="K182" s="25" t="s">
        <v>638</v>
      </c>
    </row>
    <row r="183" spans="4:11" ht="20.100000000000001" customHeight="1" x14ac:dyDescent="0.25">
      <c r="D183" s="118" t="str">
        <v>Composting</v>
      </c>
      <c r="E183" s="123" t="str">
        <v>Sludge</v>
      </c>
      <c r="F183" s="124"/>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926</v>
      </c>
      <c r="J183" s="25" t="s">
        <v>638</v>
      </c>
      <c r="K183" s="25" t="s">
        <v>638</v>
      </c>
    </row>
    <row r="184" spans="4:11" ht="20.100000000000001" customHeight="1" x14ac:dyDescent="0.25">
      <c r="D184" s="118" t="str">
        <v>Composting</v>
      </c>
      <c r="E184" s="123" t="str">
        <v>Paper and cardboard</v>
      </c>
      <c r="F184" s="124"/>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926</v>
      </c>
      <c r="J184" s="25" t="s">
        <v>638</v>
      </c>
      <c r="K184" s="25" t="s">
        <v>638</v>
      </c>
    </row>
    <row r="185" spans="4:11" ht="20.100000000000001" customHeight="1" x14ac:dyDescent="0.25">
      <c r="D185" s="118" t="str">
        <v>Anaerobic digestion</v>
      </c>
      <c r="E185" s="123" t="str">
        <v>All organic waste</v>
      </c>
      <c r="F185" s="124"/>
      <c r="G185" s="25" t="s">
        <v>638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18" t="str">
        <v>Anaerobic digestion</v>
      </c>
      <c r="E186" s="123" t="str">
        <v>Food waste (including animal carcasses, spoiled animal feed or crop)</v>
      </c>
      <c r="F186" s="124"/>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926</v>
      </c>
      <c r="J186" s="25" t="s">
        <v>638</v>
      </c>
      <c r="K186" s="25" t="s">
        <v>638</v>
      </c>
    </row>
    <row r="187" spans="4:11" ht="20.100000000000001" customHeight="1" x14ac:dyDescent="0.25">
      <c r="D187" s="118" t="str">
        <v>Anaerobic digestion</v>
      </c>
      <c r="E187" s="123" t="str">
        <v>Green waste (including crop residues or prunings)</v>
      </c>
      <c r="F187" s="124"/>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926</v>
      </c>
      <c r="J187" s="25" t="s">
        <v>638</v>
      </c>
      <c r="K187" s="25" t="s">
        <v>638</v>
      </c>
    </row>
    <row r="188" spans="4:11" ht="20.100000000000001" customHeight="1" x14ac:dyDescent="0.25">
      <c r="D188" s="118" t="str">
        <v>Anaerobic digestion</v>
      </c>
      <c r="E188" s="123" t="str">
        <v>Wood</v>
      </c>
      <c r="F188" s="124"/>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926</v>
      </c>
      <c r="J188" s="25" t="s">
        <v>638</v>
      </c>
      <c r="K188" s="25" t="s">
        <v>638</v>
      </c>
    </row>
    <row r="189" spans="4:11" ht="20.100000000000001" customHeight="1" x14ac:dyDescent="0.25">
      <c r="D189" s="118" t="str">
        <v>Anaerobic digestion</v>
      </c>
      <c r="E189" s="123" t="str">
        <v>Sludge</v>
      </c>
      <c r="F189" s="124"/>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926</v>
      </c>
      <c r="J189" s="25" t="s">
        <v>638</v>
      </c>
      <c r="K189" s="25" t="s">
        <v>638</v>
      </c>
    </row>
    <row r="190" spans="4:11" ht="20.100000000000001" customHeight="1" x14ac:dyDescent="0.25">
      <c r="D190" s="118" t="str">
        <v>Anaerobic digestion</v>
      </c>
      <c r="E190" s="123" t="str">
        <v>Paper and cardboard</v>
      </c>
      <c r="F190" s="124"/>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926</v>
      </c>
      <c r="J190" s="25" t="s">
        <v>638</v>
      </c>
      <c r="K190" s="25" t="s">
        <v>638</v>
      </c>
    </row>
    <row r="191" spans="4:11" ht="20.100000000000001" customHeight="1" x14ac:dyDescent="0.25"/>
    <row r="192" spans="4:11" ht="20.100000000000001" customHeight="1" x14ac:dyDescent="0.25">
      <c r="D192" s="133" t="s">
        <v>927</v>
      </c>
      <c r="E192" s="134">
        <f>SUM(K157:K190)</f>
        <v>441.15000000000003</v>
      </c>
      <c r="F192" s="13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DEE6DCF2-C254-47D0-AD02-CBA4CB187A6E}"/>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12B8D-4F89-424B-90A8-E992EF9EF7CA}">
  <sheetPr>
    <tabColor theme="2" tint="-0.499984740745262"/>
  </sheetPr>
  <dimension ref="A1:AI165"/>
  <sheetViews>
    <sheetView showGridLines="0" topLeftCell="A2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Dairy'!A1", "Dairy")</f>
        <v>Dairy</v>
      </c>
      <c r="D11" s="36"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931</v>
      </c>
      <c r="K15" s="1" t="s">
        <v>932</v>
      </c>
      <c r="M15" s="1" t="s">
        <v>933</v>
      </c>
      <c r="O15" s="1" t="s">
        <v>934</v>
      </c>
    </row>
    <row r="16" spans="1:35" ht="20.100000000000001" customHeight="1" x14ac:dyDescent="0.25">
      <c r="A16" s="5" t="str">
        <f>HYPERLINK("#'Input - Fert Prod System'!A1", "Fert Prod System")</f>
        <v>Fert Prod System</v>
      </c>
      <c r="D16" s="30" t="s">
        <v>935</v>
      </c>
      <c r="E16" s="30" t="s">
        <v>936</v>
      </c>
      <c r="F16" s="30" t="s">
        <v>937</v>
      </c>
      <c r="G16" s="30" t="s">
        <v>938</v>
      </c>
      <c r="I16" s="30" t="s">
        <v>936</v>
      </c>
      <c r="K16" s="147" t="s">
        <v>936</v>
      </c>
      <c r="M16" s="147" t="s">
        <v>936</v>
      </c>
      <c r="O16" s="147" t="s">
        <v>936</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HYPERLINK("#'4.3.1.1-2 Methane'!A1", "4.3.1.1-2 Methane")</f>
        <v>4.3.1.1-2 Methane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HYPERLINK("#'4.3.1.3-4 Direct N20'!A1", "4.3.1.3-4 Direct N20")</f>
        <v>4.3.1.3-4 Direct N20</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HYPERLINK("#'4.3.1.5 Atmos deposition'!A1", "4.3.1.5 Atmos deposition")</f>
        <v>4.3.1.5 Atmos deposition</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HYPERLINK("#'4.3.1.6-7 Leaching and runoff'!A1", "4.3.1.6-7 Leaching and runoff")</f>
        <v>4.3.1.6-7 Leaching and runoff</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HYPERLINK("#'4.3.1.8 Manure applied to soils'!A1", "4.3.1.8 Manure applied to soils")</f>
        <v>4.3.1.8 Manure applied to soils</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HYPERLINK("#'4.3.1.9 Soil direct N2O'!A1", "4.3.1.9 Soil direct N2O")</f>
        <v>4.3.1.9 Soil direct N2O</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HYPERLINK("#'4.3.1.10-11 Soil Atmos Dep'!A1", "4.3.1.10-11 Soil Atmos Dep")</f>
        <v>4.3.1.10-11 Soil Atmos Dep</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HYPERLINK("#'4.3.1.12-13 Soil leach runoff'!A1", "4.3.1.12-13 Soil leach runoff")</f>
        <v>4.3.1.12-13 Soil leach runoff</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HYPERLINK("#'3.3.1.1-2 Enteric Methane'!A1", "3.3.1.1-2 Enteric Methane")</f>
        <v>3.3.1.1-2 Enteric Methane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30" t="s">
        <v>936</v>
      </c>
      <c r="E57" s="30" t="s">
        <v>939</v>
      </c>
    </row>
    <row r="58" spans="1:7" ht="20.100000000000001" customHeight="1" x14ac:dyDescent="0.25">
      <c r="A58" s="5" t="str">
        <f>HYPERLINK("#'Constants - Fuel'!A1", "Constants - Fuel")</f>
        <v>Constants - Fuel</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46"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FFD1D-97E7-453D-9CFE-8B421A41CEA8}">
  <dimension ref="A1:BL82"/>
  <sheetViews>
    <sheetView showGridLines="0" tabSelected="1" workbookViewId="0" zoomScale="100" zoomScaleNormal="100">
      <selection activeCell="A61" sqref="A61"/>
    </sheetView>
  </sheetViews>
  <sheetFormatPr defaultRowHeight="15" x14ac:dyDescent="0.25"/>
  <cols>
    <col min="1" max="1" width="30.7109375" customWidth="1"/>
    <col min="2" max="3" width="4.7109375" customWidth="1"/>
  </cols>
  <sheetData>
    <row r="1" spans="1:64" ht="30" customHeight="1" x14ac:dyDescent="0.35">
      <c r="A1" s="16" t="e" vm="1">
        <v>#VALUE!</v>
      </c>
      <c r="C1" s="280" t="s">
        <v>1283</v>
      </c>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row>
    <row r="2" spans="1:64" ht="20.100000000000001" customHeight="1" x14ac:dyDescent="0.25">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row>
    <row r="3" spans="1:64" ht="20.100000000000001" customHeight="1" x14ac:dyDescent="0.25">
      <c r="A3" s="5" t="str">
        <f>HYPERLINK("#'Home'!A1", "Home")</f>
        <v>Home</v>
      </c>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G3" s="282"/>
      <c r="BH3" s="282"/>
      <c r="BI3" s="282"/>
      <c r="BJ3" s="282"/>
      <c r="BK3" s="282"/>
      <c r="BL3" s="282"/>
    </row>
    <row r="4" spans="1:64" ht="20.100000000000001" customHeight="1" x14ac:dyDescent="0.25">
      <c r="A4" s="28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3" t="s">
        <v>1284</v>
      </c>
      <c r="E5" s="263"/>
      <c r="F5" s="263"/>
      <c r="G5" s="263"/>
      <c r="H5" s="263"/>
      <c r="I5" s="143"/>
      <c r="J5" s="54"/>
      <c r="K5" s="54"/>
      <c r="L5" s="54"/>
      <c r="M5" s="54"/>
      <c r="N5" s="54"/>
      <c r="O5" s="54"/>
      <c r="P5" s="54"/>
      <c r="Q5" s="54"/>
      <c r="R5" s="54"/>
      <c r="S5" s="54"/>
      <c r="T5" s="54"/>
      <c r="U5" s="54"/>
      <c r="V5" s="55"/>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4" t="s">
        <v>1285</v>
      </c>
      <c r="E6" s="152"/>
      <c r="F6" s="152"/>
      <c r="G6" s="152"/>
      <c r="H6" s="152"/>
      <c r="I6" s="56"/>
      <c r="J6" s="57"/>
      <c r="K6" s="57"/>
      <c r="L6" s="57"/>
      <c r="M6" s="57"/>
      <c r="N6" s="57"/>
      <c r="O6" s="57"/>
      <c r="P6" s="57"/>
      <c r="Q6" s="57"/>
      <c r="R6" s="57"/>
      <c r="S6" s="57"/>
      <c r="T6" s="57"/>
      <c r="U6" s="57"/>
      <c r="V6" s="58"/>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HYPERLINK("#'15 Scope 3'!A1", "15 Scope 3")</f>
        <v>15 Scope 3</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HYPERLINK("#'Calcs - Manure sent off-site'!A1", "Calcs - Manure sent off-site")</f>
        <v>Calcs - Manure sent off-site</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HYPERLINK("#'4.3.1.1-2 Methane'!A1", "4.3.1.1-2 Methane")</f>
        <v>4.3.1.1-2 Methane</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HYPERLINK("#'4.3.1.3-4 Direct N20'!A1", "4.3.1.3-4 Direct N20")</f>
        <v>4.3.1.3-4 Direct N20</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HYPERLINK("#'4.3.1.5 Atmos deposition'!A1", "4.3.1.5 Atmos deposition")</f>
        <v>4.3.1.5 Atmos deposition</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HYPERLINK("#'4.3.1.6-7 Leaching and runoff'!A1", "4.3.1.6-7 Leaching and runoff")</f>
        <v>4.3.1.6-7 Leaching and runoff</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HYPERLINK("#'4.3.1.8 Manure applied to soils'!A1", "4.3.1.8 Manure applied to soils")</f>
        <v>4.3.1.8 Manure applied to soils</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HYPERLINK("#'4.3.1.9 Soil direct N2O'!A1", "4.3.1.9 Soil direct N2O")</f>
        <v>4.3.1.9 Soil direct N2O</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HYPERLINK("#'4.3.1.10-11 Soil Atmos Dep'!A1", "4.3.1.10-11 Soil Atmos Dep")</f>
        <v>4.3.1.10-11 Soil Atmos Dep</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HYPERLINK("#'4.3.1.12-13 Soil leach runoff'!A1", "4.3.1.12-13 Soil leach runoff")</f>
        <v>4.3.1.12-13 Soil leach runoff</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HYPERLINK("#'3.3.1.1-2 Enteric Methane'!A1", "3.3.1.1-2 Enteric Methane")</f>
        <v>3.3.1.1-2 Enteric Methane</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HYPERLINK("#'10.1.1-2 Solid waste treatment'!A1", "10.1.1-2 Solid waste treatment")</f>
        <v>10.1.1-2 Solid waste treatment</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99" t="s">
        <v>1</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A53" s="5" t="str">
        <f>HYPERLINK("#'Constants - Dairy'!A1", "Constants - Dairy")</f>
        <v>Constants - Dairy</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A54" s="5" t="str">
        <f>HYPERLINK("#'Constants - Ag Residue'!A1", "Constants - Ag residue")</f>
        <v>Constants - Ag residue</v>
      </c>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5" t="str">
        <f>HYPERLINK("#'Constants - Common Livestock'!A1", "Constants - Common Livestock")</f>
        <v>Constants - Common Livestock</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Electricity'!A1", "Constants - Electricity")</f>
        <v>Constants - Electricity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Fertiliser'!A1", "Constants - Fertiliser")</f>
        <v>Constants - Fertiliser</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Fuel'!A1", "Constants - Fuel")</f>
        <v>Constants - Fuel</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Scope 3'!A1", "Constants - Scope 3")</f>
        <v>Constants - Scope 3</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Common'!A1", "Constants - Common")</f>
        <v>Constants - Common</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HYPERLINK("#'Acknowledgements'!A1", "Acknowledgements")</f>
        <v>Acknowledgements</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Solid Waste'!A1", "Constants - Solid Waste")</f>
        <v>Constants - Solid Waste</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x14ac:dyDescent="0.25">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x14ac:dyDescent="0.25">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3:64" x14ac:dyDescent="0.25">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3: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3: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3: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3: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3: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3: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3: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3: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3: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3: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3: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3: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3: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3: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3: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437</vt:i4>
      </vt:variant>
    </vt:vector>
  </HeadingPairs>
  <TitlesOfParts>
    <vt:vector size="488"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2026-08-03T04:53:22Z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